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dr\Desktop\Joan_Comuns_Soler\Parse\protocol_2024_11_11\"/>
    </mc:Choice>
  </mc:AlternateContent>
  <xr:revisionPtr revIDLastSave="0" documentId="13_ncr:1_{29DF4122-AE6B-4CA4-A512-1C2C7E748AA5}" xr6:coauthVersionLast="47" xr6:coauthVersionMax="47" xr10:uidLastSave="{00000000-0000-0000-0000-000000000000}"/>
  <bookViews>
    <workbookView xWindow="-12300" yWindow="-21720" windowWidth="51840" windowHeight="21120" xr2:uid="{00000000-000D-0000-FFFF-FFFF00000000}"/>
  </bookViews>
  <sheets>
    <sheet name="Sample Loading Table" sheetId="1" r:id="rId1"/>
    <sheet name="Integra Loading Table" sheetId="14" r:id="rId2"/>
    <sheet name="Diluent Volumes" sheetId="15" r:id="rId3"/>
    <sheet name="Plate Configuration" sheetId="16" r:id="rId4"/>
    <sheet name="Deck A Dilution Tube Layout" sheetId="17" state="hidden" r:id="rId5"/>
    <sheet name="ReferenceTable" sheetId="8" state="hidden" r:id="rId6"/>
  </sheets>
  <functionGroups builtInGroupCount="19"/>
  <definedNames>
    <definedName name="_xlnm._FilterDatabase" localSheetId="0" hidden="1">'Sample Loading Table'!$A$28:$A$80</definedName>
    <definedName name="_xlnm.Print_Area" localSheetId="0">'Sample Loading Table'!$A$1:$K$100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0" i="1" l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J68" i="1" l="1"/>
  <c r="J69" i="1"/>
  <c r="J70" i="1"/>
  <c r="J71" i="1"/>
  <c r="J72" i="1"/>
  <c r="J73" i="1"/>
  <c r="J65" i="1"/>
  <c r="J66" i="1"/>
  <c r="J67" i="1"/>
  <c r="J74" i="1"/>
  <c r="J75" i="1"/>
  <c r="J76" i="1"/>
  <c r="Q10" i="16"/>
  <c r="S10" i="16" s="1"/>
  <c r="P29" i="1"/>
  <c r="F31" i="1"/>
  <c r="F33" i="1"/>
  <c r="H29" i="16"/>
  <c r="H31" i="16"/>
  <c r="F39" i="1"/>
  <c r="H39" i="16"/>
  <c r="F45" i="1"/>
  <c r="F47" i="1"/>
  <c r="F49" i="1"/>
  <c r="H45" i="16"/>
  <c r="H47" i="16"/>
  <c r="H50" i="16"/>
  <c r="H55" i="16"/>
  <c r="F61" i="1"/>
  <c r="F63" i="1"/>
  <c r="F65" i="1"/>
  <c r="H61" i="16"/>
  <c r="H63" i="16"/>
  <c r="H66" i="16"/>
  <c r="F76" i="1"/>
  <c r="H25" i="16"/>
  <c r="H24" i="16"/>
  <c r="H27" i="16"/>
  <c r="H28" i="16"/>
  <c r="H30" i="16"/>
  <c r="H32" i="16"/>
  <c r="H33" i="16"/>
  <c r="H35" i="16"/>
  <c r="H36" i="16"/>
  <c r="H37" i="16"/>
  <c r="H38" i="16"/>
  <c r="H41" i="16"/>
  <c r="H43" i="16"/>
  <c r="H44" i="16"/>
  <c r="H46" i="16"/>
  <c r="H48" i="16"/>
  <c r="H49" i="16"/>
  <c r="H51" i="16"/>
  <c r="H52" i="16"/>
  <c r="H53" i="16"/>
  <c r="H54" i="16"/>
  <c r="H57" i="16"/>
  <c r="H59" i="16"/>
  <c r="H60" i="16"/>
  <c r="H62" i="16"/>
  <c r="H64" i="16"/>
  <c r="H65" i="16"/>
  <c r="H67" i="16"/>
  <c r="H68" i="16"/>
  <c r="H69" i="16"/>
  <c r="C71" i="16"/>
  <c r="E70" i="16"/>
  <c r="P11" i="16"/>
  <c r="P12" i="16" s="1"/>
  <c r="P13" i="16" s="1"/>
  <c r="P14" i="16" s="1"/>
  <c r="P15" i="16" s="1"/>
  <c r="P16" i="16" s="1"/>
  <c r="P17" i="16" s="1"/>
  <c r="P18" i="16" s="1"/>
  <c r="P19" i="16" s="1"/>
  <c r="P20" i="16" s="1"/>
  <c r="P21" i="16" s="1"/>
  <c r="P22" i="16" s="1"/>
  <c r="P23" i="16" s="1"/>
  <c r="P24" i="16" s="1"/>
  <c r="P25" i="16" s="1"/>
  <c r="P26" i="16" s="1"/>
  <c r="P27" i="16" s="1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P38" i="16" s="1"/>
  <c r="P39" i="16" s="1"/>
  <c r="P40" i="16" s="1"/>
  <c r="P41" i="16" s="1"/>
  <c r="P42" i="16" s="1"/>
  <c r="P43" i="16" s="1"/>
  <c r="P44" i="16" s="1"/>
  <c r="P45" i="16" s="1"/>
  <c r="P46" i="16" s="1"/>
  <c r="P47" i="16" s="1"/>
  <c r="P48" i="16" s="1"/>
  <c r="P49" i="16" s="1"/>
  <c r="P50" i="16" s="1"/>
  <c r="P51" i="16" s="1"/>
  <c r="P52" i="16" s="1"/>
  <c r="P53" i="16" s="1"/>
  <c r="P54" i="16" s="1"/>
  <c r="P55" i="16" s="1"/>
  <c r="P56" i="16" s="1"/>
  <c r="P57" i="16" s="1"/>
  <c r="P58" i="16" s="1"/>
  <c r="P59" i="16" s="1"/>
  <c r="D9" i="16"/>
  <c r="E9" i="16" s="1"/>
  <c r="F9" i="16" s="1"/>
  <c r="G9" i="16" s="1"/>
  <c r="H9" i="16" s="1"/>
  <c r="I9" i="16" s="1"/>
  <c r="J9" i="16" s="1"/>
  <c r="K9" i="16" s="1"/>
  <c r="L9" i="16" s="1"/>
  <c r="M9" i="16" s="1"/>
  <c r="N9" i="16" s="1"/>
  <c r="F32" i="1"/>
  <c r="F34" i="1"/>
  <c r="F35" i="1"/>
  <c r="F37" i="1"/>
  <c r="F38" i="1"/>
  <c r="F40" i="1"/>
  <c r="F41" i="1"/>
  <c r="F42" i="1"/>
  <c r="F43" i="1"/>
  <c r="F46" i="1"/>
  <c r="F48" i="1"/>
  <c r="F50" i="1"/>
  <c r="F51" i="1"/>
  <c r="F53" i="1"/>
  <c r="F54" i="1"/>
  <c r="F56" i="1"/>
  <c r="F57" i="1"/>
  <c r="F58" i="1"/>
  <c r="F59" i="1"/>
  <c r="F62" i="1"/>
  <c r="F64" i="1"/>
  <c r="F66" i="1"/>
  <c r="F67" i="1"/>
  <c r="F69" i="1"/>
  <c r="F70" i="1"/>
  <c r="F72" i="1"/>
  <c r="F73" i="1"/>
  <c r="F74" i="1"/>
  <c r="F75" i="1"/>
  <c r="C10" i="16" l="1"/>
  <c r="E24" i="16"/>
  <c r="F55" i="1"/>
  <c r="F60" i="1"/>
  <c r="F44" i="1"/>
  <c r="H58" i="16"/>
  <c r="H42" i="16"/>
  <c r="H26" i="16"/>
  <c r="F68" i="1"/>
  <c r="H56" i="16"/>
  <c r="H40" i="16"/>
  <c r="F71" i="1"/>
  <c r="F52" i="1"/>
  <c r="F36" i="1"/>
  <c r="H34" i="16"/>
  <c r="F30" i="1"/>
  <c r="F29" i="1"/>
  <c r="C70" i="16"/>
  <c r="C24" i="16"/>
  <c r="R29" i="1"/>
  <c r="W79" i="1"/>
  <c r="J79" i="1"/>
  <c r="A30" i="1"/>
  <c r="C25" i="16" l="1"/>
  <c r="E25" i="16"/>
  <c r="G1" i="8" l="1"/>
  <c r="C2" i="8"/>
  <c r="C3" i="8" s="1"/>
  <c r="C4" i="8" s="1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l="1"/>
  <c r="C25" i="8" s="1"/>
  <c r="C26" i="8" s="1"/>
  <c r="A1" i="8"/>
  <c r="C27" i="8" l="1"/>
  <c r="C28" i="8" l="1"/>
  <c r="C29" i="8" l="1"/>
  <c r="C30" i="8" l="1"/>
  <c r="C31" i="8" l="1"/>
  <c r="C32" i="8" l="1"/>
  <c r="C33" i="8" l="1"/>
  <c r="C34" i="8" l="1"/>
  <c r="C35" i="8" l="1"/>
  <c r="C36" i="8" l="1"/>
  <c r="C37" i="8" l="1"/>
  <c r="C38" i="8" l="1"/>
  <c r="C39" i="8" l="1"/>
  <c r="C40" i="8" l="1"/>
  <c r="C41" i="8" l="1"/>
  <c r="C42" i="8" l="1"/>
  <c r="C43" i="8" l="1"/>
  <c r="C44" i="8" l="1"/>
  <c r="C45" i="8" l="1"/>
  <c r="C46" i="8" l="1"/>
  <c r="C47" i="8" l="1"/>
  <c r="C48" i="8" l="1"/>
  <c r="D48" i="8" l="1"/>
  <c r="C49" i="8"/>
  <c r="A31" i="1"/>
  <c r="D49" i="8" l="1"/>
  <c r="C50" i="8"/>
  <c r="E26" i="16"/>
  <c r="C26" i="16"/>
  <c r="A32" i="1"/>
  <c r="C51" i="8" l="1"/>
  <c r="D50" i="8"/>
  <c r="C27" i="16"/>
  <c r="E27" i="16"/>
  <c r="A33" i="1"/>
  <c r="C52" i="8" l="1"/>
  <c r="D51" i="8"/>
  <c r="C28" i="16"/>
  <c r="E28" i="16"/>
  <c r="A34" i="1"/>
  <c r="C53" i="8" l="1"/>
  <c r="E52" i="8"/>
  <c r="D52" i="8"/>
  <c r="E29" i="16"/>
  <c r="C29" i="16"/>
  <c r="A35" i="1"/>
  <c r="C54" i="8" l="1"/>
  <c r="E53" i="8"/>
  <c r="D53" i="8"/>
  <c r="C30" i="16"/>
  <c r="E30" i="16"/>
  <c r="A36" i="1"/>
  <c r="C55" i="8" l="1"/>
  <c r="E54" i="8"/>
  <c r="D54" i="8"/>
  <c r="C31" i="16"/>
  <c r="E31" i="16"/>
  <c r="A37" i="1"/>
  <c r="C56" i="8" l="1"/>
  <c r="E55" i="8"/>
  <c r="D55" i="8"/>
  <c r="C32" i="16"/>
  <c r="E32" i="16"/>
  <c r="A38" i="1"/>
  <c r="C57" i="8" l="1"/>
  <c r="E56" i="8"/>
  <c r="D56" i="8"/>
  <c r="C33" i="16"/>
  <c r="E33" i="16"/>
  <c r="A39" i="1"/>
  <c r="C58" i="8" l="1"/>
  <c r="D57" i="8"/>
  <c r="C34" i="16"/>
  <c r="E34" i="16"/>
  <c r="A40" i="1"/>
  <c r="C59" i="8" l="1"/>
  <c r="E58" i="8"/>
  <c r="D58" i="8"/>
  <c r="C35" i="16"/>
  <c r="E35" i="16"/>
  <c r="A41" i="1"/>
  <c r="C60" i="8" l="1"/>
  <c r="E59" i="8"/>
  <c r="D59" i="8"/>
  <c r="C36" i="16"/>
  <c r="E36" i="16"/>
  <c r="A42" i="1"/>
  <c r="C61" i="8" l="1"/>
  <c r="E60" i="8"/>
  <c r="D60" i="8"/>
  <c r="C37" i="16"/>
  <c r="E37" i="16"/>
  <c r="A43" i="1"/>
  <c r="C62" i="8" l="1"/>
  <c r="E61" i="8"/>
  <c r="D61" i="8"/>
  <c r="C38" i="16"/>
  <c r="E38" i="16"/>
  <c r="A44" i="1"/>
  <c r="C63" i="8" l="1"/>
  <c r="E62" i="8"/>
  <c r="D62" i="8"/>
  <c r="C39" i="16"/>
  <c r="E39" i="16"/>
  <c r="A45" i="1"/>
  <c r="C64" i="8" l="1"/>
  <c r="E63" i="8"/>
  <c r="D63" i="8"/>
  <c r="C40" i="16"/>
  <c r="E40" i="16"/>
  <c r="A46" i="1"/>
  <c r="C65" i="8" l="1"/>
  <c r="E64" i="8"/>
  <c r="D64" i="8"/>
  <c r="C41" i="16"/>
  <c r="E41" i="16"/>
  <c r="A47" i="1"/>
  <c r="C66" i="8" l="1"/>
  <c r="E65" i="8"/>
  <c r="D65" i="8"/>
  <c r="C42" i="16"/>
  <c r="E42" i="16"/>
  <c r="C79" i="1"/>
  <c r="A48" i="1"/>
  <c r="C67" i="8" l="1"/>
  <c r="E66" i="8"/>
  <c r="D66" i="8"/>
  <c r="C43" i="16"/>
  <c r="E43" i="16"/>
  <c r="F25" i="1"/>
  <c r="F79" i="1"/>
  <c r="C80" i="1"/>
  <c r="A49" i="1"/>
  <c r="C68" i="8" l="1"/>
  <c r="E67" i="8"/>
  <c r="D67" i="8"/>
  <c r="C44" i="16"/>
  <c r="E44" i="16"/>
  <c r="A50" i="1"/>
  <c r="C69" i="8" l="1"/>
  <c r="E68" i="8"/>
  <c r="D68" i="8"/>
  <c r="C45" i="16"/>
  <c r="E45" i="16"/>
  <c r="A51" i="1"/>
  <c r="C70" i="8" l="1"/>
  <c r="E69" i="8"/>
  <c r="D69" i="8"/>
  <c r="C46" i="16"/>
  <c r="E46" i="16"/>
  <c r="A52" i="1"/>
  <c r="C71" i="8" l="1"/>
  <c r="D70" i="8"/>
  <c r="C47" i="16"/>
  <c r="E47" i="16"/>
  <c r="A53" i="1"/>
  <c r="C72" i="8" l="1"/>
  <c r="E71" i="8"/>
  <c r="D71" i="8"/>
  <c r="C48" i="16"/>
  <c r="E48" i="16"/>
  <c r="A54" i="1"/>
  <c r="C73" i="8" l="1"/>
  <c r="E72" i="8"/>
  <c r="D72" i="8"/>
  <c r="C49" i="16"/>
  <c r="E49" i="16"/>
  <c r="A55" i="1"/>
  <c r="C74" i="8" l="1"/>
  <c r="E73" i="8"/>
  <c r="D73" i="8"/>
  <c r="C50" i="16"/>
  <c r="E50" i="16"/>
  <c r="A56" i="1"/>
  <c r="C75" i="8" l="1"/>
  <c r="E74" i="8"/>
  <c r="D74" i="8"/>
  <c r="C51" i="16"/>
  <c r="E51" i="16"/>
  <c r="A57" i="1"/>
  <c r="C76" i="8" l="1"/>
  <c r="E75" i="8"/>
  <c r="D75" i="8"/>
  <c r="C52" i="16"/>
  <c r="E52" i="16"/>
  <c r="A58" i="1"/>
  <c r="C77" i="8" l="1"/>
  <c r="E76" i="8"/>
  <c r="D76" i="8"/>
  <c r="C53" i="16"/>
  <c r="E53" i="16"/>
  <c r="A59" i="1"/>
  <c r="C78" i="8" l="1"/>
  <c r="E77" i="8"/>
  <c r="D77" i="8"/>
  <c r="C54" i="16"/>
  <c r="E54" i="16"/>
  <c r="A60" i="1"/>
  <c r="C79" i="8" l="1"/>
  <c r="E78" i="8"/>
  <c r="D78" i="8"/>
  <c r="C55" i="16"/>
  <c r="E55" i="16"/>
  <c r="A61" i="1"/>
  <c r="C80" i="8" l="1"/>
  <c r="E79" i="8"/>
  <c r="D79" i="8"/>
  <c r="C56" i="16"/>
  <c r="E56" i="16"/>
  <c r="A62" i="1"/>
  <c r="C81" i="8" l="1"/>
  <c r="D80" i="8"/>
  <c r="C57" i="16"/>
  <c r="E57" i="16"/>
  <c r="A63" i="1"/>
  <c r="C82" i="8" l="1"/>
  <c r="E81" i="8"/>
  <c r="D81" i="8"/>
  <c r="C58" i="16"/>
  <c r="E58" i="16"/>
  <c r="A64" i="1"/>
  <c r="C83" i="8" l="1"/>
  <c r="E82" i="8"/>
  <c r="D82" i="8"/>
  <c r="C59" i="16"/>
  <c r="E59" i="16"/>
  <c r="A65" i="1"/>
  <c r="C84" i="8" l="1"/>
  <c r="E83" i="8"/>
  <c r="D83" i="8"/>
  <c r="C60" i="16"/>
  <c r="E60" i="16"/>
  <c r="A66" i="1"/>
  <c r="C85" i="8" l="1"/>
  <c r="E84" i="8"/>
  <c r="D84" i="8"/>
  <c r="C61" i="16"/>
  <c r="E61" i="16"/>
  <c r="A67" i="1"/>
  <c r="C86" i="8" l="1"/>
  <c r="E85" i="8"/>
  <c r="D85" i="8"/>
  <c r="C62" i="16"/>
  <c r="E62" i="16"/>
  <c r="A68" i="1"/>
  <c r="C87" i="8" l="1"/>
  <c r="E86" i="8"/>
  <c r="D86" i="8"/>
  <c r="C63" i="16"/>
  <c r="E63" i="16"/>
  <c r="A69" i="1"/>
  <c r="C88" i="8" l="1"/>
  <c r="E87" i="8"/>
  <c r="D87" i="8"/>
  <c r="C64" i="16"/>
  <c r="E64" i="16"/>
  <c r="A70" i="1"/>
  <c r="C89" i="8" l="1"/>
  <c r="E88" i="8"/>
  <c r="D88" i="8"/>
  <c r="C65" i="16"/>
  <c r="E65" i="16"/>
  <c r="A71" i="1"/>
  <c r="C90" i="8" l="1"/>
  <c r="E89" i="8"/>
  <c r="D89" i="8"/>
  <c r="C66" i="16"/>
  <c r="E66" i="16"/>
  <c r="A72" i="1"/>
  <c r="C91" i="8" l="1"/>
  <c r="D90" i="8"/>
  <c r="C67" i="16"/>
  <c r="E67" i="16"/>
  <c r="A73" i="1"/>
  <c r="C92" i="8" l="1"/>
  <c r="E91" i="8"/>
  <c r="D91" i="8"/>
  <c r="C68" i="16"/>
  <c r="E68" i="16"/>
  <c r="A74" i="1"/>
  <c r="C93" i="8" l="1"/>
  <c r="E92" i="8"/>
  <c r="D92" i="8"/>
  <c r="C69" i="16"/>
  <c r="E69" i="16"/>
  <c r="A75" i="1"/>
  <c r="C94" i="8" l="1"/>
  <c r="E93" i="8"/>
  <c r="D93" i="8"/>
  <c r="A76" i="1"/>
  <c r="C95" i="8" l="1"/>
  <c r="E94" i="8"/>
  <c r="D94" i="8"/>
  <c r="H1" i="8"/>
  <c r="C96" i="8" l="1"/>
  <c r="E95" i="8"/>
  <c r="D95" i="8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96" i="8" l="1"/>
  <c r="D96" i="8"/>
  <c r="G60" i="1"/>
  <c r="J60" i="1" s="1"/>
  <c r="G41" i="1"/>
  <c r="J41" i="1" s="1"/>
  <c r="G70" i="1"/>
  <c r="G37" i="1"/>
  <c r="J37" i="1" s="1"/>
  <c r="G73" i="1"/>
  <c r="G35" i="1"/>
  <c r="J35" i="1" s="1"/>
  <c r="G76" i="1"/>
  <c r="G43" i="1"/>
  <c r="J43" i="1" s="1"/>
  <c r="G57" i="1"/>
  <c r="J57" i="1" s="1"/>
  <c r="G40" i="1"/>
  <c r="J40" i="1" s="1"/>
  <c r="G34" i="1"/>
  <c r="J34" i="1" s="1"/>
  <c r="G45" i="1"/>
  <c r="J45" i="1" s="1"/>
  <c r="G75" i="1"/>
  <c r="G42" i="1"/>
  <c r="J42" i="1" s="1"/>
  <c r="G72" i="1"/>
  <c r="G33" i="1"/>
  <c r="J33" i="1" s="1"/>
  <c r="G61" i="1"/>
  <c r="J61" i="1" s="1"/>
  <c r="G59" i="1"/>
  <c r="J59" i="1" s="1"/>
  <c r="G74" i="1"/>
  <c r="G56" i="1"/>
  <c r="J56" i="1" s="1"/>
  <c r="G71" i="1"/>
  <c r="G32" i="1"/>
  <c r="J32" i="1" s="1"/>
  <c r="G55" i="1"/>
  <c r="J55" i="1" s="1"/>
  <c r="G39" i="1"/>
  <c r="J39" i="1" s="1"/>
  <c r="G54" i="1"/>
  <c r="J54" i="1" s="1"/>
  <c r="G38" i="1"/>
  <c r="J38" i="1" s="1"/>
  <c r="G69" i="1"/>
  <c r="G53" i="1"/>
  <c r="J53" i="1" s="1"/>
  <c r="G68" i="1"/>
  <c r="G52" i="1"/>
  <c r="J52" i="1" s="1"/>
  <c r="G36" i="1"/>
  <c r="J36" i="1" s="1"/>
  <c r="G67" i="1"/>
  <c r="G51" i="1"/>
  <c r="J51" i="1" s="1"/>
  <c r="G66" i="1"/>
  <c r="G50" i="1"/>
  <c r="J50" i="1" s="1"/>
  <c r="G65" i="1"/>
  <c r="G49" i="1"/>
  <c r="J49" i="1" s="1"/>
  <c r="G64" i="1"/>
  <c r="J64" i="1" s="1"/>
  <c r="G48" i="1"/>
  <c r="J48" i="1" s="1"/>
  <c r="G63" i="1"/>
  <c r="J63" i="1" s="1"/>
  <c r="G47" i="1"/>
  <c r="J47" i="1" s="1"/>
  <c r="G31" i="1"/>
  <c r="J31" i="1" s="1"/>
  <c r="G44" i="1"/>
  <c r="J44" i="1" s="1"/>
  <c r="G58" i="1"/>
  <c r="J58" i="1" s="1"/>
  <c r="G62" i="1"/>
  <c r="J62" i="1" s="1"/>
  <c r="G46" i="1"/>
  <c r="J46" i="1" s="1"/>
  <c r="G30" i="1"/>
  <c r="J30" i="1" s="1"/>
  <c r="K43" i="1" l="1"/>
  <c r="K39" i="1"/>
  <c r="K55" i="1"/>
  <c r="K72" i="1"/>
  <c r="K76" i="1"/>
  <c r="K63" i="1"/>
  <c r="K67" i="1"/>
  <c r="K46" i="1"/>
  <c r="K52" i="1"/>
  <c r="K32" i="1"/>
  <c r="K42" i="1"/>
  <c r="K35" i="1"/>
  <c r="K71" i="1"/>
  <c r="K68" i="1"/>
  <c r="K36" i="1"/>
  <c r="K62" i="1"/>
  <c r="K73" i="1"/>
  <c r="K58" i="1"/>
  <c r="K65" i="1"/>
  <c r="K56" i="1"/>
  <c r="K37" i="1"/>
  <c r="K50" i="1"/>
  <c r="K74" i="1"/>
  <c r="K70" i="1"/>
  <c r="K31" i="1"/>
  <c r="K41" i="1"/>
  <c r="K33" i="1"/>
  <c r="K48" i="1"/>
  <c r="K64" i="1"/>
  <c r="K49" i="1"/>
  <c r="K75" i="1"/>
  <c r="K53" i="1"/>
  <c r="K45" i="1"/>
  <c r="K44" i="1"/>
  <c r="K69" i="1"/>
  <c r="K34" i="1"/>
  <c r="K66" i="1"/>
  <c r="K38" i="1"/>
  <c r="K59" i="1"/>
  <c r="K40" i="1"/>
  <c r="K47" i="1"/>
  <c r="K51" i="1"/>
  <c r="K54" i="1"/>
  <c r="K61" i="1"/>
  <c r="K57" i="1"/>
  <c r="K60" i="1"/>
  <c r="K30" i="1"/>
  <c r="L30" i="1"/>
  <c r="G29" i="1"/>
  <c r="J29" i="1" s="1"/>
  <c r="R10" i="16"/>
  <c r="Q11" i="16" l="1"/>
  <c r="R11" i="16" s="1"/>
  <c r="L40" i="1"/>
  <c r="H40" i="1" s="1"/>
  <c r="L53" i="1"/>
  <c r="L70" i="1"/>
  <c r="L62" i="1"/>
  <c r="L46" i="1"/>
  <c r="L59" i="1"/>
  <c r="L75" i="1"/>
  <c r="L74" i="1"/>
  <c r="L36" i="1"/>
  <c r="L67" i="1"/>
  <c r="L60" i="1"/>
  <c r="L38" i="1"/>
  <c r="L49" i="1"/>
  <c r="L50" i="1"/>
  <c r="L68" i="1"/>
  <c r="L63" i="1"/>
  <c r="H63" i="1" s="1"/>
  <c r="L57" i="1"/>
  <c r="H57" i="1" s="1"/>
  <c r="L66" i="1"/>
  <c r="L64" i="1"/>
  <c r="L37" i="1"/>
  <c r="L71" i="1"/>
  <c r="L76" i="1"/>
  <c r="L72" i="1"/>
  <c r="H72" i="1" s="1"/>
  <c r="L61" i="1"/>
  <c r="L34" i="1"/>
  <c r="H34" i="1" s="1"/>
  <c r="L54" i="1"/>
  <c r="H54" i="1" s="1"/>
  <c r="L69" i="1"/>
  <c r="L33" i="1"/>
  <c r="H33" i="1" s="1"/>
  <c r="L65" i="1"/>
  <c r="L42" i="1"/>
  <c r="L55" i="1"/>
  <c r="H55" i="1" s="1"/>
  <c r="L35" i="1"/>
  <c r="L51" i="1"/>
  <c r="L44" i="1"/>
  <c r="H44" i="1" s="1"/>
  <c r="L41" i="1"/>
  <c r="L58" i="1"/>
  <c r="L32" i="1"/>
  <c r="L39" i="1"/>
  <c r="L48" i="1"/>
  <c r="L56" i="1"/>
  <c r="L47" i="1"/>
  <c r="L45" i="1"/>
  <c r="L31" i="1"/>
  <c r="L73" i="1"/>
  <c r="L52" i="1"/>
  <c r="L43" i="1"/>
  <c r="K29" i="1"/>
  <c r="O29" i="1" l="1"/>
  <c r="N30" i="1" s="1"/>
  <c r="H66" i="1"/>
  <c r="H46" i="1"/>
  <c r="H52" i="1"/>
  <c r="H38" i="1"/>
  <c r="H65" i="1"/>
  <c r="H39" i="1"/>
  <c r="H59" i="1"/>
  <c r="H37" i="1"/>
  <c r="H58" i="1"/>
  <c r="H45" i="1"/>
  <c r="H61" i="1"/>
  <c r="H64" i="1"/>
  <c r="H71" i="1"/>
  <c r="H75" i="1"/>
  <c r="H48" i="1"/>
  <c r="H43" i="1"/>
  <c r="H32" i="1"/>
  <c r="H74" i="1"/>
  <c r="H56" i="1"/>
  <c r="H70" i="1"/>
  <c r="H53" i="1"/>
  <c r="E79" i="1"/>
  <c r="Q29" i="1"/>
  <c r="H30" i="1"/>
  <c r="H47" i="1"/>
  <c r="H76" i="1"/>
  <c r="H31" i="1"/>
  <c r="H49" i="1"/>
  <c r="H68" i="1"/>
  <c r="H73" i="1"/>
  <c r="H60" i="1"/>
  <c r="H36" i="1"/>
  <c r="H42" i="1"/>
  <c r="H69" i="1"/>
  <c r="H50" i="1"/>
  <c r="H35" i="1"/>
  <c r="H62" i="1"/>
  <c r="H51" i="1"/>
  <c r="H67" i="1"/>
  <c r="H41" i="1"/>
  <c r="P30" i="1" l="1"/>
  <c r="R30" i="1"/>
  <c r="Q30" i="1"/>
  <c r="S30" i="1"/>
  <c r="O30" i="1"/>
  <c r="S29" i="1"/>
  <c r="T30" i="1" l="1"/>
  <c r="U30" i="1" s="1"/>
  <c r="V30" i="1" s="1"/>
  <c r="X30" i="1" s="1"/>
  <c r="Y30" i="1" s="1"/>
  <c r="Z30" i="1" s="1"/>
  <c r="N31" i="1"/>
  <c r="L29" i="1"/>
  <c r="H29" i="1" s="1"/>
  <c r="W30" i="1" l="1"/>
  <c r="P31" i="1"/>
  <c r="R31" i="1"/>
  <c r="Q31" i="1"/>
  <c r="S31" i="1"/>
  <c r="O31" i="1"/>
  <c r="B3" i="14"/>
  <c r="A3" i="14"/>
  <c r="D3" i="14" s="1"/>
  <c r="T31" i="1" l="1"/>
  <c r="U31" i="1" s="1"/>
  <c r="N32" i="1"/>
  <c r="C3" i="14"/>
  <c r="T29" i="1"/>
  <c r="U29" i="1" s="1"/>
  <c r="W29" i="1" s="1"/>
  <c r="P32" i="1" l="1"/>
  <c r="R32" i="1"/>
  <c r="Q32" i="1"/>
  <c r="S32" i="1"/>
  <c r="O32" i="1"/>
  <c r="W31" i="1"/>
  <c r="V31" i="1"/>
  <c r="X31" i="1" s="1"/>
  <c r="V29" i="1"/>
  <c r="X29" i="1" s="1"/>
  <c r="Y31" i="1" l="1"/>
  <c r="Z31" i="1" s="1"/>
  <c r="A4" i="14"/>
  <c r="B4" i="14"/>
  <c r="T32" i="1"/>
  <c r="U32" i="1" s="1"/>
  <c r="N33" i="1"/>
  <c r="Y29" i="1"/>
  <c r="Z29" i="1" s="1"/>
  <c r="A2" i="14"/>
  <c r="B2" i="14"/>
  <c r="V32" i="1" l="1"/>
  <c r="X32" i="1" s="1"/>
  <c r="W32" i="1"/>
  <c r="P33" i="1"/>
  <c r="R33" i="1"/>
  <c r="Q33" i="1"/>
  <c r="S33" i="1"/>
  <c r="O33" i="1"/>
  <c r="D4" i="14"/>
  <c r="C4" i="14"/>
  <c r="D2" i="14"/>
  <c r="C2" i="14"/>
  <c r="T33" i="1" l="1"/>
  <c r="U33" i="1" s="1"/>
  <c r="N34" i="1"/>
  <c r="Y32" i="1"/>
  <c r="Z32" i="1" s="1"/>
  <c r="B5" i="14"/>
  <c r="A5" i="14"/>
  <c r="V33" i="1" l="1"/>
  <c r="X33" i="1" s="1"/>
  <c r="W33" i="1"/>
  <c r="D5" i="14"/>
  <c r="C5" i="14"/>
  <c r="P34" i="1"/>
  <c r="R34" i="1"/>
  <c r="Q34" i="1"/>
  <c r="S34" i="1"/>
  <c r="O34" i="1"/>
  <c r="T34" i="1" l="1"/>
  <c r="U34" i="1" s="1"/>
  <c r="N35" i="1"/>
  <c r="Y33" i="1"/>
  <c r="Z33" i="1" s="1"/>
  <c r="A6" i="14"/>
  <c r="B6" i="14"/>
  <c r="C21" i="16"/>
  <c r="V34" i="1" l="1"/>
  <c r="X34" i="1" s="1"/>
  <c r="W34" i="1"/>
  <c r="P35" i="1"/>
  <c r="R35" i="1"/>
  <c r="Q35" i="1"/>
  <c r="S35" i="1"/>
  <c r="O35" i="1"/>
  <c r="D6" i="14"/>
  <c r="C6" i="14"/>
  <c r="T35" i="1" l="1"/>
  <c r="U35" i="1" s="1"/>
  <c r="N36" i="1"/>
  <c r="Y34" i="1"/>
  <c r="Z34" i="1" s="1"/>
  <c r="B7" i="14"/>
  <c r="A7" i="14"/>
  <c r="S11" i="16"/>
  <c r="D10" i="16"/>
  <c r="D7" i="14" l="1"/>
  <c r="C7" i="14"/>
  <c r="W35" i="1"/>
  <c r="V35" i="1"/>
  <c r="X35" i="1" s="1"/>
  <c r="P36" i="1"/>
  <c r="R36" i="1"/>
  <c r="Q36" i="1"/>
  <c r="S36" i="1"/>
  <c r="O36" i="1"/>
  <c r="Q12" i="16"/>
  <c r="S12" i="16" s="1"/>
  <c r="R12" i="16" l="1"/>
  <c r="Q13" i="16" s="1"/>
  <c r="R13" i="16" s="1"/>
  <c r="Y35" i="1"/>
  <c r="Z35" i="1" s="1"/>
  <c r="B8" i="14"/>
  <c r="A8" i="14"/>
  <c r="T36" i="1"/>
  <c r="U36" i="1" s="1"/>
  <c r="N37" i="1"/>
  <c r="E10" i="16"/>
  <c r="V36" i="1" l="1"/>
  <c r="X36" i="1" s="1"/>
  <c r="W36" i="1"/>
  <c r="P37" i="1"/>
  <c r="R37" i="1"/>
  <c r="Q37" i="1"/>
  <c r="S37" i="1"/>
  <c r="O37" i="1"/>
  <c r="D8" i="14"/>
  <c r="C8" i="14"/>
  <c r="S13" i="16"/>
  <c r="F10" i="16"/>
  <c r="T37" i="1" l="1"/>
  <c r="U37" i="1" s="1"/>
  <c r="N38" i="1"/>
  <c r="Y36" i="1"/>
  <c r="Z36" i="1" s="1"/>
  <c r="A9" i="14"/>
  <c r="B9" i="14"/>
  <c r="Q14" i="16"/>
  <c r="R14" i="16" s="1"/>
  <c r="C9" i="14" l="1"/>
  <c r="D9" i="14"/>
  <c r="W37" i="1"/>
  <c r="V37" i="1"/>
  <c r="X37" i="1" s="1"/>
  <c r="P38" i="1"/>
  <c r="R38" i="1"/>
  <c r="Q38" i="1"/>
  <c r="S38" i="1"/>
  <c r="O38" i="1"/>
  <c r="S14" i="16"/>
  <c r="G10" i="16"/>
  <c r="T38" i="1" l="1"/>
  <c r="U38" i="1" s="1"/>
  <c r="N39" i="1"/>
  <c r="Y37" i="1"/>
  <c r="Z37" i="1" s="1"/>
  <c r="A10" i="14"/>
  <c r="B10" i="14"/>
  <c r="Q15" i="16"/>
  <c r="S15" i="16" s="1"/>
  <c r="R15" i="16" l="1"/>
  <c r="Q16" i="16" s="1"/>
  <c r="D10" i="14"/>
  <c r="C10" i="14"/>
  <c r="V38" i="1"/>
  <c r="X38" i="1" s="1"/>
  <c r="W38" i="1"/>
  <c r="P39" i="1"/>
  <c r="R39" i="1"/>
  <c r="Q39" i="1"/>
  <c r="S39" i="1"/>
  <c r="O39" i="1"/>
  <c r="H10" i="16"/>
  <c r="S16" i="16" l="1"/>
  <c r="I10" i="16"/>
  <c r="R16" i="16"/>
  <c r="T39" i="1"/>
  <c r="U39" i="1" s="1"/>
  <c r="N40" i="1"/>
  <c r="Y38" i="1"/>
  <c r="Z38" i="1" s="1"/>
  <c r="B11" i="14"/>
  <c r="A11" i="14"/>
  <c r="Q17" i="16" l="1"/>
  <c r="J10" i="16" s="1"/>
  <c r="D11" i="14"/>
  <c r="C11" i="14"/>
  <c r="V39" i="1"/>
  <c r="X39" i="1" s="1"/>
  <c r="W39" i="1"/>
  <c r="P40" i="1"/>
  <c r="R40" i="1"/>
  <c r="Q40" i="1"/>
  <c r="S40" i="1"/>
  <c r="O40" i="1"/>
  <c r="S17" i="16" l="1"/>
  <c r="R17" i="16"/>
  <c r="Q18" i="16" s="1"/>
  <c r="K10" i="16" s="1"/>
  <c r="T40" i="1"/>
  <c r="U40" i="1" s="1"/>
  <c r="N41" i="1"/>
  <c r="Y39" i="1"/>
  <c r="Z39" i="1" s="1"/>
  <c r="B12" i="14"/>
  <c r="A12" i="14"/>
  <c r="C12" i="14" l="1"/>
  <c r="D12" i="14"/>
  <c r="W40" i="1"/>
  <c r="V40" i="1"/>
  <c r="X40" i="1" s="1"/>
  <c r="P41" i="1"/>
  <c r="R41" i="1"/>
  <c r="Q41" i="1"/>
  <c r="S41" i="1"/>
  <c r="O41" i="1"/>
  <c r="R18" i="16"/>
  <c r="S18" i="16"/>
  <c r="T41" i="1" l="1"/>
  <c r="U41" i="1" s="1"/>
  <c r="N42" i="1"/>
  <c r="Y40" i="1"/>
  <c r="Z40" i="1" s="1"/>
  <c r="B13" i="14"/>
  <c r="A13" i="14"/>
  <c r="Q19" i="16"/>
  <c r="S19" i="16" s="1"/>
  <c r="R19" i="16" l="1"/>
  <c r="Q20" i="16" s="1"/>
  <c r="R20" i="16" s="1"/>
  <c r="C13" i="14"/>
  <c r="D13" i="14"/>
  <c r="V41" i="1"/>
  <c r="X41" i="1" s="1"/>
  <c r="W41" i="1"/>
  <c r="P42" i="1"/>
  <c r="R42" i="1"/>
  <c r="Q42" i="1"/>
  <c r="S42" i="1"/>
  <c r="O42" i="1"/>
  <c r="L10" i="16"/>
  <c r="T42" i="1" l="1"/>
  <c r="U42" i="1" s="1"/>
  <c r="N43" i="1"/>
  <c r="Y41" i="1"/>
  <c r="Z41" i="1" s="1"/>
  <c r="B14" i="14"/>
  <c r="A14" i="14"/>
  <c r="S20" i="16"/>
  <c r="M10" i="16"/>
  <c r="D14" i="14" l="1"/>
  <c r="C14" i="14"/>
  <c r="P43" i="1"/>
  <c r="R43" i="1"/>
  <c r="Q43" i="1"/>
  <c r="S43" i="1"/>
  <c r="O43" i="1"/>
  <c r="W42" i="1"/>
  <c r="V42" i="1"/>
  <c r="X42" i="1" s="1"/>
  <c r="Q21" i="16"/>
  <c r="R21" i="16" s="1"/>
  <c r="T43" i="1" l="1"/>
  <c r="U43" i="1" s="1"/>
  <c r="N44" i="1"/>
  <c r="Y42" i="1"/>
  <c r="Z42" i="1" s="1"/>
  <c r="A15" i="14"/>
  <c r="B15" i="14"/>
  <c r="N10" i="16"/>
  <c r="S21" i="16"/>
  <c r="W43" i="1" l="1"/>
  <c r="V43" i="1"/>
  <c r="X43" i="1" s="1"/>
  <c r="D15" i="14"/>
  <c r="C15" i="14"/>
  <c r="P44" i="1"/>
  <c r="R44" i="1"/>
  <c r="Q44" i="1"/>
  <c r="S44" i="1"/>
  <c r="O44" i="1"/>
  <c r="Q22" i="16"/>
  <c r="R22" i="16" s="1"/>
  <c r="T44" i="1" l="1"/>
  <c r="U44" i="1" s="1"/>
  <c r="N45" i="1"/>
  <c r="Y43" i="1"/>
  <c r="Z43" i="1" s="1"/>
  <c r="A16" i="14"/>
  <c r="B16" i="14"/>
  <c r="C11" i="16"/>
  <c r="S22" i="16"/>
  <c r="W44" i="1" l="1"/>
  <c r="V44" i="1"/>
  <c r="X44" i="1" s="1"/>
  <c r="D16" i="14"/>
  <c r="C16" i="14"/>
  <c r="P45" i="1"/>
  <c r="R45" i="1"/>
  <c r="Q45" i="1"/>
  <c r="S45" i="1"/>
  <c r="O45" i="1"/>
  <c r="Q23" i="16"/>
  <c r="R23" i="16" s="1"/>
  <c r="T45" i="1" l="1"/>
  <c r="U45" i="1" s="1"/>
  <c r="N46" i="1"/>
  <c r="Y44" i="1"/>
  <c r="Z44" i="1" s="1"/>
  <c r="A17" i="14"/>
  <c r="B17" i="14"/>
  <c r="D11" i="16"/>
  <c r="S23" i="16"/>
  <c r="W45" i="1" l="1"/>
  <c r="V45" i="1"/>
  <c r="X45" i="1" s="1"/>
  <c r="D17" i="14"/>
  <c r="C17" i="14"/>
  <c r="P46" i="1"/>
  <c r="R46" i="1"/>
  <c r="Q46" i="1"/>
  <c r="S46" i="1"/>
  <c r="O46" i="1"/>
  <c r="Q24" i="16"/>
  <c r="R24" i="16" s="1"/>
  <c r="T46" i="1" l="1"/>
  <c r="U46" i="1" s="1"/>
  <c r="N47" i="1"/>
  <c r="Y45" i="1"/>
  <c r="Z45" i="1" s="1"/>
  <c r="B18" i="14"/>
  <c r="A18" i="14"/>
  <c r="S24" i="16"/>
  <c r="E11" i="16"/>
  <c r="D18" i="14" l="1"/>
  <c r="C18" i="14"/>
  <c r="P47" i="1"/>
  <c r="R47" i="1"/>
  <c r="Q47" i="1"/>
  <c r="S47" i="1"/>
  <c r="O47" i="1"/>
  <c r="W46" i="1"/>
  <c r="V46" i="1"/>
  <c r="X46" i="1" s="1"/>
  <c r="Q25" i="16"/>
  <c r="R25" i="16" s="1"/>
  <c r="Y46" i="1" l="1"/>
  <c r="Z46" i="1" s="1"/>
  <c r="A19" i="14"/>
  <c r="B19" i="14"/>
  <c r="T47" i="1"/>
  <c r="U47" i="1" s="1"/>
  <c r="N48" i="1"/>
  <c r="S25" i="16"/>
  <c r="F11" i="16"/>
  <c r="W47" i="1" l="1"/>
  <c r="V47" i="1"/>
  <c r="X47" i="1" s="1"/>
  <c r="P48" i="1"/>
  <c r="R48" i="1"/>
  <c r="Q48" i="1"/>
  <c r="S48" i="1"/>
  <c r="O48" i="1"/>
  <c r="D19" i="14"/>
  <c r="C19" i="14"/>
  <c r="Q26" i="16"/>
  <c r="R26" i="16" s="1"/>
  <c r="T48" i="1" l="1"/>
  <c r="U48" i="1" s="1"/>
  <c r="N49" i="1"/>
  <c r="Y47" i="1"/>
  <c r="Z47" i="1" s="1"/>
  <c r="B20" i="14"/>
  <c r="A20" i="14"/>
  <c r="S26" i="16"/>
  <c r="G11" i="16"/>
  <c r="V48" i="1" l="1"/>
  <c r="X48" i="1" s="1"/>
  <c r="W48" i="1"/>
  <c r="D20" i="14"/>
  <c r="C20" i="14"/>
  <c r="P49" i="1"/>
  <c r="R49" i="1"/>
  <c r="Q49" i="1"/>
  <c r="S49" i="1"/>
  <c r="O49" i="1"/>
  <c r="Q27" i="16"/>
  <c r="R27" i="16" s="1"/>
  <c r="T49" i="1" l="1"/>
  <c r="U49" i="1" s="1"/>
  <c r="N50" i="1"/>
  <c r="Y48" i="1"/>
  <c r="Z48" i="1" s="1"/>
  <c r="A21" i="14"/>
  <c r="B21" i="14"/>
  <c r="H11" i="16"/>
  <c r="S27" i="16"/>
  <c r="V49" i="1" l="1"/>
  <c r="X49" i="1" s="1"/>
  <c r="W49" i="1"/>
  <c r="D21" i="14"/>
  <c r="C21" i="14"/>
  <c r="P50" i="1"/>
  <c r="R50" i="1"/>
  <c r="Q50" i="1"/>
  <c r="S50" i="1"/>
  <c r="O50" i="1"/>
  <c r="Q28" i="16"/>
  <c r="R28" i="16" s="1"/>
  <c r="T50" i="1" l="1"/>
  <c r="U50" i="1" s="1"/>
  <c r="N51" i="1"/>
  <c r="Y49" i="1"/>
  <c r="Z49" i="1" s="1"/>
  <c r="A22" i="14"/>
  <c r="D22" i="14" s="1"/>
  <c r="B22" i="14"/>
  <c r="S28" i="16"/>
  <c r="I11" i="16"/>
  <c r="C22" i="14" l="1"/>
  <c r="W50" i="1"/>
  <c r="V50" i="1"/>
  <c r="X50" i="1" s="1"/>
  <c r="P51" i="1"/>
  <c r="R51" i="1"/>
  <c r="Q51" i="1"/>
  <c r="S51" i="1"/>
  <c r="O51" i="1"/>
  <c r="Q29" i="16"/>
  <c r="R29" i="16" s="1"/>
  <c r="T51" i="1" l="1"/>
  <c r="U51" i="1" s="1"/>
  <c r="N52" i="1"/>
  <c r="Y50" i="1"/>
  <c r="Z50" i="1" s="1"/>
  <c r="B23" i="14"/>
  <c r="A23" i="14"/>
  <c r="S29" i="16"/>
  <c r="J11" i="16"/>
  <c r="C23" i="14" l="1"/>
  <c r="D23" i="14"/>
  <c r="V51" i="1"/>
  <c r="X51" i="1" s="1"/>
  <c r="W51" i="1"/>
  <c r="P52" i="1"/>
  <c r="R52" i="1"/>
  <c r="Q52" i="1"/>
  <c r="S52" i="1"/>
  <c r="O52" i="1"/>
  <c r="Q30" i="16"/>
  <c r="R30" i="16" s="1"/>
  <c r="Y51" i="1" l="1"/>
  <c r="Z51" i="1" s="1"/>
  <c r="A24" i="14"/>
  <c r="B24" i="14"/>
  <c r="T52" i="1"/>
  <c r="U52" i="1" s="1"/>
  <c r="N53" i="1"/>
  <c r="K11" i="16"/>
  <c r="S30" i="16"/>
  <c r="W52" i="1" l="1"/>
  <c r="V52" i="1"/>
  <c r="X52" i="1" s="1"/>
  <c r="P53" i="1"/>
  <c r="R53" i="1"/>
  <c r="Q53" i="1"/>
  <c r="S53" i="1"/>
  <c r="O53" i="1"/>
  <c r="D24" i="14"/>
  <c r="C24" i="14"/>
  <c r="Q31" i="16"/>
  <c r="R31" i="16" s="1"/>
  <c r="T53" i="1" l="1"/>
  <c r="U53" i="1" s="1"/>
  <c r="N54" i="1"/>
  <c r="Y52" i="1"/>
  <c r="Z52" i="1" s="1"/>
  <c r="B25" i="14"/>
  <c r="A25" i="14"/>
  <c r="L11" i="16"/>
  <c r="S31" i="16"/>
  <c r="P54" i="1" l="1"/>
  <c r="R54" i="1"/>
  <c r="Q54" i="1"/>
  <c r="S54" i="1"/>
  <c r="O54" i="1"/>
  <c r="V53" i="1"/>
  <c r="X53" i="1" s="1"/>
  <c r="W53" i="1"/>
  <c r="D25" i="14"/>
  <c r="C25" i="14"/>
  <c r="Q32" i="16"/>
  <c r="R32" i="16" s="1"/>
  <c r="Y53" i="1" l="1"/>
  <c r="Z53" i="1" s="1"/>
  <c r="B26" i="14"/>
  <c r="A26" i="14"/>
  <c r="T54" i="1"/>
  <c r="U54" i="1" s="1"/>
  <c r="N55" i="1"/>
  <c r="S32" i="16"/>
  <c r="M11" i="16"/>
  <c r="W54" i="1" l="1"/>
  <c r="V54" i="1"/>
  <c r="X54" i="1" s="1"/>
  <c r="P55" i="1"/>
  <c r="R55" i="1"/>
  <c r="Q55" i="1"/>
  <c r="S55" i="1"/>
  <c r="O55" i="1"/>
  <c r="C26" i="14"/>
  <c r="D26" i="14"/>
  <c r="Q33" i="16"/>
  <c r="R33" i="16" s="1"/>
  <c r="T55" i="1" l="1"/>
  <c r="U55" i="1" s="1"/>
  <c r="N56" i="1"/>
  <c r="Y54" i="1"/>
  <c r="Z54" i="1" s="1"/>
  <c r="B27" i="14"/>
  <c r="A27" i="14"/>
  <c r="D27" i="14" s="1"/>
  <c r="S33" i="16"/>
  <c r="N11" i="16"/>
  <c r="V55" i="1" l="1"/>
  <c r="X55" i="1" s="1"/>
  <c r="W55" i="1"/>
  <c r="C27" i="14"/>
  <c r="P56" i="1"/>
  <c r="R56" i="1"/>
  <c r="Q56" i="1"/>
  <c r="S56" i="1"/>
  <c r="O56" i="1"/>
  <c r="Q34" i="16"/>
  <c r="S34" i="16" s="1"/>
  <c r="R34" i="16" l="1"/>
  <c r="Q35" i="16" s="1"/>
  <c r="R35" i="16" s="1"/>
  <c r="T56" i="1"/>
  <c r="U56" i="1" s="1"/>
  <c r="N57" i="1"/>
  <c r="Y55" i="1"/>
  <c r="Z55" i="1" s="1"/>
  <c r="A28" i="14"/>
  <c r="B28" i="14"/>
  <c r="C12" i="16"/>
  <c r="W56" i="1" l="1"/>
  <c r="V56" i="1"/>
  <c r="X56" i="1" s="1"/>
  <c r="D28" i="14"/>
  <c r="C28" i="14"/>
  <c r="P57" i="1"/>
  <c r="R57" i="1"/>
  <c r="Q57" i="1"/>
  <c r="S57" i="1"/>
  <c r="O57" i="1"/>
  <c r="D12" i="16"/>
  <c r="S35" i="16"/>
  <c r="T57" i="1" l="1"/>
  <c r="U57" i="1" s="1"/>
  <c r="N58" i="1"/>
  <c r="Y56" i="1"/>
  <c r="Z56" i="1" s="1"/>
  <c r="A29" i="14"/>
  <c r="B29" i="14"/>
  <c r="Q36" i="16"/>
  <c r="S36" i="16" s="1"/>
  <c r="R36" i="16" l="1"/>
  <c r="Q37" i="16" s="1"/>
  <c r="R37" i="16" s="1"/>
  <c r="D29" i="14"/>
  <c r="C29" i="14"/>
  <c r="V57" i="1"/>
  <c r="X57" i="1" s="1"/>
  <c r="W57" i="1"/>
  <c r="P58" i="1"/>
  <c r="R58" i="1"/>
  <c r="Q58" i="1"/>
  <c r="S58" i="1"/>
  <c r="O58" i="1"/>
  <c r="E12" i="16"/>
  <c r="T58" i="1" l="1"/>
  <c r="U58" i="1" s="1"/>
  <c r="N59" i="1"/>
  <c r="Y57" i="1"/>
  <c r="Z57" i="1" s="1"/>
  <c r="A30" i="14"/>
  <c r="B30" i="14"/>
  <c r="S37" i="16"/>
  <c r="F12" i="16"/>
  <c r="W58" i="1" l="1"/>
  <c r="V58" i="1"/>
  <c r="X58" i="1" s="1"/>
  <c r="D30" i="14"/>
  <c r="C30" i="14"/>
  <c r="P59" i="1"/>
  <c r="R59" i="1"/>
  <c r="Q59" i="1"/>
  <c r="S59" i="1"/>
  <c r="O59" i="1"/>
  <c r="Q38" i="16"/>
  <c r="R38" i="16" s="1"/>
  <c r="T59" i="1" l="1"/>
  <c r="U59" i="1" s="1"/>
  <c r="N60" i="1"/>
  <c r="Y58" i="1"/>
  <c r="Z58" i="1" s="1"/>
  <c r="B31" i="14"/>
  <c r="A31" i="14"/>
  <c r="G12" i="16"/>
  <c r="S38" i="16"/>
  <c r="D31" i="14" l="1"/>
  <c r="C31" i="14"/>
  <c r="V59" i="1"/>
  <c r="X59" i="1" s="1"/>
  <c r="W59" i="1"/>
  <c r="P60" i="1"/>
  <c r="R60" i="1"/>
  <c r="Q60" i="1"/>
  <c r="S60" i="1"/>
  <c r="O60" i="1"/>
  <c r="Q39" i="16"/>
  <c r="S39" i="16" s="1"/>
  <c r="R39" i="16" l="1"/>
  <c r="Q40" i="16" s="1"/>
  <c r="R40" i="16" s="1"/>
  <c r="T60" i="1"/>
  <c r="U60" i="1" s="1"/>
  <c r="N61" i="1"/>
  <c r="Y59" i="1"/>
  <c r="Z59" i="1" s="1"/>
  <c r="A32" i="14"/>
  <c r="B32" i="14"/>
  <c r="H12" i="16"/>
  <c r="D32" i="14" l="1"/>
  <c r="C32" i="14"/>
  <c r="W60" i="1"/>
  <c r="V60" i="1"/>
  <c r="X60" i="1" s="1"/>
  <c r="P61" i="1"/>
  <c r="R61" i="1"/>
  <c r="Q61" i="1"/>
  <c r="S61" i="1"/>
  <c r="O61" i="1"/>
  <c r="I12" i="16"/>
  <c r="S40" i="16"/>
  <c r="T61" i="1" l="1"/>
  <c r="U61" i="1" s="1"/>
  <c r="N62" i="1"/>
  <c r="Y60" i="1"/>
  <c r="Z60" i="1" s="1"/>
  <c r="B33" i="14"/>
  <c r="A33" i="14"/>
  <c r="Q41" i="16"/>
  <c r="R41" i="16" s="1"/>
  <c r="D33" i="14" l="1"/>
  <c r="C33" i="14"/>
  <c r="V61" i="1"/>
  <c r="X61" i="1" s="1"/>
  <c r="W61" i="1"/>
  <c r="P62" i="1"/>
  <c r="R62" i="1"/>
  <c r="Q62" i="1"/>
  <c r="S62" i="1"/>
  <c r="O62" i="1"/>
  <c r="S41" i="16"/>
  <c r="J12" i="16"/>
  <c r="T62" i="1" l="1"/>
  <c r="U62" i="1" s="1"/>
  <c r="N63" i="1"/>
  <c r="Y61" i="1"/>
  <c r="Z61" i="1" s="1"/>
  <c r="B34" i="14"/>
  <c r="A34" i="14"/>
  <c r="Q42" i="16"/>
  <c r="R42" i="16" s="1"/>
  <c r="C34" i="14" l="1"/>
  <c r="D34" i="14"/>
  <c r="V62" i="1"/>
  <c r="X62" i="1" s="1"/>
  <c r="W62" i="1"/>
  <c r="P63" i="1"/>
  <c r="R63" i="1"/>
  <c r="Q63" i="1"/>
  <c r="S63" i="1"/>
  <c r="O63" i="1"/>
  <c r="K12" i="16"/>
  <c r="S42" i="16"/>
  <c r="Y62" i="1" l="1"/>
  <c r="Z62" i="1" s="1"/>
  <c r="A35" i="14"/>
  <c r="B35" i="14"/>
  <c r="T63" i="1"/>
  <c r="U63" i="1" s="1"/>
  <c r="N64" i="1"/>
  <c r="Q43" i="16"/>
  <c r="R43" i="16" s="1"/>
  <c r="P64" i="1" l="1"/>
  <c r="R64" i="1"/>
  <c r="Q64" i="1"/>
  <c r="S64" i="1"/>
  <c r="O64" i="1"/>
  <c r="D35" i="14"/>
  <c r="C35" i="14"/>
  <c r="V63" i="1"/>
  <c r="X63" i="1" s="1"/>
  <c r="W63" i="1"/>
  <c r="S43" i="16"/>
  <c r="L12" i="16"/>
  <c r="Y63" i="1" l="1"/>
  <c r="Z63" i="1" s="1"/>
  <c r="B36" i="14"/>
  <c r="A36" i="14"/>
  <c r="T64" i="1"/>
  <c r="U64" i="1" s="1"/>
  <c r="N65" i="1"/>
  <c r="Q44" i="16"/>
  <c r="S44" i="16" s="1"/>
  <c r="W64" i="1" l="1"/>
  <c r="V64" i="1"/>
  <c r="X64" i="1" s="1"/>
  <c r="P65" i="1"/>
  <c r="R65" i="1"/>
  <c r="Q65" i="1"/>
  <c r="S65" i="1"/>
  <c r="O65" i="1"/>
  <c r="D36" i="14"/>
  <c r="C36" i="14"/>
  <c r="R44" i="16"/>
  <c r="Q45" i="16" s="1"/>
  <c r="M12" i="16"/>
  <c r="Y64" i="1" l="1"/>
  <c r="Z64" i="1" s="1"/>
  <c r="B37" i="14"/>
  <c r="A37" i="14"/>
  <c r="T65" i="1"/>
  <c r="U65" i="1" s="1"/>
  <c r="N66" i="1"/>
  <c r="N12" i="16"/>
  <c r="S45" i="16"/>
  <c r="R45" i="16"/>
  <c r="V65" i="1" l="1"/>
  <c r="X65" i="1" s="1"/>
  <c r="W65" i="1"/>
  <c r="P66" i="1"/>
  <c r="R66" i="1"/>
  <c r="Q66" i="1"/>
  <c r="S66" i="1"/>
  <c r="O66" i="1"/>
  <c r="C37" i="14"/>
  <c r="D37" i="14"/>
  <c r="Q46" i="16"/>
  <c r="R46" i="16" s="1"/>
  <c r="T66" i="1" l="1"/>
  <c r="U66" i="1" s="1"/>
  <c r="N67" i="1"/>
  <c r="Y65" i="1"/>
  <c r="Z65" i="1" s="1"/>
  <c r="A38" i="14"/>
  <c r="B38" i="14"/>
  <c r="S46" i="16"/>
  <c r="C13" i="16"/>
  <c r="W66" i="1" l="1"/>
  <c r="V66" i="1"/>
  <c r="X66" i="1" s="1"/>
  <c r="D38" i="14"/>
  <c r="F38" i="14" s="1"/>
  <c r="C38" i="14"/>
  <c r="P67" i="1"/>
  <c r="R67" i="1"/>
  <c r="Q67" i="1"/>
  <c r="S67" i="1"/>
  <c r="O67" i="1"/>
  <c r="Q47" i="16"/>
  <c r="D13" i="16" s="1"/>
  <c r="R47" i="16" l="1"/>
  <c r="T67" i="1"/>
  <c r="U67" i="1" s="1"/>
  <c r="N68" i="1"/>
  <c r="Y66" i="1"/>
  <c r="Z66" i="1" s="1"/>
  <c r="A39" i="14"/>
  <c r="B39" i="14"/>
  <c r="S47" i="16"/>
  <c r="Q48" i="16" l="1"/>
  <c r="R48" i="16" s="1"/>
  <c r="V67" i="1"/>
  <c r="X67" i="1" s="1"/>
  <c r="W67" i="1"/>
  <c r="D39" i="14"/>
  <c r="F39" i="14" s="1"/>
  <c r="C39" i="14"/>
  <c r="P68" i="1"/>
  <c r="R68" i="1"/>
  <c r="Q68" i="1"/>
  <c r="S68" i="1"/>
  <c r="O68" i="1"/>
  <c r="S48" i="16" l="1"/>
  <c r="E13" i="16"/>
  <c r="T68" i="1"/>
  <c r="U68" i="1" s="1"/>
  <c r="N69" i="1"/>
  <c r="Y67" i="1"/>
  <c r="Z67" i="1" s="1"/>
  <c r="B40" i="14"/>
  <c r="A40" i="14"/>
  <c r="Q49" i="16" l="1"/>
  <c r="R49" i="16" s="1"/>
  <c r="C40" i="14"/>
  <c r="D40" i="14"/>
  <c r="F40" i="14" s="1"/>
  <c r="W68" i="1"/>
  <c r="V68" i="1"/>
  <c r="X68" i="1" s="1"/>
  <c r="P69" i="1"/>
  <c r="R69" i="1"/>
  <c r="Q69" i="1"/>
  <c r="S69" i="1"/>
  <c r="O69" i="1"/>
  <c r="F13" i="16" l="1"/>
  <c r="S49" i="16"/>
  <c r="Q50" i="16" s="1"/>
  <c r="S50" i="16" s="1"/>
  <c r="T69" i="1"/>
  <c r="U69" i="1" s="1"/>
  <c r="N70" i="1"/>
  <c r="Y68" i="1"/>
  <c r="Z68" i="1" s="1"/>
  <c r="A41" i="14"/>
  <c r="B41" i="14"/>
  <c r="C41" i="14" l="1"/>
  <c r="D41" i="14"/>
  <c r="F41" i="14" s="1"/>
  <c r="V69" i="1"/>
  <c r="X69" i="1" s="1"/>
  <c r="W69" i="1"/>
  <c r="P70" i="1"/>
  <c r="R70" i="1"/>
  <c r="Q70" i="1"/>
  <c r="S70" i="1"/>
  <c r="O70" i="1"/>
  <c r="R50" i="16"/>
  <c r="Q51" i="16" s="1"/>
  <c r="G13" i="16"/>
  <c r="Y69" i="1" l="1"/>
  <c r="Z69" i="1" s="1"/>
  <c r="B42" i="14"/>
  <c r="A42" i="14"/>
  <c r="T70" i="1"/>
  <c r="U70" i="1" s="1"/>
  <c r="N71" i="1"/>
  <c r="R51" i="16"/>
  <c r="H13" i="16"/>
  <c r="S51" i="16"/>
  <c r="Q52" i="16" l="1"/>
  <c r="I13" i="16" s="1"/>
  <c r="W70" i="1"/>
  <c r="V70" i="1"/>
  <c r="X70" i="1" s="1"/>
  <c r="D42" i="14"/>
  <c r="F42" i="14" s="1"/>
  <c r="C42" i="14"/>
  <c r="P71" i="1"/>
  <c r="R71" i="1"/>
  <c r="Q71" i="1"/>
  <c r="S71" i="1"/>
  <c r="O71" i="1"/>
  <c r="R52" i="16" l="1"/>
  <c r="S52" i="16"/>
  <c r="T71" i="1"/>
  <c r="U71" i="1" s="1"/>
  <c r="N72" i="1"/>
  <c r="Y70" i="1"/>
  <c r="Z70" i="1" s="1"/>
  <c r="B43" i="14"/>
  <c r="A43" i="14"/>
  <c r="Q53" i="16" l="1"/>
  <c r="J13" i="16" s="1"/>
  <c r="D43" i="14"/>
  <c r="F43" i="14" s="1"/>
  <c r="C43" i="14"/>
  <c r="V71" i="1"/>
  <c r="X71" i="1" s="1"/>
  <c r="W71" i="1"/>
  <c r="P72" i="1"/>
  <c r="R72" i="1"/>
  <c r="Q72" i="1"/>
  <c r="S72" i="1"/>
  <c r="O72" i="1"/>
  <c r="S53" i="16" l="1"/>
  <c r="R53" i="16"/>
  <c r="T72" i="1"/>
  <c r="U72" i="1" s="1"/>
  <c r="N73" i="1"/>
  <c r="Y71" i="1"/>
  <c r="Z71" i="1" s="1"/>
  <c r="B44" i="14"/>
  <c r="A44" i="14"/>
  <c r="Q54" i="16" l="1"/>
  <c r="R54" i="16" s="1"/>
  <c r="W72" i="1"/>
  <c r="V72" i="1"/>
  <c r="X72" i="1" s="1"/>
  <c r="D44" i="14"/>
  <c r="F44" i="14" s="1"/>
  <c r="C44" i="14"/>
  <c r="P73" i="1"/>
  <c r="R73" i="1"/>
  <c r="Q73" i="1"/>
  <c r="S73" i="1"/>
  <c r="O73" i="1"/>
  <c r="K13" i="16" l="1"/>
  <c r="S54" i="16"/>
  <c r="Q55" i="16" s="1"/>
  <c r="R55" i="16" s="1"/>
  <c r="T73" i="1"/>
  <c r="U73" i="1" s="1"/>
  <c r="N74" i="1"/>
  <c r="Y72" i="1"/>
  <c r="Z72" i="1" s="1"/>
  <c r="B45" i="14"/>
  <c r="A45" i="14"/>
  <c r="L13" i="16" l="1"/>
  <c r="S55" i="16"/>
  <c r="Q56" i="16" s="1"/>
  <c r="M13" i="16" s="1"/>
  <c r="W73" i="1"/>
  <c r="V73" i="1"/>
  <c r="X73" i="1" s="1"/>
  <c r="D45" i="14"/>
  <c r="F45" i="14" s="1"/>
  <c r="C45" i="14"/>
  <c r="P74" i="1"/>
  <c r="R74" i="1"/>
  <c r="Q74" i="1"/>
  <c r="S74" i="1"/>
  <c r="O74" i="1"/>
  <c r="R56" i="16" l="1"/>
  <c r="T74" i="1"/>
  <c r="U74" i="1" s="1"/>
  <c r="N75" i="1"/>
  <c r="Y73" i="1"/>
  <c r="Z73" i="1" s="1"/>
  <c r="A46" i="14"/>
  <c r="B46" i="14"/>
  <c r="S56" i="16"/>
  <c r="W74" i="1" l="1"/>
  <c r="V74" i="1"/>
  <c r="X74" i="1" s="1"/>
  <c r="D46" i="14"/>
  <c r="F46" i="14" s="1"/>
  <c r="C46" i="14"/>
  <c r="P75" i="1"/>
  <c r="R75" i="1"/>
  <c r="Q75" i="1"/>
  <c r="S75" i="1"/>
  <c r="O75" i="1"/>
  <c r="Q57" i="16"/>
  <c r="S57" i="16" s="1"/>
  <c r="R57" i="16" l="1"/>
  <c r="Q58" i="16" s="1"/>
  <c r="S58" i="16" s="1"/>
  <c r="Q59" i="16" s="1"/>
  <c r="S59" i="16" s="1"/>
  <c r="T75" i="1"/>
  <c r="U75" i="1" s="1"/>
  <c r="N76" i="1"/>
  <c r="Y74" i="1"/>
  <c r="Z74" i="1" s="1"/>
  <c r="B47" i="14"/>
  <c r="A47" i="14"/>
  <c r="N13" i="16"/>
  <c r="V75" i="1" l="1"/>
  <c r="X75" i="1" s="1"/>
  <c r="W75" i="1"/>
  <c r="D47" i="14"/>
  <c r="F47" i="14" s="1"/>
  <c r="C47" i="14"/>
  <c r="P76" i="1"/>
  <c r="R76" i="1"/>
  <c r="Q76" i="1"/>
  <c r="S76" i="1"/>
  <c r="O76" i="1"/>
  <c r="T76" i="1" l="1"/>
  <c r="U76" i="1" s="1"/>
  <c r="Y75" i="1"/>
  <c r="Z75" i="1" s="1"/>
  <c r="B48" i="14"/>
  <c r="A48" i="14"/>
  <c r="D48" i="14" l="1"/>
  <c r="F48" i="14" s="1"/>
  <c r="C48" i="14"/>
  <c r="V76" i="1"/>
  <c r="X76" i="1" s="1"/>
  <c r="W76" i="1"/>
  <c r="Y76" i="1" l="1"/>
  <c r="Z76" i="1" s="1"/>
  <c r="A49" i="14"/>
  <c r="B49" i="14"/>
  <c r="H2" i="14" l="1"/>
  <c r="J2" i="14" s="1"/>
  <c r="L2" i="14" s="1"/>
  <c r="F26" i="1"/>
  <c r="C20" i="16" s="1"/>
  <c r="D49" i="14"/>
  <c r="F49" i="14" s="1"/>
  <c r="C49" i="14"/>
  <c r="AA29" i="1" l="1"/>
  <c r="AA30" i="1"/>
  <c r="H13" i="14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9" i="1"/>
  <c r="AA48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F11" i="14" l="1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6" i="14"/>
  <c r="F7" i="14"/>
  <c r="F8" i="14"/>
  <c r="F9" i="14"/>
  <c r="F10" i="14"/>
  <c r="F5" i="14"/>
  <c r="F2" i="14"/>
  <c r="F4" i="14"/>
  <c r="F3" i="1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<sst xmlns="http://schemas.openxmlformats.org/spreadsheetml/2006/main" count="1157" uniqueCount="257">
  <si>
    <t>Sample Number</t>
  </si>
  <si>
    <t>A</t>
  </si>
  <si>
    <t>B</t>
  </si>
  <si>
    <t>C</t>
  </si>
  <si>
    <t>D</t>
  </si>
  <si>
    <t>Well Number</t>
  </si>
  <si>
    <t>number of times sample called</t>
  </si>
  <si>
    <t># wells</t>
  </si>
  <si>
    <t>E</t>
  </si>
  <si>
    <t>F</t>
  </si>
  <si>
    <t>G</t>
  </si>
  <si>
    <t>H</t>
  </si>
  <si>
    <t>Sample Name</t>
  </si>
  <si>
    <t>Sample #</t>
  </si>
  <si>
    <t>Percent Contributing</t>
  </si>
  <si>
    <t>TOTALS:</t>
  </si>
  <si>
    <t xml:space="preserve"> - For more details on using this Sample Loading Table, see the Important Guidelines section of the User Manual</t>
  </si>
  <si>
    <t>This sheet should be filled out prior to starting Section 1.</t>
  </si>
  <si>
    <t>Step</t>
  </si>
  <si>
    <t>Instructions</t>
  </si>
  <si>
    <t>Ensure Macros are enabled.</t>
  </si>
  <si>
    <t>Input the number of samples.</t>
  </si>
  <si>
    <t>Input your sample names.</t>
  </si>
  <si>
    <t>Input stock cell concentration for each sample.</t>
  </si>
  <si>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We do not recommend editing cells highlighted in grey.</t>
    </r>
  </si>
  <si>
    <r>
      <t>Number of Samples</t>
    </r>
    <r>
      <rPr>
        <b/>
        <sz val="12"/>
        <color rgb="FF550088"/>
        <rFont val="M PLUS 2"/>
      </rPr>
      <t xml:space="preserve"> (Step 2)</t>
    </r>
    <r>
      <rPr>
        <b/>
        <sz val="12"/>
        <color rgb="FF525252"/>
        <rFont val="M PLUS 2"/>
      </rPr>
      <t>:</t>
    </r>
  </si>
  <si>
    <r>
      <t xml:space="preserve">Target Number Barcoded Cells </t>
    </r>
    <r>
      <rPr>
        <b/>
        <sz val="12"/>
        <color rgb="FF550088"/>
        <rFont val="M PLUS 2"/>
      </rPr>
      <t>(Step 3)</t>
    </r>
    <r>
      <rPr>
        <b/>
        <sz val="12"/>
        <color rgb="FF525252"/>
        <rFont val="M PLUS 2"/>
      </rPr>
      <t>:</t>
    </r>
  </si>
  <si>
    <r>
      <t xml:space="preserve">Sample Name                                                           </t>
    </r>
    <r>
      <rPr>
        <b/>
        <sz val="12"/>
        <color rgb="FF550088"/>
        <rFont val="M PLUS 2"/>
      </rPr>
      <t>(Step 4)</t>
    </r>
  </si>
  <si>
    <r>
      <t xml:space="preserve">Percent of Library         </t>
    </r>
    <r>
      <rPr>
        <b/>
        <sz val="12"/>
        <color rgb="FF550088"/>
        <rFont val="M PLUS 2"/>
      </rPr>
      <t>(Step 5)</t>
    </r>
  </si>
  <si>
    <r>
      <t xml:space="preserve">Stock Concentration (cells/uL)                          </t>
    </r>
    <r>
      <rPr>
        <b/>
        <sz val="12"/>
        <color rgb="FF550088"/>
        <rFont val="M PLUS 2"/>
      </rPr>
      <t>(Step 6)</t>
    </r>
  </si>
  <si>
    <t>Number of Wells</t>
  </si>
  <si>
    <t>Targeted Number of Barcoded Cells</t>
  </si>
  <si>
    <t>Required Sample Concentration  (cells/uL)</t>
  </si>
  <si>
    <t>Evercode WT Round 1 Barcoding Plate Configuration</t>
  </si>
  <si>
    <t>Use the following plate layout to load samples into the Round 1 Plate in Section 1.2.</t>
  </si>
  <si>
    <t>Notes:</t>
  </si>
  <si>
    <t># sample wells</t>
  </si>
  <si>
    <t>well count</t>
  </si>
  <si>
    <t>subwells</t>
  </si>
  <si>
    <t>req conc</t>
  </si>
  <si>
    <t>stock conc</t>
  </si>
  <si>
    <t># of Wells</t>
  </si>
  <si>
    <t>sample per input well</t>
  </si>
  <si>
    <t>sample volume per intemediate</t>
  </si>
  <si>
    <t>sample per well + dead</t>
  </si>
  <si>
    <t>diluent per intermediate</t>
  </si>
  <si>
    <t>corrected sample</t>
  </si>
  <si>
    <t>loc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</si>
  <si>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</si>
  <si>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</si>
  <si>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</si>
  <si>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</si>
  <si>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</si>
  <si>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</si>
  <si>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</si>
  <si>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</si>
  <si>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</si>
  <si>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</si>
  <si>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</si>
  <si>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</si>
  <si>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</si>
  <si>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</si>
  <si>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</si>
  <si>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</si>
  <si>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</si>
  <si>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</si>
  <si>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</si>
  <si>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</si>
  <si>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</si>
  <si>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</si>
  <si>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</si>
  <si>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</si>
  <si>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</si>
  <si>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</si>
  <si>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</si>
  <si>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</si>
  <si>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</si>
  <si>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</si>
  <si>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</si>
  <si>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</si>
  <si>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</si>
  <si>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</si>
  <si>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</si>
  <si>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</si>
  <si>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</si>
  <si>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</si>
  <si>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</si>
  <si>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</si>
  <si>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</si>
  <si>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</si>
  <si>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</si>
  <si>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</si>
  <si>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</si>
  <si>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</si>
  <si>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</si>
  <si>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</si>
  <si>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Sample Location</t>
  </si>
  <si>
    <t>Min Sample Stock Needed for Dilution (uL)</t>
  </si>
  <si>
    <t>Min Diluent Needed (uL)</t>
  </si>
  <si>
    <t>Volume of Sample Stock Dilution (uL)                (Step 7)</t>
  </si>
  <si>
    <t>Volume of Sample Dilution Buffer (uL)                         (Step 7)</t>
  </si>
  <si>
    <t>SampleID</t>
  </si>
  <si>
    <t>SourceDeckPosition</t>
  </si>
  <si>
    <t>SourceWell</t>
  </si>
  <si>
    <t>TargetDeckPosition</t>
  </si>
  <si>
    <t>TargetWell</t>
  </si>
  <si>
    <t>TransferVolume [µl]</t>
  </si>
  <si>
    <t>total diluent</t>
  </si>
  <si>
    <t>Subsample #</t>
  </si>
  <si>
    <t>Samp Subsample</t>
  </si>
  <si>
    <r>
      <t xml:space="preserve">Input the target number of barcoded cells. </t>
    </r>
    <r>
      <rPr>
        <sz val="12"/>
        <color rgb="FF550088"/>
        <rFont val="M PLUS 2"/>
      </rPr>
      <t>Note:</t>
    </r>
    <r>
      <rPr>
        <sz val="12"/>
        <color rgb="FF525252"/>
        <rFont val="M PLUS 2"/>
      </rPr>
      <t xml:space="preserve"> The default is 100,000 cells for Evercode WT.</t>
    </r>
  </si>
  <si>
    <r>
      <t xml:space="preserve">Input the target percentage representation of each sample in the final library. </t>
    </r>
    <r>
      <rPr>
        <sz val="12"/>
        <color rgb="FFB6007C"/>
        <rFont val="M PLUS 2"/>
      </rPr>
      <t>CRITICAL:</t>
    </r>
    <r>
      <rPr>
        <sz val="12"/>
        <color rgb="FF525252"/>
        <rFont val="M PLUS 2"/>
      </rPr>
      <t xml:space="preserve"> No percentage can be lower than 2.09%.</t>
    </r>
  </si>
  <si>
    <t xml:space="preserve">If not already done, count the samples as described in Section 1.1 of the Evercode WT User Manual. </t>
  </si>
  <si>
    <t>Evercode WT Sample Loading Table</t>
  </si>
  <si>
    <t xml:space="preserve">Open the "Integra Loading Table" sheet and load the samples in the appropriate wells and volumes using a semi-skirted plate.  </t>
  </si>
  <si>
    <t xml:space="preserve">Open the "Diluent Volumes" sheet. Click on the "Generate a Worklist for Import into VIALAB" to generate the worklist file.  </t>
  </si>
  <si>
    <r>
      <rPr>
        <sz val="12"/>
        <color rgb="FFB6007C"/>
        <rFont val="M PLUS 2"/>
      </rPr>
      <t>CRITICAL</t>
    </r>
    <r>
      <rPr>
        <sz val="12"/>
        <color rgb="FF525252"/>
        <rFont val="M PLUS 2"/>
      </rPr>
      <t xml:space="preserve">: Ensure that Sample Dilution Buffer is completely thawed before use. </t>
    </r>
  </si>
  <si>
    <t>*Note: due to semi-skirted plate volumes, multiple wells might be needed for the same samples.</t>
  </si>
  <si>
    <t>Required Number of Sample Dilution Tubes</t>
  </si>
  <si>
    <t>Sample Dilution Tube Locations</t>
  </si>
  <si>
    <t>TipType</t>
  </si>
  <si>
    <t>AspirationSpeed</t>
  </si>
  <si>
    <t>DispenseSpeed</t>
  </si>
  <si>
    <t>SourceMixVolume [µl]</t>
  </si>
  <si>
    <t>TargetMixVolume [µl]</t>
  </si>
  <si>
    <t>UseLLD (Y/N)</t>
  </si>
  <si>
    <t>TipEject</t>
  </si>
  <si>
    <t>SourceHeight [mm]</t>
  </si>
  <si>
    <t>SourceTipTravel (Y/N)</t>
  </si>
  <si>
    <t>TargetHeight [mm]</t>
  </si>
  <si>
    <t>TargetTipTravel (Y/N)</t>
  </si>
  <si>
    <t>TargetMixHeight [mm]</t>
  </si>
  <si>
    <t>TargetMixTipTravel (Y/N)</t>
  </si>
  <si>
    <t>SourceMixCycles</t>
  </si>
  <si>
    <t>SourceMixSpeed</t>
  </si>
  <si>
    <t>TargetMixCycles</t>
  </si>
  <si>
    <t>TargetMixSpeed</t>
  </si>
  <si>
    <t>SourceOffsetX [mm]</t>
  </si>
  <si>
    <t>SourceOffsetY [mm]</t>
  </si>
  <si>
    <t>TargetOffsetX [mm]</t>
  </si>
  <si>
    <t>TargetOffsetY [mm]</t>
  </si>
  <si>
    <t>TipTouch (Y/N)</t>
  </si>
  <si>
    <t>TipTouchHeight [mm]</t>
  </si>
  <si>
    <t>TipTouchDistance [mm]</t>
  </si>
  <si>
    <t>AirgapVolume [µl]</t>
  </si>
  <si>
    <t>Number of Tubes</t>
  </si>
  <si>
    <t>Deck Layout</t>
  </si>
  <si>
    <t/>
  </si>
  <si>
    <t xml:space="preserve">SourceSBO [mm] </t>
  </si>
  <si>
    <t xml:space="preserve">TargetSBO [mm] </t>
  </si>
  <si>
    <t>SourceMixPause [s]</t>
  </si>
  <si>
    <t>TargetMixPause [s]</t>
  </si>
  <si>
    <t xml:space="preserve">LLDErrorHandling </t>
  </si>
  <si>
    <t>LLDSubmergeDepth [mm]</t>
  </si>
  <si>
    <t>Dilution 1</t>
  </si>
  <si>
    <t>F1</t>
  </si>
  <si>
    <t>N</t>
  </si>
  <si>
    <t>Y</t>
  </si>
  <si>
    <t>Sample 1</t>
  </si>
  <si>
    <t>U1</t>
  </si>
  <si>
    <t>U2</t>
  </si>
  <si>
    <t>U3</t>
  </si>
  <si>
    <t>V31</t>
  </si>
  <si>
    <t>V9</t>
  </si>
  <si>
    <t>V5</t>
  </si>
  <si>
    <t>V17</t>
  </si>
  <si>
    <t>V23</t>
  </si>
  <si>
    <t>V33</t>
  </si>
  <si>
    <t>U4</t>
  </si>
  <si>
    <t>U5</t>
  </si>
  <si>
    <t>U6</t>
  </si>
  <si>
    <t>U7</t>
  </si>
  <si>
    <t>U9</t>
  </si>
  <si>
    <t>V2</t>
  </si>
  <si>
    <t>P1</t>
  </si>
  <si>
    <t>P2</t>
  </si>
  <si>
    <t>C13</t>
  </si>
  <si>
    <t>P4</t>
  </si>
  <si>
    <t>P5</t>
  </si>
  <si>
    <t>P6</t>
  </si>
  <si>
    <t>P7</t>
  </si>
  <si>
    <t>F2</t>
  </si>
  <si>
    <t>C14</t>
  </si>
  <si>
    <t>C15</t>
  </si>
  <si>
    <t>P3</t>
  </si>
  <si>
    <t>Dilution 2</t>
  </si>
  <si>
    <t>Dilution 3</t>
  </si>
  <si>
    <t>Dilution 4</t>
  </si>
  <si>
    <t>Dilution 5</t>
  </si>
  <si>
    <t>Dilution 6</t>
  </si>
  <si>
    <t>Dilution 7</t>
  </si>
  <si>
    <t>Dilution 8</t>
  </si>
  <si>
    <t>Dilution 9</t>
  </si>
  <si>
    <t>Dilution 10</t>
  </si>
  <si>
    <t>Dilution 11</t>
  </si>
  <si>
    <t>Dilution 12</t>
  </si>
  <si>
    <t>Dilution 13</t>
  </si>
  <si>
    <t>Dilution 14</t>
  </si>
  <si>
    <t>Dilution 15</t>
  </si>
  <si>
    <t>Dilution 16</t>
  </si>
  <si>
    <t>E1</t>
  </si>
  <si>
    <t>Dilution 17</t>
  </si>
  <si>
    <t>Dilution 18</t>
  </si>
  <si>
    <t>Dilution 19</t>
  </si>
  <si>
    <t>Dilution 20</t>
  </si>
  <si>
    <t>Dilution 21</t>
  </si>
  <si>
    <t>Dilution 22</t>
  </si>
  <si>
    <t>Dilution 23</t>
  </si>
  <si>
    <t>Dilution 24</t>
  </si>
  <si>
    <t>Dilution 25</t>
  </si>
  <si>
    <t>Dilution 26</t>
  </si>
  <si>
    <t>Dilution 27</t>
  </si>
  <si>
    <t>Dilution 28</t>
  </si>
  <si>
    <t>Dilution 29</t>
  </si>
  <si>
    <t>Dilution 30</t>
  </si>
  <si>
    <t>Dilution 31</t>
  </si>
  <si>
    <t>Dilution 32</t>
  </si>
  <si>
    <t>Dilution 33</t>
  </si>
  <si>
    <t>Dilution 34</t>
  </si>
  <si>
    <t>Dilution 35</t>
  </si>
  <si>
    <t>Dilution 36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</si>
  <si>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</si>
  <si>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</si>
  <si>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</si>
  <si>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</si>
  <si>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</si>
  <si>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</si>
  <si>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</si>
  <si>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</si>
  <si>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Sample 10</t>
  </si>
  <si>
    <t>Sample 11</t>
  </si>
  <si>
    <t>Sample 12</t>
  </si>
  <si>
    <t>Sample 13</t>
  </si>
  <si>
    <t>Sample 14</t>
  </si>
  <si>
    <t>Sample 15</t>
  </si>
  <si>
    <t>Sample 16</t>
  </si>
  <si>
    <t>Sample 17</t>
  </si>
  <si>
    <t>Sample 18</t>
  </si>
  <si>
    <t>Sample 19</t>
  </si>
  <si>
    <t>Sample 20</t>
  </si>
  <si>
    <t>Sample 21</t>
  </si>
  <si>
    <t>Sample 22</t>
  </si>
  <si>
    <t>Sample 23</t>
  </si>
  <si>
    <t>Sample 24</t>
  </si>
  <si>
    <t>Sample 25</t>
  </si>
  <si>
    <t>Sample 26</t>
  </si>
  <si>
    <t>Sample 27</t>
  </si>
  <si>
    <t>Sample 28</t>
  </si>
  <si>
    <t>Sample 29</t>
  </si>
  <si>
    <t>Sample 30</t>
  </si>
  <si>
    <t>Sample 31</t>
  </si>
  <si>
    <t>Sample 32</t>
  </si>
  <si>
    <t>Sample 33</t>
  </si>
  <si>
    <t>Sample 34</t>
  </si>
  <si>
    <t>Sample 35</t>
  </si>
  <si>
    <t>Sample 36</t>
  </si>
  <si>
    <t>V26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</si>
</sst>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00%"/>
    <numFmt numFmtId="167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Source Sans Pro"/>
      <family val="2"/>
    </font>
    <font>
      <b/>
      <sz val="12"/>
      <color theme="1"/>
      <name val="Source Sans Pro"/>
      <family val="2"/>
    </font>
    <font>
      <sz val="12"/>
      <color theme="0"/>
      <name val="Source Sans Pro"/>
      <family val="2"/>
    </font>
    <font>
      <sz val="12"/>
      <name val="Source Sans Pro"/>
      <family val="2"/>
    </font>
    <font>
      <sz val="12"/>
      <color rgb="FF525252"/>
      <name val="M PLUS 2"/>
    </font>
    <font>
      <b/>
      <sz val="12"/>
      <color rgb="FF525252"/>
      <name val="M PLUS 2"/>
    </font>
    <font>
      <sz val="26"/>
      <color rgb="FF550088"/>
      <name val="M PLUS 2 Black"/>
    </font>
    <font>
      <sz val="12"/>
      <color theme="1"/>
      <name val="M PLUS 2"/>
    </font>
    <font>
      <sz val="12"/>
      <name val="M PLUS 2"/>
    </font>
    <font>
      <sz val="14"/>
      <color rgb="FF525252"/>
      <name val="M PLUS 2"/>
    </font>
    <font>
      <b/>
      <sz val="14"/>
      <color rgb="FF525252"/>
      <name val="M PLUS 2"/>
    </font>
    <font>
      <b/>
      <sz val="16"/>
      <color rgb="FFAB80C4"/>
      <name val="M PLUS 2"/>
    </font>
    <font>
      <sz val="12"/>
      <color rgb="FF550088"/>
      <name val="M PLUS 2"/>
    </font>
    <font>
      <sz val="12"/>
      <color rgb="FFB6007C"/>
      <name val="M PLUS 2"/>
    </font>
    <font>
      <b/>
      <sz val="12"/>
      <color rgb="FF550088"/>
      <name val="M PLUS 2"/>
    </font>
    <font>
      <b/>
      <sz val="12"/>
      <color theme="1"/>
      <name val="M PLUS 2"/>
    </font>
    <font>
      <sz val="20"/>
      <color theme="1"/>
      <name val="M PLUS 2"/>
    </font>
    <font>
      <sz val="12"/>
      <color rgb="FF525252"/>
      <name val="M PLUS 2 ExtraBold"/>
    </font>
    <font>
      <sz val="12"/>
      <color rgb="FF525252"/>
      <name val="M PLUS 2 Medium"/>
    </font>
    <font>
      <sz val="12"/>
      <color theme="1"/>
      <name val="M PLUS 2 Medium"/>
    </font>
    <font>
      <sz val="12"/>
      <color theme="0"/>
      <name val="M PLUS 2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rgb="FF339999"/>
      <name val="Arial"/>
      <family val="2"/>
    </font>
    <font>
      <b/>
      <sz val="12"/>
      <name val="M PLUS 2"/>
    </font>
    <font>
      <sz val="11"/>
      <color theme="0"/>
      <name val="Calibri"/>
      <family val="2"/>
      <scheme val="minor"/>
    </font>
    <font>
      <b/>
      <sz val="12"/>
      <color theme="0"/>
      <name val="M PLUS 2"/>
    </font>
    <font>
      <b/>
      <sz val="14"/>
      <color theme="0"/>
      <name val="M PLUS 2"/>
    </font>
    <font>
      <sz val="11"/>
      <color rgb="FFFF0000"/>
      <name val="Calibri"/>
      <family val="2"/>
      <scheme val="minor"/>
    </font>
    <font>
      <sz val="9"/>
      <color theme="1"/>
      <name val="Source Sans Pro"/>
      <family val="2"/>
    </font>
    <font>
      <sz val="10"/>
      <color theme="1"/>
      <name val="Klavika Basic Medium"/>
      <family val="2"/>
    </font>
    <font>
      <sz val="14"/>
      <color theme="0"/>
      <name val="M PLUS 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1E4E7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1F0F0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339999"/>
      </right>
      <top style="medium">
        <color rgb="FF339999"/>
      </top>
      <bottom style="medium">
        <color rgb="FF339999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339999"/>
      </left>
      <right style="medium">
        <color rgb="FF339999"/>
      </right>
      <top style="medium">
        <color rgb="FF339999"/>
      </top>
      <bottom style="medium">
        <color rgb="FF339999"/>
      </bottom>
      <diagonal/>
    </border>
    <border>
      <left/>
      <right/>
      <top style="medium">
        <color rgb="FF339999"/>
      </top>
      <bottom style="medium">
        <color rgb="FF33999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5" fontId="2" fillId="0" borderId="0" xfId="1" applyNumberFormat="1" applyFont="1" applyFill="1" applyBorder="1"/>
    <xf numFmtId="0" fontId="5" fillId="0" borderId="0" xfId="0" applyFont="1"/>
    <xf numFmtId="166" fontId="0" fillId="0" borderId="0" xfId="2" applyNumberFormat="1" applyFont="1"/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top"/>
    </xf>
    <xf numFmtId="0" fontId="12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9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9" fillId="0" borderId="1" xfId="0" applyFont="1" applyBorder="1"/>
    <xf numFmtId="165" fontId="9" fillId="0" borderId="1" xfId="1" applyNumberFormat="1" applyFont="1" applyFill="1" applyBorder="1"/>
    <xf numFmtId="0" fontId="7" fillId="0" borderId="1" xfId="0" applyFont="1" applyBorder="1" applyAlignment="1">
      <alignment horizontal="center" vertical="center" wrapText="1"/>
    </xf>
    <xf numFmtId="10" fontId="6" fillId="0" borderId="1" xfId="2" applyNumberFormat="1" applyFont="1" applyFill="1" applyBorder="1" applyAlignment="1" applyProtection="1">
      <alignment horizontal="center"/>
    </xf>
    <xf numFmtId="165" fontId="6" fillId="0" borderId="1" xfId="1" applyNumberFormat="1" applyFont="1" applyFill="1" applyBorder="1" applyAlignment="1">
      <alignment horizontal="center"/>
    </xf>
    <xf numFmtId="0" fontId="8" fillId="0" borderId="0" xfId="0" applyFont="1"/>
    <xf numFmtId="0" fontId="18" fillId="0" borderId="0" xfId="0" applyFont="1"/>
    <xf numFmtId="0" fontId="13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3" fillId="0" borderId="0" xfId="0" applyFont="1"/>
    <xf numFmtId="0" fontId="6" fillId="0" borderId="0" xfId="0" applyFont="1"/>
    <xf numFmtId="0" fontId="21" fillId="0" borderId="0" xfId="0" applyFont="1" applyAlignment="1">
      <alignment horizontal="center"/>
    </xf>
    <xf numFmtId="10" fontId="7" fillId="0" borderId="0" xfId="2" applyNumberFormat="1" applyFont="1" applyAlignment="1">
      <alignment horizontal="center"/>
    </xf>
    <xf numFmtId="165" fontId="7" fillId="0" borderId="0" xfId="1" applyNumberFormat="1" applyFont="1" applyAlignment="1"/>
    <xf numFmtId="1" fontId="7" fillId="0" borderId="0" xfId="0" applyNumberFormat="1" applyFont="1"/>
    <xf numFmtId="0" fontId="6" fillId="3" borderId="1" xfId="0" applyFont="1" applyFill="1" applyBorder="1" applyAlignment="1">
      <alignment horizontal="center"/>
    </xf>
    <xf numFmtId="1" fontId="6" fillId="3" borderId="1" xfId="0" applyNumberFormat="1" applyFont="1" applyFill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5" fillId="5" borderId="14" xfId="0" applyFont="1" applyFill="1" applyBorder="1" applyAlignment="1">
      <alignment horizontal="center"/>
    </xf>
    <xf numFmtId="167" fontId="5" fillId="5" borderId="14" xfId="0" applyNumberFormat="1" applyFont="1" applyFill="1" applyBorder="1" applyAlignment="1">
      <alignment horizontal="center"/>
    </xf>
    <xf numFmtId="0" fontId="23" fillId="0" borderId="0" xfId="0" applyFont="1"/>
    <xf numFmtId="0" fontId="4" fillId="0" borderId="0" xfId="0" applyFont="1"/>
    <xf numFmtId="167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center"/>
    </xf>
    <xf numFmtId="0" fontId="26" fillId="0" borderId="0" xfId="0" applyFont="1"/>
    <xf numFmtId="0" fontId="22" fillId="0" borderId="0" xfId="0" applyFont="1"/>
    <xf numFmtId="0" fontId="4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" fillId="2" borderId="9" xfId="0" applyFont="1" applyFill="1" applyBorder="1"/>
    <xf numFmtId="0" fontId="2" fillId="2" borderId="0" xfId="0" applyFont="1" applyFill="1"/>
    <xf numFmtId="0" fontId="2" fillId="2" borderId="6" xfId="0" applyFont="1" applyFill="1" applyBorder="1"/>
    <xf numFmtId="0" fontId="2" fillId="2" borderId="10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8" fillId="4" borderId="0" xfId="0" applyFont="1" applyFill="1" applyAlignment="1">
      <alignment horizontal="center" vertical="center" wrapText="1"/>
    </xf>
    <xf numFmtId="0" fontId="4" fillId="4" borderId="0" xfId="0" applyFont="1" applyFill="1"/>
    <xf numFmtId="0" fontId="27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wrapText="1"/>
    </xf>
    <xf numFmtId="0" fontId="4" fillId="4" borderId="0" xfId="0" applyFont="1" applyFill="1" applyAlignment="1">
      <alignment horizontal="center" vertical="center" wrapText="1"/>
    </xf>
    <xf numFmtId="2" fontId="22" fillId="4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" fontId="27" fillId="4" borderId="0" xfId="0" applyNumberFormat="1" applyFont="1" applyFill="1" applyAlignment="1">
      <alignment horizontal="center" vertical="center"/>
    </xf>
    <xf numFmtId="167" fontId="4" fillId="4" borderId="0" xfId="0" applyNumberFormat="1" applyFont="1" applyFill="1" applyAlignment="1">
      <alignment horizontal="center" vertical="center"/>
    </xf>
    <xf numFmtId="167" fontId="22" fillId="4" borderId="0" xfId="0" applyNumberFormat="1" applyFont="1" applyFill="1" applyAlignment="1">
      <alignment horizontal="center"/>
    </xf>
    <xf numFmtId="167" fontId="4" fillId="4" borderId="0" xfId="0" applyNumberFormat="1" applyFont="1" applyFill="1"/>
    <xf numFmtId="2" fontId="4" fillId="4" borderId="0" xfId="0" applyNumberFormat="1" applyFont="1" applyFill="1"/>
    <xf numFmtId="0" fontId="27" fillId="4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wrapText="1"/>
    </xf>
    <xf numFmtId="0" fontId="4" fillId="4" borderId="0" xfId="0" applyFont="1" applyFill="1" applyAlignment="1">
      <alignment horizontal="center"/>
    </xf>
    <xf numFmtId="0" fontId="28" fillId="0" borderId="0" xfId="0" applyFont="1"/>
    <xf numFmtId="0" fontId="22" fillId="0" borderId="0" xfId="0" applyFont="1" applyAlignment="1">
      <alignment vertical="top"/>
    </xf>
    <xf numFmtId="0" fontId="31" fillId="0" borderId="25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5" fillId="7" borderId="28" xfId="0" applyFont="1" applyFill="1" applyBorder="1" applyAlignment="1">
      <alignment horizontal="center"/>
    </xf>
    <xf numFmtId="0" fontId="30" fillId="0" borderId="0" xfId="0" applyFont="1"/>
    <xf numFmtId="0" fontId="6" fillId="0" borderId="0" xfId="0" applyFont="1" applyAlignment="1">
      <alignment horizontal="center"/>
    </xf>
    <xf numFmtId="0" fontId="32" fillId="0" borderId="0" xfId="0" applyFont="1"/>
    <xf numFmtId="0" fontId="25" fillId="0" borderId="0" xfId="0" applyFont="1"/>
    <xf numFmtId="49" fontId="32" fillId="0" borderId="0" xfId="0" applyNumberFormat="1" applyFont="1"/>
    <xf numFmtId="0" fontId="32" fillId="0" borderId="29" xfId="0" applyFont="1" applyBorder="1"/>
    <xf numFmtId="0" fontId="25" fillId="7" borderId="21" xfId="0" applyFont="1" applyFill="1" applyBorder="1" applyAlignment="1">
      <alignment horizontal="center"/>
    </xf>
    <xf numFmtId="0" fontId="32" fillId="0" borderId="6" xfId="0" applyFont="1" applyBorder="1"/>
    <xf numFmtId="0" fontId="0" fillId="0" borderId="6" xfId="0" applyBorder="1"/>
    <xf numFmtId="0" fontId="5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167" fontId="0" fillId="0" borderId="6" xfId="0" applyNumberFormat="1" applyBorder="1"/>
    <xf numFmtId="0" fontId="2" fillId="0" borderId="0" xfId="0" applyFont="1" applyAlignment="1">
      <alignment wrapText="1"/>
    </xf>
    <xf numFmtId="0" fontId="6" fillId="0" borderId="30" xfId="0" applyFont="1" applyBorder="1" applyAlignment="1">
      <alignment horizontal="center"/>
    </xf>
    <xf numFmtId="10" fontId="6" fillId="0" borderId="14" xfId="2" applyNumberFormat="1" applyFont="1" applyFill="1" applyBorder="1" applyAlignment="1" applyProtection="1">
      <alignment horizontal="center"/>
    </xf>
    <xf numFmtId="165" fontId="6" fillId="0" borderId="14" xfId="1" applyNumberFormat="1" applyFont="1" applyFill="1" applyBorder="1" applyAlignment="1">
      <alignment horizontal="center"/>
    </xf>
    <xf numFmtId="0" fontId="6" fillId="0" borderId="31" xfId="0" applyFont="1" applyBorder="1" applyAlignment="1">
      <alignment horizontal="center"/>
    </xf>
    <xf numFmtId="10" fontId="6" fillId="0" borderId="32" xfId="2" applyNumberFormat="1" applyFont="1" applyFill="1" applyBorder="1" applyAlignment="1" applyProtection="1">
      <alignment horizontal="center"/>
    </xf>
    <xf numFmtId="165" fontId="6" fillId="0" borderId="32" xfId="1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1" xfId="0" applyFont="1" applyBorder="1" applyAlignment="1">
      <alignment horizontal="center" vertical="top"/>
    </xf>
    <xf numFmtId="0" fontId="12" fillId="0" borderId="1" xfId="0" applyFont="1" applyBorder="1" applyAlignment="1">
      <alignment horizont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0" borderId="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left" wrapText="1"/>
    </xf>
    <xf numFmtId="0" fontId="6" fillId="0" borderId="1" xfId="0" applyFont="1" applyBorder="1" applyAlignment="1">
      <alignment horizontal="left" wrapText="1"/>
    </xf>
    <xf numFmtId="0" fontId="30" fillId="0" borderId="27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167" fontId="24" fillId="6" borderId="15" xfId="0" applyNumberFormat="1" applyFont="1" applyFill="1" applyBorder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67" fontId="24" fillId="6" borderId="17" xfId="0" applyNumberFormat="1" applyFont="1" applyFill="1" applyBorder="1" applyAlignment="1">
      <alignment horizontal="center" vertical="center"/>
    </xf>
    <xf numFmtId="167" fontId="24" fillId="6" borderId="18" xfId="0" applyNumberFormat="1" applyFont="1" applyFill="1" applyBorder="1" applyAlignment="1">
      <alignment horizontal="center" vertical="center"/>
    </xf>
    <xf numFmtId="167" fontId="24" fillId="6" borderId="19" xfId="0" applyNumberFormat="1" applyFont="1" applyFill="1" applyBorder="1" applyAlignment="1">
      <alignment horizontal="center" vertical="center"/>
    </xf>
    <xf numFmtId="167" fontId="24" fillId="6" borderId="20" xfId="0" applyNumberFormat="1" applyFont="1" applyFill="1" applyBorder="1" applyAlignment="1">
      <alignment horizontal="center" vertical="center"/>
    </xf>
    <xf numFmtId="1" fontId="24" fillId="6" borderId="15" xfId="0" applyNumberFormat="1" applyFont="1" applyFill="1" applyBorder="1" applyAlignment="1">
      <alignment horizontal="center" vertical="center"/>
    </xf>
    <xf numFmtId="1" fontId="24" fillId="6" borderId="16" xfId="0" applyNumberFormat="1" applyFont="1" applyFill="1" applyBorder="1" applyAlignment="1">
      <alignment horizontal="center" vertical="center"/>
    </xf>
    <xf numFmtId="1" fontId="24" fillId="6" borderId="17" xfId="0" applyNumberFormat="1" applyFont="1" applyFill="1" applyBorder="1" applyAlignment="1">
      <alignment horizontal="center" vertical="center"/>
    </xf>
    <xf numFmtId="1" fontId="24" fillId="6" borderId="18" xfId="0" applyNumberFormat="1" applyFont="1" applyFill="1" applyBorder="1" applyAlignment="1">
      <alignment horizontal="center" vertical="center"/>
    </xf>
    <xf numFmtId="1" fontId="24" fillId="6" borderId="19" xfId="0" applyNumberFormat="1" applyFont="1" applyFill="1" applyBorder="1" applyAlignment="1">
      <alignment horizontal="center" vertical="center"/>
    </xf>
    <xf numFmtId="1" fontId="24" fillId="6" borderId="20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0" xfId="0" applyBorder="1" applyAlignment="1">
      <alignment horizontal="center"/>
    </xf>
    <xf numFmtId="0" fontId="2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0" fontId="9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/>
    </xf>
  </cellXfs>
  <cellStyles count="3">
    <cellStyle name="Normalno" xfId="0" builtinId="0"/>
    <cellStyle name="Postotak" xfId="2" builtinId="5"/>
    <cellStyle name="Zarez" xfId="1" builtinId="3"/>
  </cellStyles>
  <dxfs count="20">
    <dxf>
      <font>
        <color theme="0"/>
      </font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color rgb="FF525252"/>
      </font>
      <fill>
        <patternFill patternType="solid">
          <bgColor rgb="FFF0CCE5"/>
        </patternFill>
      </fill>
    </dxf>
    <dxf>
      <font>
        <color theme="0"/>
      </font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525252"/>
      </font>
      <fill>
        <patternFill>
          <bgColor rgb="FFF0CCE5"/>
        </patternFill>
      </fill>
    </dxf>
    <dxf>
      <font>
        <color rgb="FF525252"/>
      </font>
      <fill>
        <patternFill>
          <bgColor rgb="FFF0CCE5"/>
        </patternFill>
      </fill>
    </dxf>
    <dxf>
      <font>
        <color rgb="FF525252"/>
      </font>
      <fill>
        <patternFill>
          <bgColor rgb="FFF0CCE5"/>
        </patternFill>
      </fill>
    </dxf>
    <dxf>
      <font>
        <b/>
        <i val="0"/>
        <color rgb="FFB6007C"/>
      </font>
    </dxf>
  </dxfs>
  <tableStyles count="0" defaultTableStyle="TableStyleMedium2" defaultPivotStyle="PivotStyleLight16"/>
  <colors>
    <mruColors>
      <color rgb="FFB6007C"/>
      <color rgb="FF811A74"/>
      <color rgb="FFAB80C4"/>
      <color rgb="FFDD3FA5"/>
      <color rgb="FFDB80BE"/>
      <color rgb="FFF0CCE5"/>
      <color rgb="FF525252"/>
      <color rgb="FFAC3514"/>
      <color rgb="FF3FD9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190501</xdr:rowOff>
    </xdr:from>
    <xdr:to>
      <xdr:col>0</xdr:col>
      <xdr:colOff>2809875</xdr:colOff>
      <xdr:row>7</xdr:row>
      <xdr:rowOff>95250</xdr:rowOff>
    </xdr:to>
    <xdr:sp macro="[0]!CreateDilutionCSV" textlink="">
      <xdr:nvSpPr>
        <xdr:cNvPr id="2" name="Rectangle 1">
          <a:extLst>
            <a:ext uri="{FF2B5EF4-FFF2-40B4-BE49-F238E27FC236}">
              <a16:creationId xmlns:a16="http://schemas.microsoft.com/office/drawing/2014/main" id="{3E9F227E-2541-4EAF-BCB5-A85B2167B8A1}"/>
            </a:ext>
          </a:extLst>
        </xdr:cNvPr>
        <xdr:cNvSpPr/>
      </xdr:nvSpPr>
      <xdr:spPr>
        <a:xfrm>
          <a:off x="200025" y="190501"/>
          <a:ext cx="2609850" cy="1257299"/>
        </a:xfrm>
        <a:prstGeom prst="rect">
          <a:avLst/>
        </a:prstGeom>
        <a:solidFill>
          <a:srgbClr val="AB80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Generate a Worklist for Import into VIALAB </a:t>
          </a:r>
        </a:p>
        <a:p>
          <a:pPr algn="ctr"/>
          <a:r>
            <a:rPr lang="en-US" sz="1200"/>
            <a:t>(Step 9)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379609</xdr:colOff>
      <xdr:row>13</xdr:row>
      <xdr:rowOff>245032</xdr:rowOff>
    </xdr:from>
    <xdr:ext cx="2780378" cy="38196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225FD9-CB2C-440D-AE59-05830357941D}"/>
            </a:ext>
          </a:extLst>
        </xdr:cNvPr>
        <xdr:cNvSpPr txBox="1"/>
      </xdr:nvSpPr>
      <xdr:spPr>
        <a:xfrm>
          <a:off x="3894334" y="3959782"/>
          <a:ext cx="2780378" cy="381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200" b="0" i="0">
              <a:solidFill>
                <a:srgbClr val="525252"/>
              </a:solidFill>
              <a:latin typeface="M PLUS 2 Medium" pitchFamily="2" charset="-128"/>
              <a:ea typeface="M PLUS 2 Medium" pitchFamily="2" charset="-128"/>
            </a:rPr>
            <a:t>Do not add samples to these wells.</a:t>
          </a:r>
        </a:p>
      </xdr:txBody>
    </xdr:sp>
    <xdr:clientData/>
  </xdr:oneCellAnchor>
  <xdr:twoCellAnchor>
    <xdr:from>
      <xdr:col>2</xdr:col>
      <xdr:colOff>20</xdr:colOff>
      <xdr:row>9</xdr:row>
      <xdr:rowOff>8581</xdr:rowOff>
    </xdr:from>
    <xdr:to>
      <xdr:col>14</xdr:col>
      <xdr:colOff>20</xdr:colOff>
      <xdr:row>13</xdr:row>
      <xdr:rowOff>779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4677262-F894-4460-8055-9B9EB9380DEB}"/>
            </a:ext>
          </a:extLst>
        </xdr:cNvPr>
        <xdr:cNvSpPr/>
      </xdr:nvSpPr>
      <xdr:spPr>
        <a:xfrm>
          <a:off x="1600220" y="2532706"/>
          <a:ext cx="7658100" cy="1182823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20</xdr:colOff>
      <xdr:row>13</xdr:row>
      <xdr:rowOff>0</xdr:rowOff>
    </xdr:from>
    <xdr:to>
      <xdr:col>14</xdr:col>
      <xdr:colOff>20</xdr:colOff>
      <xdr:row>17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6C93C8B-BE08-4D82-9F8A-F925ECB9E4D0}"/>
            </a:ext>
          </a:extLst>
        </xdr:cNvPr>
        <xdr:cNvSpPr/>
      </xdr:nvSpPr>
      <xdr:spPr>
        <a:xfrm>
          <a:off x="1600220" y="3714750"/>
          <a:ext cx="7658100" cy="118110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4</v>
  </rv>
  <rv s="0">
    <v>1</v>
    <v>5</v>
  </rv>
  <rv s="0">
    <v>2</v>
    <v>5</v>
  </rv>
  <rv s="0">
    <v>0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</richValueRels>
</file>

<file path=xl/theme/theme1.xml><?xml version="1.0" encoding="utf-8"?>
<a:theme xmlns:a="http://schemas.openxmlformats.org/drawingml/2006/main" name="Tema sustav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pageSetUpPr fitToPage="1"/>
  </sheetPr>
  <dimension ref="A2:AF92"/>
  <sheetViews>
    <sheetView showGridLines="0" showZeros="0" tabSelected="1" topLeftCell="A22" zoomScaleNormal="100" zoomScalePageLayoutView="75" workbookViewId="0">
      <selection activeCell="A50" sqref="A50"/>
    </sheetView>
  </sheetViews>
  <sheetFormatPr defaultColWidth="8.81640625" defaultRowHeight="16"/>
  <cols>
    <col min="1" max="1" width="12.81640625" style="1" customWidth="1"/>
    <col min="2" max="2" width="34.26953125" style="1" customWidth="1"/>
    <col min="3" max="3" width="25.81640625" style="1" customWidth="1"/>
    <col min="4" max="4" width="25" style="1" customWidth="1"/>
    <col min="5" max="5" width="12.81640625" style="1" customWidth="1"/>
    <col min="6" max="6" width="17.453125" style="1" customWidth="1"/>
    <col min="7" max="8" width="22.81640625" style="1" customWidth="1"/>
    <col min="9" max="9" width="27" style="5" customWidth="1"/>
    <col min="10" max="10" width="20.26953125" style="44" bestFit="1" customWidth="1"/>
    <col min="11" max="11" width="10.1796875" style="44" bestFit="1" customWidth="1"/>
    <col min="12" max="13" width="12" style="44" bestFit="1" customWidth="1"/>
    <col min="14" max="14" width="14.453125" style="44" bestFit="1" customWidth="1"/>
    <col min="15" max="15" width="13.1796875" style="44" bestFit="1" customWidth="1"/>
    <col min="16" max="16" width="12" style="44" bestFit="1" customWidth="1"/>
    <col min="17" max="17" width="9.54296875" style="44" bestFit="1" customWidth="1"/>
    <col min="18" max="18" width="9.26953125" style="44" bestFit="1" customWidth="1"/>
    <col min="19" max="19" width="7.81640625" style="44" bestFit="1" customWidth="1"/>
    <col min="20" max="20" width="8.26953125" style="44" bestFit="1" customWidth="1"/>
    <col min="21" max="21" width="10.1796875" style="44" bestFit="1" customWidth="1"/>
    <col min="22" max="22" width="13" style="44" bestFit="1" customWidth="1"/>
    <col min="23" max="23" width="10.26953125" style="44" bestFit="1" customWidth="1"/>
    <col min="24" max="25" width="8.81640625" style="44" customWidth="1"/>
    <col min="26" max="26" width="11.54296875" style="44" customWidth="1"/>
    <col min="27" max="27" width="8.81640625" style="44" customWidth="1"/>
    <col min="28" max="29" width="8.81640625" style="1" customWidth="1"/>
    <col min="30" max="16384" width="8.81640625" style="1"/>
  </cols>
  <sheetData>
    <row r="2" spans="1:32" s="9" customFormat="1" ht="32.5">
      <c r="A2" s="7" t="s">
        <v>113</v>
      </c>
      <c r="B2" s="8"/>
      <c r="I2" s="46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</row>
    <row r="3" spans="1:32" s="9" customFormat="1" ht="16.75" customHeight="1">
      <c r="A3" s="10"/>
      <c r="B3" s="8"/>
      <c r="I3" s="46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</row>
    <row r="4" spans="1:32" s="9" customFormat="1" ht="17.5">
      <c r="A4" s="10"/>
      <c r="B4" s="11" t="s">
        <v>16</v>
      </c>
      <c r="I4" s="46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</row>
    <row r="5" spans="1:32" s="9" customFormat="1" ht="16.75" customHeight="1">
      <c r="A5" s="10"/>
      <c r="B5" s="12"/>
      <c r="I5" s="46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</row>
    <row r="6" spans="1:32" s="9" customFormat="1" ht="16.75" customHeight="1">
      <c r="A6" s="8"/>
      <c r="B6" s="8"/>
      <c r="I6" s="46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</row>
    <row r="7" spans="1:32" s="9" customFormat="1" ht="20">
      <c r="A7" s="13" t="s">
        <v>17</v>
      </c>
      <c r="B7" s="8"/>
      <c r="I7" s="46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</row>
    <row r="8" spans="1:32" s="9" customFormat="1" ht="16.75" customHeight="1">
      <c r="I8" s="46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</row>
    <row r="9" spans="1:32" s="9" customFormat="1" ht="18">
      <c r="B9" s="14" t="s">
        <v>18</v>
      </c>
      <c r="C9" s="112" t="s">
        <v>19</v>
      </c>
      <c r="D9" s="112"/>
      <c r="E9" s="112"/>
      <c r="F9" s="112"/>
      <c r="G9" s="112"/>
      <c r="H9" s="112"/>
      <c r="I9" s="112"/>
      <c r="J9" s="80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</row>
    <row r="10" spans="1:32" s="9" customFormat="1" ht="15.5">
      <c r="B10" s="15">
        <v>1</v>
      </c>
      <c r="C10" s="113" t="s">
        <v>20</v>
      </c>
      <c r="D10" s="113"/>
      <c r="E10" s="113"/>
      <c r="F10" s="113"/>
      <c r="G10" s="113"/>
      <c r="H10" s="113"/>
      <c r="I10" s="113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</row>
    <row r="11" spans="1:32" s="9" customFormat="1" ht="15.5">
      <c r="B11" s="15">
        <v>2</v>
      </c>
      <c r="C11" s="113" t="s">
        <v>21</v>
      </c>
      <c r="D11" s="113"/>
      <c r="E11" s="113"/>
      <c r="F11" s="113"/>
      <c r="G11" s="113"/>
      <c r="H11" s="113"/>
      <c r="I11" s="113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</row>
    <row r="12" spans="1:32" s="9" customFormat="1" ht="15.5">
      <c r="B12" s="15">
        <v>3</v>
      </c>
      <c r="C12" s="113" t="s">
        <v>110</v>
      </c>
      <c r="D12" s="113"/>
      <c r="E12" s="113"/>
      <c r="F12" s="113"/>
      <c r="G12" s="113"/>
      <c r="H12" s="113"/>
      <c r="I12" s="113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</row>
    <row r="13" spans="1:32" s="9" customFormat="1" ht="15.5">
      <c r="B13" s="15">
        <v>4</v>
      </c>
      <c r="C13" s="113" t="s">
        <v>22</v>
      </c>
      <c r="D13" s="113"/>
      <c r="E13" s="113"/>
      <c r="F13" s="113"/>
      <c r="G13" s="113"/>
      <c r="H13" s="113"/>
      <c r="I13" s="113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0"/>
      <c r="V13" s="40"/>
      <c r="W13" s="40"/>
      <c r="X13" s="40"/>
      <c r="Y13" s="40"/>
      <c r="Z13" s="40"/>
      <c r="AA13" s="40"/>
      <c r="AB13" s="17"/>
      <c r="AC13" s="17"/>
      <c r="AD13" s="17"/>
      <c r="AE13" s="17"/>
      <c r="AF13" s="17"/>
    </row>
    <row r="14" spans="1:32" s="9" customFormat="1" ht="15.5">
      <c r="B14" s="15">
        <v>5</v>
      </c>
      <c r="C14" s="113" t="s">
        <v>111</v>
      </c>
      <c r="D14" s="113"/>
      <c r="E14" s="113"/>
      <c r="F14" s="113"/>
      <c r="G14" s="113"/>
      <c r="H14" s="113"/>
      <c r="I14" s="113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0"/>
      <c r="V14" s="40"/>
      <c r="W14" s="40"/>
      <c r="X14" s="40"/>
      <c r="Y14" s="40"/>
      <c r="Z14" s="40"/>
      <c r="AA14" s="40"/>
      <c r="AB14" s="17"/>
      <c r="AC14" s="17"/>
      <c r="AD14" s="17"/>
      <c r="AE14" s="17"/>
      <c r="AF14" s="17"/>
    </row>
    <row r="15" spans="1:32" s="9" customFormat="1" ht="11.15" customHeight="1">
      <c r="B15" s="115" t="s">
        <v>112</v>
      </c>
      <c r="C15" s="116"/>
      <c r="D15" s="116"/>
      <c r="E15" s="116"/>
      <c r="F15" s="116"/>
      <c r="G15" s="116"/>
      <c r="H15" s="116"/>
      <c r="I15" s="117"/>
      <c r="J15" s="81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0"/>
      <c r="V15" s="40"/>
      <c r="W15" s="40"/>
      <c r="X15" s="40"/>
      <c r="Y15" s="40"/>
      <c r="Z15" s="40"/>
      <c r="AA15" s="40"/>
      <c r="AB15" s="17"/>
      <c r="AC15" s="17"/>
      <c r="AD15" s="17"/>
      <c r="AE15" s="17"/>
      <c r="AF15" s="17"/>
    </row>
    <row r="16" spans="1:32" s="9" customFormat="1" ht="14.5" customHeight="1">
      <c r="B16" s="118"/>
      <c r="C16" s="119"/>
      <c r="D16" s="119"/>
      <c r="E16" s="119"/>
      <c r="F16" s="119"/>
      <c r="G16" s="119"/>
      <c r="H16" s="119"/>
      <c r="I16" s="120"/>
      <c r="J16" s="81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0"/>
      <c r="V16" s="40"/>
      <c r="W16" s="40"/>
      <c r="X16" s="40"/>
      <c r="Y16" s="40"/>
      <c r="Z16" s="40"/>
      <c r="AA16" s="40"/>
      <c r="AB16" s="17"/>
      <c r="AC16" s="17"/>
      <c r="AD16" s="17"/>
      <c r="AE16" s="17"/>
      <c r="AF16" s="17"/>
    </row>
    <row r="17" spans="1:32" s="9" customFormat="1" ht="8.15" customHeight="1">
      <c r="B17" s="121"/>
      <c r="C17" s="122"/>
      <c r="D17" s="122"/>
      <c r="E17" s="122"/>
      <c r="F17" s="122"/>
      <c r="G17" s="122"/>
      <c r="H17" s="122"/>
      <c r="I17" s="123"/>
      <c r="J17" s="81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0"/>
      <c r="V17" s="40"/>
      <c r="W17" s="40"/>
      <c r="X17" s="40"/>
      <c r="Y17" s="40"/>
      <c r="Z17" s="40"/>
      <c r="AA17" s="40"/>
      <c r="AB17" s="17"/>
      <c r="AC17" s="17"/>
      <c r="AD17" s="17"/>
      <c r="AE17" s="17"/>
      <c r="AF17" s="17"/>
    </row>
    <row r="18" spans="1:32" s="9" customFormat="1" ht="15.5">
      <c r="B18" s="15">
        <v>6</v>
      </c>
      <c r="C18" s="110" t="s">
        <v>23</v>
      </c>
      <c r="D18" s="110"/>
      <c r="E18" s="110"/>
      <c r="F18" s="110"/>
      <c r="G18" s="110"/>
      <c r="H18" s="110"/>
      <c r="I18" s="110"/>
      <c r="J18" s="82"/>
      <c r="K18" s="49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17"/>
      <c r="AC18" s="17"/>
      <c r="AD18" s="17"/>
      <c r="AE18" s="17"/>
      <c r="AF18" s="17"/>
    </row>
    <row r="19" spans="1:32" s="9" customFormat="1" ht="15.5">
      <c r="B19" s="15">
        <v>7</v>
      </c>
      <c r="C19" s="114" t="s">
        <v>114</v>
      </c>
      <c r="D19" s="114"/>
      <c r="E19" s="114"/>
      <c r="F19" s="114"/>
      <c r="G19" s="114"/>
      <c r="H19" s="114"/>
      <c r="I19" s="114"/>
      <c r="J19" s="82"/>
      <c r="K19" s="49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17"/>
      <c r="AC19" s="17"/>
      <c r="AD19" s="17"/>
      <c r="AE19" s="17"/>
      <c r="AF19" s="17"/>
    </row>
    <row r="20" spans="1:32" s="9" customFormat="1" ht="19.5" customHeight="1">
      <c r="B20" s="15">
        <v>8</v>
      </c>
      <c r="C20" s="125" t="s">
        <v>116</v>
      </c>
      <c r="D20" s="125"/>
      <c r="E20" s="125"/>
      <c r="F20" s="125"/>
      <c r="G20" s="125"/>
      <c r="H20" s="125"/>
      <c r="I20" s="125"/>
      <c r="J20" s="83"/>
      <c r="K20" s="49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17"/>
      <c r="AC20" s="17"/>
      <c r="AD20" s="17"/>
      <c r="AE20" s="17"/>
      <c r="AF20" s="17"/>
    </row>
    <row r="21" spans="1:32" s="9" customFormat="1" ht="19.5" customHeight="1">
      <c r="B21" s="15">
        <v>9</v>
      </c>
      <c r="C21" s="125" t="s">
        <v>115</v>
      </c>
      <c r="D21" s="125"/>
      <c r="E21" s="125"/>
      <c r="F21" s="125"/>
      <c r="G21" s="125"/>
      <c r="H21" s="125"/>
      <c r="I21" s="125"/>
      <c r="J21" s="83"/>
      <c r="K21" s="49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17"/>
      <c r="AC21" s="17"/>
      <c r="AD21" s="17"/>
      <c r="AE21" s="17"/>
      <c r="AF21" s="17"/>
    </row>
    <row r="22" spans="1:32" s="9" customFormat="1" ht="19.5" customHeight="1">
      <c r="B22" s="91"/>
      <c r="C22" s="124"/>
      <c r="D22" s="124"/>
      <c r="E22" s="124"/>
      <c r="F22" s="124"/>
      <c r="G22" s="124"/>
      <c r="H22" s="124"/>
      <c r="I22" s="124"/>
      <c r="J22" s="83"/>
      <c r="K22" s="49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17"/>
      <c r="AC22" s="17"/>
      <c r="AD22" s="17"/>
      <c r="AE22" s="17"/>
      <c r="AF22" s="17"/>
    </row>
    <row r="23" spans="1:32" s="9" customFormat="1" ht="15.5">
      <c r="I23" s="46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0"/>
      <c r="V23" s="40"/>
      <c r="W23" s="40"/>
      <c r="X23" s="40"/>
      <c r="Y23" s="40"/>
      <c r="Z23" s="40"/>
      <c r="AA23" s="40"/>
      <c r="AB23" s="17"/>
      <c r="AC23" s="17"/>
      <c r="AD23" s="17"/>
      <c r="AE23" s="17"/>
      <c r="AF23" s="17"/>
    </row>
    <row r="24" spans="1:32" s="9" customFormat="1" ht="15.5">
      <c r="F24" s="18" t="s">
        <v>24</v>
      </c>
      <c r="I24" s="46"/>
      <c r="J24" s="49"/>
      <c r="K24" s="49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17"/>
      <c r="AC24" s="17"/>
      <c r="AD24" s="17"/>
      <c r="AE24" s="17"/>
      <c r="AF24" s="17"/>
    </row>
    <row r="25" spans="1:32">
      <c r="A25" s="19" t="s">
        <v>25</v>
      </c>
      <c r="C25" s="20">
        <v>36</v>
      </c>
      <c r="F25" s="109">
        <f>IF(OR(NOT(AND(C79&gt;0.99,C79&lt;1.01)),COUNTIF(C29:C76,"&gt;0")&lt;&gt;C25,(COUNTIF(C29:C76,"&lt;0.020834"))),"WARNING:",0)</f>
        <v>0</v>
      </c>
      <c r="G25" s="109"/>
      <c r="H25" s="109"/>
      <c r="I25" s="109"/>
      <c r="J25" s="84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3"/>
      <c r="AC25" s="3"/>
      <c r="AD25" s="3"/>
      <c r="AE25" s="3"/>
      <c r="AF25" s="3"/>
    </row>
    <row r="26" spans="1:32">
      <c r="A26" s="19" t="s">
        <v>26</v>
      </c>
      <c r="C26" s="21">
        <v>200000</v>
      </c>
      <c r="D26" s="4"/>
      <c r="F26" s="109" t="str">
        <f>IF(COUNTIF(C29:C76,"&gt;0")&lt;&gt;C25,"Number of input percentages does not match number of samples",IF((COUNTIF(C29:C76,"&lt;0.020834")),"No individual percentage may be lower than 2.09%",IF(NOT(AND(C79&gt;0.99,C79&lt;1.01)),"Percentage Must Add to 100%",IF(SUM($Z$26:$Z$76)*1.3&gt;1800,"Diluent volumes too high.  Extra Sample Dilution Tubes Required. ",0))))</f>
        <v xml:space="preserve">Diluent volumes too high.  Extra Sample Dilution Tubes Required. </v>
      </c>
      <c r="G26" s="109"/>
      <c r="H26" s="109"/>
      <c r="I26" s="109"/>
      <c r="J26" s="84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3"/>
      <c r="AC26" s="3"/>
      <c r="AD26" s="3"/>
      <c r="AE26" s="3"/>
      <c r="AF26" s="3"/>
    </row>
    <row r="27" spans="1:32"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3"/>
      <c r="AC27" s="3"/>
      <c r="AD27" s="3"/>
      <c r="AE27" s="3"/>
      <c r="AF27" s="3"/>
    </row>
    <row r="28" spans="1:32" ht="93">
      <c r="A28" s="51" t="s">
        <v>13</v>
      </c>
      <c r="B28" s="22" t="s">
        <v>27</v>
      </c>
      <c r="C28" s="22" t="s">
        <v>28</v>
      </c>
      <c r="D28" s="22" t="s">
        <v>29</v>
      </c>
      <c r="E28" s="22" t="s">
        <v>30</v>
      </c>
      <c r="F28" s="22" t="s">
        <v>31</v>
      </c>
      <c r="G28" s="22" t="s">
        <v>32</v>
      </c>
      <c r="J28" s="66" t="s">
        <v>99</v>
      </c>
      <c r="K28" s="67" t="s">
        <v>41</v>
      </c>
      <c r="L28" s="66" t="s">
        <v>100</v>
      </c>
      <c r="M28" s="68" t="s">
        <v>5</v>
      </c>
      <c r="N28" s="68" t="s">
        <v>0</v>
      </c>
      <c r="O28" s="68" t="s">
        <v>36</v>
      </c>
      <c r="P28" s="68" t="s">
        <v>6</v>
      </c>
      <c r="Q28" s="68" t="s">
        <v>37</v>
      </c>
      <c r="R28" s="68" t="s">
        <v>40</v>
      </c>
      <c r="S28" s="68" t="s">
        <v>39</v>
      </c>
      <c r="T28" s="68" t="s">
        <v>38</v>
      </c>
      <c r="U28" s="68" t="s">
        <v>42</v>
      </c>
      <c r="V28" s="66" t="s">
        <v>43</v>
      </c>
      <c r="W28" s="69" t="s">
        <v>44</v>
      </c>
      <c r="X28" s="69" t="s">
        <v>46</v>
      </c>
      <c r="Y28" s="70" t="s">
        <v>45</v>
      </c>
      <c r="Z28" s="70" t="s">
        <v>107</v>
      </c>
      <c r="AA28" s="68" t="s">
        <v>47</v>
      </c>
      <c r="AB28" s="102"/>
      <c r="AC28" s="102"/>
      <c r="AD28" s="102"/>
    </row>
    <row r="29" spans="1:32">
      <c r="A29" s="16">
        <v>1</v>
      </c>
      <c r="B29" s="103" t="s">
        <v>256</v>
      </c>
      <c r="C29" s="104">
        <v>2.7E-2</v>
      </c>
      <c r="D29" s="105">
        <v>17300</v>
      </c>
      <c r="E29" s="15">
        <v>1</v>
      </c>
      <c r="F29" s="35">
        <f>ROUND(C29*$C$26,0)</f>
        <v>5400</v>
      </c>
      <c r="G29" s="36">
        <f>IFERROR(ROUNDDOWN(F29/(192.2*(E29/48)),0),0)</f>
        <v>1348</v>
      </c>
      <c r="H29" s="2" t="str">
        <f t="shared" ref="H29:H60" si="0">IF(L29&lt;0,"CRITICAL: This cell stock concentration is too low.","")</f>
        <v/>
      </c>
      <c r="J29" s="71">
        <f>IFERROR(IF(D29&lt;&gt;"", IF(D29&gt;G29, IF(G29*15.6/D29&lt;5, 5*E29*1.4,G29*15.6/D29*E29*1.4),15.6*E29*1.4), 0),0)</f>
        <v>7</v>
      </c>
      <c r="K29" s="67">
        <f>ROUNDUP(J29/200,0)</f>
        <v>1</v>
      </c>
      <c r="L29" s="71">
        <f t="shared" ref="L29:L76" si="1">IFERROR(J29*D29/G29-J29, 0)</f>
        <v>82.836795252225514</v>
      </c>
      <c r="M29" s="72">
        <v>1</v>
      </c>
      <c r="N29" s="72">
        <v>1</v>
      </c>
      <c r="O29" s="72">
        <f>_xlfn.XLOOKUP(N29,$A$29:$A$76,$K$29:$K$76)</f>
        <v>1</v>
      </c>
      <c r="P29" s="73">
        <f>COUNTIF(N$29:$N29,N29)</f>
        <v>1</v>
      </c>
      <c r="Q29" s="73">
        <f t="shared" ref="Q29:Q76" si="2">IFERROR(_xlfn.XLOOKUP(N29,$A$29:$A$76,$E$29:$E$76),0)</f>
        <v>1</v>
      </c>
      <c r="R29" s="73">
        <f t="shared" ref="R29:R76" si="3">IFERROR(_xlfn.XLOOKUP(N29,$A$29:$A$76,$D$29:$D$76),0)</f>
        <v>17300</v>
      </c>
      <c r="S29" s="74">
        <f t="shared" ref="S29:S76" si="4">IFERROR(_xlfn.XLOOKUP(N29,$A$29:$A$76,$G$29:$G$76),0)</f>
        <v>1348</v>
      </c>
      <c r="T29" s="73">
        <f>IFERROR(IF(ROUNDUP(Q29/O29,0)*P29&lt;=Q29,ROUNDUP(Q29/O29,0),MOD(Q29,(ROUNDUP(Q29/O29,0)))),0)</f>
        <v>1</v>
      </c>
      <c r="U29" s="75">
        <f>IFERROR(IF(R29&gt;S29, (S29*(15.6)/R29)*T29, 15.6*T29),0)</f>
        <v>1.2155375722543351</v>
      </c>
      <c r="V29" s="76">
        <f>IFERROR(U29/T29,0)</f>
        <v>1.2155375722543351</v>
      </c>
      <c r="W29" s="77">
        <f>IFERROR(IF(U29/T29&lt;5, T29*5*1.4, U29*1.4),0)</f>
        <v>7</v>
      </c>
      <c r="X29" s="77">
        <f t="shared" ref="X29:X76" si="5">IF(T29&gt;0, IF(V29&lt;5, 5, V29), 0)</f>
        <v>5</v>
      </c>
      <c r="Y29" s="78">
        <f>IFERROR(IF(X29*R29/S29-X29&lt;1, 0, IF(X29*R29/S29-X29&lt;2, 2,X29*R29/S29-X29)),0)</f>
        <v>59.169139465875375</v>
      </c>
      <c r="Z29" s="78">
        <f>Y29*T29</f>
        <v>59.169139465875375</v>
      </c>
      <c r="AA29" s="79" t="str">
        <f>IFERROR(_xlfn.XLOOKUP(_xlfn.CONCAT(N29,P29),'Integra Loading Table'!$C:$C,'Integra Loading Table'!E:E),0)</f>
        <v>A1</v>
      </c>
      <c r="AB29" s="3"/>
      <c r="AC29" s="3"/>
      <c r="AD29" s="3"/>
      <c r="AE29" s="3"/>
    </row>
    <row r="30" spans="1:32">
      <c r="A30" s="16">
        <f>IF(A29&gt;0,IF($C$25&gt;=(A29+1),(A29+1),0),0)</f>
        <v>2</v>
      </c>
      <c r="B30" s="106" t="s">
        <v>159</v>
      </c>
      <c r="C30" s="107">
        <v>2.7E-2</v>
      </c>
      <c r="D30" s="108">
        <v>11450</v>
      </c>
      <c r="E30" s="15">
        <v>1</v>
      </c>
      <c r="F30" s="35">
        <f t="shared" ref="F30:F76" si="6">ROUND(C30*$C$26,0)</f>
        <v>5400</v>
      </c>
      <c r="G30" s="36">
        <f t="shared" ref="G30:G76" si="7">IFERROR(ROUNDDOWN(F30/(192.2*(E30/48)),0),0)</f>
        <v>1348</v>
      </c>
      <c r="H30" s="2" t="str">
        <f t="shared" si="0"/>
        <v/>
      </c>
      <c r="J30" s="71">
        <f t="shared" ref="J30:J76" si="8">IFERROR(IF(D30&lt;&gt;"", IF(D30&gt;G30, IF(G30*15.6/D30&lt;5, 5*E30*1.4,G30*15.6/D30*E30*1.4),15.6*E30*1.4), 0),0)</f>
        <v>7</v>
      </c>
      <c r="K30" s="67">
        <f t="shared" ref="K30:K76" si="9">ROUNDUP(J30/200,0)</f>
        <v>1</v>
      </c>
      <c r="L30" s="71">
        <f t="shared" si="1"/>
        <v>52.458456973293771</v>
      </c>
      <c r="M30" s="72">
        <f>M29+1</f>
        <v>2</v>
      </c>
      <c r="N30" s="73">
        <f>IF(O29=P29,N29+1,N29)</f>
        <v>2</v>
      </c>
      <c r="O30" s="72">
        <f t="shared" ref="O30:O76" si="10">_xlfn.XLOOKUP(N30,$A$29:$A$76,$K$29:$K$76)</f>
        <v>1</v>
      </c>
      <c r="P30" s="73">
        <f>COUNTIF(N$29:$N30,N30)</f>
        <v>1</v>
      </c>
      <c r="Q30" s="73">
        <f t="shared" si="2"/>
        <v>1</v>
      </c>
      <c r="R30" s="73">
        <f t="shared" si="3"/>
        <v>11450</v>
      </c>
      <c r="S30" s="74">
        <f t="shared" si="4"/>
        <v>1348</v>
      </c>
      <c r="T30" s="73">
        <f t="shared" ref="T30:T76" si="11">IFERROR(IF(ROUNDUP(Q30/O30,0)*P30&lt;=Q30,ROUNDUP(Q30/O30,0),MOD(Q30,(ROUNDUP(Q30/O30,0)))),0)</f>
        <v>1</v>
      </c>
      <c r="U30" s="75">
        <f t="shared" ref="U30:U76" si="12">IFERROR(IF(R30&gt;S30, (S30*(15.6)/R30)*T30, 15.6*T30),0)</f>
        <v>1.8365764192139737</v>
      </c>
      <c r="V30" s="76">
        <f t="shared" ref="V30:V76" si="13">IFERROR(U30/T30,0)</f>
        <v>1.8365764192139737</v>
      </c>
      <c r="W30" s="77">
        <f t="shared" ref="W30:W76" si="14">IFERROR(IF(U30/T30&lt;5, T30*5*1.4, U30*1.4),0)</f>
        <v>7</v>
      </c>
      <c r="X30" s="77">
        <f t="shared" si="5"/>
        <v>5</v>
      </c>
      <c r="Y30" s="78">
        <f t="shared" ref="Y30:Y76" si="15">IFERROR(IF(X30*R30/S30-X30&lt;1, 0, IF(X30*R30/S30-X30&lt;2, 2,X30*R30/S30-X30)),0)</f>
        <v>37.470326409495549</v>
      </c>
      <c r="Z30" s="78">
        <f t="shared" ref="Z30:Z76" si="16">Y30*T30</f>
        <v>37.470326409495549</v>
      </c>
      <c r="AA30" s="79" t="str">
        <f>IFERROR(_xlfn.XLOOKUP(_xlfn.CONCAT(N30,P30),'Integra Loading Table'!$C:$C,'Integra Loading Table'!E:E),0)</f>
        <v>A2</v>
      </c>
      <c r="AB30" s="99"/>
      <c r="AC30" s="99"/>
      <c r="AD30" s="99"/>
      <c r="AE30" s="99"/>
    </row>
    <row r="31" spans="1:32">
      <c r="A31" s="16">
        <f>IF(A30&gt;0,IF($C$25&gt;=(A30+1),(A30+1),0),0)</f>
        <v>3</v>
      </c>
      <c r="B31" s="106" t="s">
        <v>160</v>
      </c>
      <c r="C31" s="107">
        <v>2.7E-2</v>
      </c>
      <c r="D31" s="108">
        <v>14550</v>
      </c>
      <c r="E31" s="15">
        <v>1</v>
      </c>
      <c r="F31" s="35">
        <f t="shared" si="6"/>
        <v>5400</v>
      </c>
      <c r="G31" s="36">
        <f t="shared" si="7"/>
        <v>1348</v>
      </c>
      <c r="H31" s="2" t="str">
        <f t="shared" si="0"/>
        <v/>
      </c>
      <c r="J31" s="71">
        <f t="shared" si="8"/>
        <v>7</v>
      </c>
      <c r="K31" s="67">
        <f t="shared" si="9"/>
        <v>1</v>
      </c>
      <c r="L31" s="71">
        <f t="shared" si="1"/>
        <v>68.556379821958458</v>
      </c>
      <c r="M31" s="72">
        <f t="shared" ref="M31:M76" si="17">M30+1</f>
        <v>3</v>
      </c>
      <c r="N31" s="73">
        <f t="shared" ref="N31:N33" si="18">IF(O30=P30,N30+1,N30)</f>
        <v>3</v>
      </c>
      <c r="O31" s="72">
        <f t="shared" si="10"/>
        <v>1</v>
      </c>
      <c r="P31" s="73">
        <f>COUNTIF(N$29:$N31,N31)</f>
        <v>1</v>
      </c>
      <c r="Q31" s="73">
        <f t="shared" si="2"/>
        <v>1</v>
      </c>
      <c r="R31" s="73">
        <f t="shared" si="3"/>
        <v>14550</v>
      </c>
      <c r="S31" s="74">
        <f t="shared" si="4"/>
        <v>1348</v>
      </c>
      <c r="T31" s="73">
        <f t="shared" si="11"/>
        <v>1</v>
      </c>
      <c r="U31" s="75">
        <f t="shared" si="12"/>
        <v>1.4452783505154638</v>
      </c>
      <c r="V31" s="76">
        <f t="shared" si="13"/>
        <v>1.4452783505154638</v>
      </c>
      <c r="W31" s="77">
        <f t="shared" si="14"/>
        <v>7</v>
      </c>
      <c r="X31" s="77">
        <f t="shared" si="5"/>
        <v>5</v>
      </c>
      <c r="Y31" s="78">
        <f t="shared" si="15"/>
        <v>48.968842729970326</v>
      </c>
      <c r="Z31" s="78">
        <f t="shared" si="16"/>
        <v>48.968842729970326</v>
      </c>
      <c r="AA31" s="79" t="str">
        <f>IFERROR(_xlfn.XLOOKUP(_xlfn.CONCAT(N31,P31),'Integra Loading Table'!$C:$C,'Integra Loading Table'!E:E),0)</f>
        <v>A3</v>
      </c>
      <c r="AB31" s="99"/>
      <c r="AC31" s="99"/>
      <c r="AD31" s="99"/>
      <c r="AE31" s="99"/>
    </row>
    <row r="32" spans="1:32">
      <c r="A32" s="16">
        <f>IF(A31&gt;0,IF($C$25&gt;=(A31+1),(A31+1),0),0)</f>
        <v>4</v>
      </c>
      <c r="B32" s="106" t="s">
        <v>161</v>
      </c>
      <c r="C32" s="107">
        <v>2.7E-2</v>
      </c>
      <c r="D32" s="108">
        <v>7700</v>
      </c>
      <c r="E32" s="15">
        <v>1</v>
      </c>
      <c r="F32" s="35">
        <f t="shared" si="6"/>
        <v>5400</v>
      </c>
      <c r="G32" s="36">
        <f t="shared" si="7"/>
        <v>1348</v>
      </c>
      <c r="H32" s="2" t="str">
        <f t="shared" si="0"/>
        <v/>
      </c>
      <c r="J32" s="71">
        <f t="shared" si="8"/>
        <v>7</v>
      </c>
      <c r="K32" s="67">
        <f t="shared" si="9"/>
        <v>1</v>
      </c>
      <c r="L32" s="71">
        <f t="shared" si="1"/>
        <v>32.985163204747778</v>
      </c>
      <c r="M32" s="72">
        <f t="shared" si="17"/>
        <v>4</v>
      </c>
      <c r="N32" s="73">
        <f t="shared" si="18"/>
        <v>4</v>
      </c>
      <c r="O32" s="72">
        <f t="shared" si="10"/>
        <v>1</v>
      </c>
      <c r="P32" s="73">
        <f>COUNTIF(N$29:$N32,N32)</f>
        <v>1</v>
      </c>
      <c r="Q32" s="73">
        <f t="shared" si="2"/>
        <v>1</v>
      </c>
      <c r="R32" s="73">
        <f t="shared" si="3"/>
        <v>7700</v>
      </c>
      <c r="S32" s="74">
        <f t="shared" si="4"/>
        <v>1348</v>
      </c>
      <c r="T32" s="73">
        <f t="shared" si="11"/>
        <v>1</v>
      </c>
      <c r="U32" s="75">
        <f t="shared" si="12"/>
        <v>2.7310129870129871</v>
      </c>
      <c r="V32" s="76">
        <f t="shared" si="13"/>
        <v>2.7310129870129871</v>
      </c>
      <c r="W32" s="77">
        <f t="shared" si="14"/>
        <v>7</v>
      </c>
      <c r="X32" s="77">
        <f t="shared" si="5"/>
        <v>5</v>
      </c>
      <c r="Y32" s="78">
        <f t="shared" si="15"/>
        <v>23.560830860534125</v>
      </c>
      <c r="Z32" s="78">
        <f t="shared" si="16"/>
        <v>23.560830860534125</v>
      </c>
      <c r="AA32" s="79" t="str">
        <f>IFERROR(_xlfn.XLOOKUP(_xlfn.CONCAT(N32,P32),'Integra Loading Table'!$C:$C,'Integra Loading Table'!E:E),0)</f>
        <v>A4</v>
      </c>
      <c r="AB32" s="99"/>
      <c r="AC32" s="99"/>
      <c r="AD32" s="99"/>
      <c r="AE32" s="99"/>
    </row>
    <row r="33" spans="1:31">
      <c r="A33" s="16">
        <f>IF(A32&gt;0,IF($C$25&gt;=(A32+1),(A32+1),0),0)</f>
        <v>5</v>
      </c>
      <c r="B33" s="106" t="s">
        <v>162</v>
      </c>
      <c r="C33" s="107">
        <v>2.7E-2</v>
      </c>
      <c r="D33" s="108">
        <v>16900</v>
      </c>
      <c r="E33" s="15">
        <v>1</v>
      </c>
      <c r="F33" s="35">
        <f t="shared" si="6"/>
        <v>5400</v>
      </c>
      <c r="G33" s="36">
        <f t="shared" si="7"/>
        <v>1348</v>
      </c>
      <c r="H33" s="2" t="str">
        <f t="shared" si="0"/>
        <v/>
      </c>
      <c r="J33" s="71">
        <f t="shared" si="8"/>
        <v>7</v>
      </c>
      <c r="K33" s="67">
        <f t="shared" si="9"/>
        <v>1</v>
      </c>
      <c r="L33" s="71">
        <f t="shared" si="1"/>
        <v>80.759643916913944</v>
      </c>
      <c r="M33" s="72">
        <f t="shared" si="17"/>
        <v>5</v>
      </c>
      <c r="N33" s="73">
        <f t="shared" si="18"/>
        <v>5</v>
      </c>
      <c r="O33" s="72">
        <f t="shared" si="10"/>
        <v>1</v>
      </c>
      <c r="P33" s="73">
        <f>COUNTIF(N$29:$N33,N33)</f>
        <v>1</v>
      </c>
      <c r="Q33" s="73">
        <f t="shared" si="2"/>
        <v>1</v>
      </c>
      <c r="R33" s="73">
        <f t="shared" si="3"/>
        <v>16900</v>
      </c>
      <c r="S33" s="74">
        <f t="shared" si="4"/>
        <v>1348</v>
      </c>
      <c r="T33" s="73">
        <f t="shared" si="11"/>
        <v>1</v>
      </c>
      <c r="U33" s="75">
        <f t="shared" si="12"/>
        <v>1.2443076923076923</v>
      </c>
      <c r="V33" s="76">
        <f t="shared" si="13"/>
        <v>1.2443076923076923</v>
      </c>
      <c r="W33" s="77">
        <f t="shared" si="14"/>
        <v>7</v>
      </c>
      <c r="X33" s="77">
        <f t="shared" si="5"/>
        <v>5</v>
      </c>
      <c r="Y33" s="78">
        <f t="shared" si="15"/>
        <v>57.685459940652819</v>
      </c>
      <c r="Z33" s="78">
        <f t="shared" si="16"/>
        <v>57.685459940652819</v>
      </c>
      <c r="AA33" s="79" t="str">
        <f>IFERROR(_xlfn.XLOOKUP(_xlfn.CONCAT(N33,P33),'Integra Loading Table'!$C:$C,'Integra Loading Table'!E:E),0)</f>
        <v>A5</v>
      </c>
      <c r="AB33" s="99"/>
      <c r="AC33" s="99"/>
      <c r="AD33" s="99"/>
      <c r="AE33" s="99"/>
    </row>
    <row r="34" spans="1:31">
      <c r="A34" s="16">
        <f t="shared" ref="A34:A76" si="19">IF(A33&gt;0,IF($C$25&gt;=(A33+1),(A33+1),0),0)</f>
        <v>6</v>
      </c>
      <c r="B34" s="106" t="s">
        <v>163</v>
      </c>
      <c r="C34" s="107">
        <v>2.7E-2</v>
      </c>
      <c r="D34" s="108">
        <v>20100</v>
      </c>
      <c r="E34" s="15">
        <v>1</v>
      </c>
      <c r="F34" s="35">
        <f t="shared" si="6"/>
        <v>5400</v>
      </c>
      <c r="G34" s="36">
        <f t="shared" si="7"/>
        <v>1348</v>
      </c>
      <c r="H34" s="2" t="str">
        <f t="shared" si="0"/>
        <v/>
      </c>
      <c r="J34" s="71">
        <f t="shared" si="8"/>
        <v>7</v>
      </c>
      <c r="K34" s="67">
        <f t="shared" si="9"/>
        <v>1</v>
      </c>
      <c r="L34" s="71">
        <f t="shared" si="1"/>
        <v>97.376854599406528</v>
      </c>
      <c r="M34" s="72">
        <f t="shared" si="17"/>
        <v>6</v>
      </c>
      <c r="N34" s="73">
        <f>IF(O33=P33,N33+1,N33)</f>
        <v>6</v>
      </c>
      <c r="O34" s="72">
        <f t="shared" si="10"/>
        <v>1</v>
      </c>
      <c r="P34" s="73">
        <f>COUNTIF(N$29:$N34,N34)</f>
        <v>1</v>
      </c>
      <c r="Q34" s="73">
        <f t="shared" si="2"/>
        <v>1</v>
      </c>
      <c r="R34" s="73">
        <f t="shared" si="3"/>
        <v>20100</v>
      </c>
      <c r="S34" s="74">
        <f t="shared" si="4"/>
        <v>1348</v>
      </c>
      <c r="T34" s="73">
        <f t="shared" si="11"/>
        <v>1</v>
      </c>
      <c r="U34" s="75">
        <f t="shared" si="12"/>
        <v>1.0462089552238805</v>
      </c>
      <c r="V34" s="76">
        <f t="shared" si="13"/>
        <v>1.0462089552238805</v>
      </c>
      <c r="W34" s="77">
        <f t="shared" si="14"/>
        <v>7</v>
      </c>
      <c r="X34" s="77">
        <f t="shared" si="5"/>
        <v>5</v>
      </c>
      <c r="Y34" s="78">
        <f t="shared" si="15"/>
        <v>69.554896142433236</v>
      </c>
      <c r="Z34" s="78">
        <f t="shared" si="16"/>
        <v>69.554896142433236</v>
      </c>
      <c r="AA34" s="79" t="str">
        <f>IFERROR(_xlfn.XLOOKUP(_xlfn.CONCAT(N34,P34),'Integra Loading Table'!$C:$C,'Integra Loading Table'!E:E),0)</f>
        <v>A6</v>
      </c>
      <c r="AB34" s="5"/>
      <c r="AC34" s="5"/>
      <c r="AD34" s="5"/>
      <c r="AE34" s="5"/>
    </row>
    <row r="35" spans="1:31">
      <c r="A35" s="16">
        <f t="shared" si="19"/>
        <v>7</v>
      </c>
      <c r="B35" s="106" t="s">
        <v>164</v>
      </c>
      <c r="C35" s="107">
        <v>2.7E-2</v>
      </c>
      <c r="D35" s="108">
        <v>8550</v>
      </c>
      <c r="E35" s="15">
        <v>1</v>
      </c>
      <c r="F35" s="35">
        <f t="shared" si="6"/>
        <v>5400</v>
      </c>
      <c r="G35" s="36">
        <f t="shared" si="7"/>
        <v>1348</v>
      </c>
      <c r="H35" s="2" t="str">
        <f t="shared" si="0"/>
        <v/>
      </c>
      <c r="J35" s="71">
        <f t="shared" si="8"/>
        <v>7</v>
      </c>
      <c r="K35" s="67">
        <f t="shared" si="9"/>
        <v>1</v>
      </c>
      <c r="L35" s="71">
        <f t="shared" si="1"/>
        <v>37.399109792284868</v>
      </c>
      <c r="M35" s="72">
        <f t="shared" si="17"/>
        <v>7</v>
      </c>
      <c r="N35" s="73">
        <f t="shared" ref="N35:N76" si="20">IF(O34=P34,N34+1,N34)</f>
        <v>7</v>
      </c>
      <c r="O35" s="72">
        <f t="shared" si="10"/>
        <v>1</v>
      </c>
      <c r="P35" s="73">
        <f>COUNTIF(N$29:$N35,N35)</f>
        <v>1</v>
      </c>
      <c r="Q35" s="73">
        <f t="shared" si="2"/>
        <v>1</v>
      </c>
      <c r="R35" s="73">
        <f t="shared" si="3"/>
        <v>8550</v>
      </c>
      <c r="S35" s="74">
        <f t="shared" si="4"/>
        <v>1348</v>
      </c>
      <c r="T35" s="73">
        <f t="shared" si="11"/>
        <v>1</v>
      </c>
      <c r="U35" s="75">
        <f t="shared" si="12"/>
        <v>2.4595087719298245</v>
      </c>
      <c r="V35" s="76">
        <f t="shared" si="13"/>
        <v>2.4595087719298245</v>
      </c>
      <c r="W35" s="77">
        <f t="shared" si="14"/>
        <v>7</v>
      </c>
      <c r="X35" s="77">
        <f t="shared" si="5"/>
        <v>5</v>
      </c>
      <c r="Y35" s="78">
        <f t="shared" si="15"/>
        <v>26.713649851632049</v>
      </c>
      <c r="Z35" s="78">
        <f t="shared" si="16"/>
        <v>26.713649851632049</v>
      </c>
      <c r="AA35" s="79" t="str">
        <f>IFERROR(_xlfn.XLOOKUP(_xlfn.CONCAT(N35,P35),'Integra Loading Table'!$C:$C,'Integra Loading Table'!E:E),0)</f>
        <v>A7</v>
      </c>
      <c r="AB35" s="5"/>
      <c r="AC35" s="5"/>
      <c r="AD35" s="5"/>
      <c r="AE35" s="5"/>
    </row>
    <row r="36" spans="1:31">
      <c r="A36" s="16">
        <f t="shared" si="19"/>
        <v>8</v>
      </c>
      <c r="B36" s="106" t="s">
        <v>165</v>
      </c>
      <c r="C36" s="107">
        <v>2.7E-2</v>
      </c>
      <c r="D36" s="108">
        <v>8650</v>
      </c>
      <c r="E36" s="15">
        <v>1</v>
      </c>
      <c r="F36" s="35">
        <f t="shared" si="6"/>
        <v>5400</v>
      </c>
      <c r="G36" s="36">
        <f t="shared" si="7"/>
        <v>1348</v>
      </c>
      <c r="H36" s="2" t="str">
        <f t="shared" si="0"/>
        <v/>
      </c>
      <c r="J36" s="71">
        <f t="shared" si="8"/>
        <v>7</v>
      </c>
      <c r="K36" s="67">
        <f t="shared" si="9"/>
        <v>1</v>
      </c>
      <c r="L36" s="71">
        <f t="shared" si="1"/>
        <v>37.918397626112757</v>
      </c>
      <c r="M36" s="72">
        <f t="shared" si="17"/>
        <v>8</v>
      </c>
      <c r="N36" s="73">
        <f t="shared" si="20"/>
        <v>8</v>
      </c>
      <c r="O36" s="72">
        <f t="shared" si="10"/>
        <v>1</v>
      </c>
      <c r="P36" s="73">
        <f>COUNTIF(N$29:$N36,N36)</f>
        <v>1</v>
      </c>
      <c r="Q36" s="73">
        <f t="shared" si="2"/>
        <v>1</v>
      </c>
      <c r="R36" s="73">
        <f t="shared" si="3"/>
        <v>8650</v>
      </c>
      <c r="S36" s="74">
        <f t="shared" si="4"/>
        <v>1348</v>
      </c>
      <c r="T36" s="73">
        <f t="shared" si="11"/>
        <v>1</v>
      </c>
      <c r="U36" s="75">
        <f t="shared" si="12"/>
        <v>2.4310751445086702</v>
      </c>
      <c r="V36" s="76">
        <f t="shared" si="13"/>
        <v>2.4310751445086702</v>
      </c>
      <c r="W36" s="77">
        <f t="shared" si="14"/>
        <v>7</v>
      </c>
      <c r="X36" s="77">
        <f t="shared" si="5"/>
        <v>5</v>
      </c>
      <c r="Y36" s="78">
        <f t="shared" si="15"/>
        <v>27.084569732937688</v>
      </c>
      <c r="Z36" s="78">
        <f t="shared" si="16"/>
        <v>27.084569732937688</v>
      </c>
      <c r="AA36" s="79" t="str">
        <f>IFERROR(_xlfn.XLOOKUP(_xlfn.CONCAT(N36,P36),'Integra Loading Table'!$C:$C,'Integra Loading Table'!E:E),0)</f>
        <v>A8</v>
      </c>
      <c r="AB36" s="5"/>
      <c r="AC36" s="5"/>
      <c r="AD36" s="5"/>
      <c r="AE36" s="5"/>
    </row>
    <row r="37" spans="1:31">
      <c r="A37" s="16">
        <f t="shared" si="19"/>
        <v>9</v>
      </c>
      <c r="B37" s="106" t="s">
        <v>166</v>
      </c>
      <c r="C37" s="107">
        <v>2.8000000000000001E-2</v>
      </c>
      <c r="D37" s="108">
        <v>1950</v>
      </c>
      <c r="E37" s="15">
        <v>1</v>
      </c>
      <c r="F37" s="35">
        <f t="shared" si="6"/>
        <v>5600</v>
      </c>
      <c r="G37" s="36">
        <f t="shared" si="7"/>
        <v>1398</v>
      </c>
      <c r="H37" s="2" t="str">
        <f t="shared" si="0"/>
        <v/>
      </c>
      <c r="J37" s="71">
        <f t="shared" si="8"/>
        <v>15.657599999999999</v>
      </c>
      <c r="K37" s="67">
        <f t="shared" si="9"/>
        <v>1</v>
      </c>
      <c r="L37" s="71">
        <f t="shared" si="1"/>
        <v>6.1823999999999977</v>
      </c>
      <c r="M37" s="72">
        <f t="shared" si="17"/>
        <v>9</v>
      </c>
      <c r="N37" s="73">
        <f t="shared" si="20"/>
        <v>9</v>
      </c>
      <c r="O37" s="72">
        <f t="shared" si="10"/>
        <v>1</v>
      </c>
      <c r="P37" s="73">
        <f>COUNTIF(N$29:$N37,N37)</f>
        <v>1</v>
      </c>
      <c r="Q37" s="73">
        <f t="shared" si="2"/>
        <v>1</v>
      </c>
      <c r="R37" s="73">
        <f t="shared" si="3"/>
        <v>1950</v>
      </c>
      <c r="S37" s="74">
        <f t="shared" si="4"/>
        <v>1398</v>
      </c>
      <c r="T37" s="73">
        <f t="shared" si="11"/>
        <v>1</v>
      </c>
      <c r="U37" s="75">
        <f t="shared" si="12"/>
        <v>11.183999999999999</v>
      </c>
      <c r="V37" s="76">
        <f t="shared" si="13"/>
        <v>11.183999999999999</v>
      </c>
      <c r="W37" s="77">
        <f t="shared" si="14"/>
        <v>15.657599999999999</v>
      </c>
      <c r="X37" s="77">
        <f t="shared" si="5"/>
        <v>11.183999999999999</v>
      </c>
      <c r="Y37" s="78">
        <f t="shared" si="15"/>
        <v>4.4160000000000004</v>
      </c>
      <c r="Z37" s="78">
        <f t="shared" si="16"/>
        <v>4.4160000000000004</v>
      </c>
      <c r="AA37" s="79" t="str">
        <f>IFERROR(_xlfn.XLOOKUP(_xlfn.CONCAT(N37,P37),'Integra Loading Table'!$C:$C,'Integra Loading Table'!E:E),0)</f>
        <v>A9</v>
      </c>
      <c r="AB37" s="5"/>
      <c r="AC37" s="5"/>
      <c r="AD37" s="5"/>
      <c r="AE37" s="5"/>
    </row>
    <row r="38" spans="1:31">
      <c r="A38" s="16">
        <f t="shared" si="19"/>
        <v>10</v>
      </c>
      <c r="B38" s="15" t="s">
        <v>167</v>
      </c>
      <c r="C38" s="23">
        <v>2.8000000000000001E-2</v>
      </c>
      <c r="D38" s="24">
        <v>15900</v>
      </c>
      <c r="E38" s="15">
        <v>1</v>
      </c>
      <c r="F38" s="35">
        <f t="shared" si="6"/>
        <v>5600</v>
      </c>
      <c r="G38" s="36">
        <f t="shared" si="7"/>
        <v>1398</v>
      </c>
      <c r="H38" s="2" t="str">
        <f t="shared" si="0"/>
        <v/>
      </c>
      <c r="J38" s="71">
        <f t="shared" si="8"/>
        <v>7</v>
      </c>
      <c r="K38" s="67">
        <f t="shared" si="9"/>
        <v>1</v>
      </c>
      <c r="L38" s="71">
        <f t="shared" si="1"/>
        <v>72.613733905579394</v>
      </c>
      <c r="M38" s="72">
        <f t="shared" si="17"/>
        <v>10</v>
      </c>
      <c r="N38" s="73">
        <f t="shared" si="20"/>
        <v>10</v>
      </c>
      <c r="O38" s="72">
        <f t="shared" si="10"/>
        <v>1</v>
      </c>
      <c r="P38" s="73">
        <f>COUNTIF(N$29:$N38,N38)</f>
        <v>1</v>
      </c>
      <c r="Q38" s="73">
        <f t="shared" si="2"/>
        <v>1</v>
      </c>
      <c r="R38" s="73">
        <f t="shared" si="3"/>
        <v>15900</v>
      </c>
      <c r="S38" s="74">
        <f t="shared" si="4"/>
        <v>1398</v>
      </c>
      <c r="T38" s="73">
        <f t="shared" si="11"/>
        <v>1</v>
      </c>
      <c r="U38" s="75">
        <f t="shared" si="12"/>
        <v>1.3716226415094339</v>
      </c>
      <c r="V38" s="76">
        <f t="shared" si="13"/>
        <v>1.3716226415094339</v>
      </c>
      <c r="W38" s="77">
        <f t="shared" si="14"/>
        <v>7</v>
      </c>
      <c r="X38" s="77">
        <f t="shared" si="5"/>
        <v>5</v>
      </c>
      <c r="Y38" s="78">
        <f t="shared" si="15"/>
        <v>51.866952789699567</v>
      </c>
      <c r="Z38" s="78">
        <f t="shared" si="16"/>
        <v>51.866952789699567</v>
      </c>
      <c r="AA38" s="79" t="str">
        <f>IFERROR(_xlfn.XLOOKUP(_xlfn.CONCAT(N38,P38),'Integra Loading Table'!$C:$C,'Integra Loading Table'!E:E),0)</f>
        <v>A10</v>
      </c>
      <c r="AB38" s="5"/>
      <c r="AC38" s="5"/>
      <c r="AD38" s="5"/>
      <c r="AE38" s="5"/>
    </row>
    <row r="39" spans="1:31">
      <c r="A39" s="16">
        <f t="shared" si="19"/>
        <v>11</v>
      </c>
      <c r="B39" s="15" t="s">
        <v>168</v>
      </c>
      <c r="C39" s="23">
        <v>2.8000000000000001E-2</v>
      </c>
      <c r="D39" s="24">
        <v>33600</v>
      </c>
      <c r="E39" s="15">
        <v>1</v>
      </c>
      <c r="F39" s="35">
        <f t="shared" si="6"/>
        <v>5600</v>
      </c>
      <c r="G39" s="36">
        <f t="shared" si="7"/>
        <v>1398</v>
      </c>
      <c r="H39" s="2" t="str">
        <f t="shared" si="0"/>
        <v/>
      </c>
      <c r="J39" s="71">
        <f t="shared" si="8"/>
        <v>7</v>
      </c>
      <c r="K39" s="67">
        <f t="shared" si="9"/>
        <v>1</v>
      </c>
      <c r="L39" s="71">
        <f t="shared" si="1"/>
        <v>161.24034334763948</v>
      </c>
      <c r="M39" s="72">
        <f t="shared" si="17"/>
        <v>11</v>
      </c>
      <c r="N39" s="73">
        <f t="shared" si="20"/>
        <v>11</v>
      </c>
      <c r="O39" s="72">
        <f t="shared" si="10"/>
        <v>1</v>
      </c>
      <c r="P39" s="73">
        <f>COUNTIF(N$29:$N39,N39)</f>
        <v>1</v>
      </c>
      <c r="Q39" s="73">
        <f t="shared" si="2"/>
        <v>1</v>
      </c>
      <c r="R39" s="73">
        <f t="shared" si="3"/>
        <v>33600</v>
      </c>
      <c r="S39" s="74">
        <f t="shared" si="4"/>
        <v>1398</v>
      </c>
      <c r="T39" s="73">
        <f t="shared" si="11"/>
        <v>1</v>
      </c>
      <c r="U39" s="75">
        <f t="shared" si="12"/>
        <v>0.64907142857142852</v>
      </c>
      <c r="V39" s="76">
        <f t="shared" si="13"/>
        <v>0.64907142857142852</v>
      </c>
      <c r="W39" s="77">
        <f t="shared" si="14"/>
        <v>7</v>
      </c>
      <c r="X39" s="77">
        <f t="shared" si="5"/>
        <v>5</v>
      </c>
      <c r="Y39" s="78">
        <f t="shared" si="15"/>
        <v>115.17167381974249</v>
      </c>
      <c r="Z39" s="78">
        <f t="shared" si="16"/>
        <v>115.17167381974249</v>
      </c>
      <c r="AA39" s="79" t="str">
        <f>IFERROR(_xlfn.XLOOKUP(_xlfn.CONCAT(N39,P39),'Integra Loading Table'!$C:$C,'Integra Loading Table'!E:E),0)</f>
        <v>A11</v>
      </c>
      <c r="AB39" s="5"/>
      <c r="AC39" s="5"/>
      <c r="AD39" s="5"/>
      <c r="AE39" s="5"/>
    </row>
    <row r="40" spans="1:31">
      <c r="A40" s="16">
        <f t="shared" si="19"/>
        <v>12</v>
      </c>
      <c r="B40" s="15" t="s">
        <v>169</v>
      </c>
      <c r="C40" s="23">
        <v>2.8000000000000001E-2</v>
      </c>
      <c r="D40" s="24">
        <v>26600</v>
      </c>
      <c r="E40" s="15">
        <v>1</v>
      </c>
      <c r="F40" s="35">
        <f t="shared" si="6"/>
        <v>5600</v>
      </c>
      <c r="G40" s="36">
        <f t="shared" si="7"/>
        <v>1398</v>
      </c>
      <c r="H40" s="2" t="str">
        <f t="shared" si="0"/>
        <v/>
      </c>
      <c r="J40" s="71">
        <f t="shared" si="8"/>
        <v>7</v>
      </c>
      <c r="K40" s="67">
        <f t="shared" si="9"/>
        <v>1</v>
      </c>
      <c r="L40" s="71">
        <f t="shared" si="1"/>
        <v>126.19027181688125</v>
      </c>
      <c r="M40" s="72">
        <f t="shared" si="17"/>
        <v>12</v>
      </c>
      <c r="N40" s="73">
        <f t="shared" si="20"/>
        <v>12</v>
      </c>
      <c r="O40" s="72">
        <f t="shared" si="10"/>
        <v>1</v>
      </c>
      <c r="P40" s="73">
        <f>COUNTIF(N$29:$N40,N40)</f>
        <v>1</v>
      </c>
      <c r="Q40" s="73">
        <f t="shared" si="2"/>
        <v>1</v>
      </c>
      <c r="R40" s="73">
        <f t="shared" si="3"/>
        <v>26600</v>
      </c>
      <c r="S40" s="74">
        <f t="shared" si="4"/>
        <v>1398</v>
      </c>
      <c r="T40" s="73">
        <f t="shared" si="11"/>
        <v>1</v>
      </c>
      <c r="U40" s="75">
        <f t="shared" si="12"/>
        <v>0.81987969924812032</v>
      </c>
      <c r="V40" s="76">
        <f t="shared" si="13"/>
        <v>0.81987969924812032</v>
      </c>
      <c r="W40" s="77">
        <f t="shared" si="14"/>
        <v>7</v>
      </c>
      <c r="X40" s="77">
        <f t="shared" si="5"/>
        <v>5</v>
      </c>
      <c r="Y40" s="78">
        <f t="shared" si="15"/>
        <v>90.135908440629464</v>
      </c>
      <c r="Z40" s="78">
        <f t="shared" si="16"/>
        <v>90.135908440629464</v>
      </c>
      <c r="AA40" s="79" t="str">
        <f>IFERROR(_xlfn.XLOOKUP(_xlfn.CONCAT(N40,P40),'Integra Loading Table'!$C:$C,'Integra Loading Table'!E:E),0)</f>
        <v>A12</v>
      </c>
      <c r="AB40" s="5"/>
      <c r="AC40" s="5"/>
      <c r="AD40" s="5"/>
      <c r="AE40" s="5"/>
    </row>
    <row r="41" spans="1:31">
      <c r="A41" s="16">
        <f t="shared" si="19"/>
        <v>13</v>
      </c>
      <c r="B41" s="15" t="s">
        <v>170</v>
      </c>
      <c r="C41" s="23">
        <v>2.8000000000000001E-2</v>
      </c>
      <c r="D41" s="24">
        <v>26850</v>
      </c>
      <c r="E41" s="15">
        <v>2</v>
      </c>
      <c r="F41" s="35">
        <f t="shared" si="6"/>
        <v>5600</v>
      </c>
      <c r="G41" s="36">
        <f t="shared" si="7"/>
        <v>699</v>
      </c>
      <c r="H41" s="2" t="str">
        <f t="shared" si="0"/>
        <v/>
      </c>
      <c r="J41" s="71">
        <f t="shared" si="8"/>
        <v>14</v>
      </c>
      <c r="K41" s="67">
        <f t="shared" si="9"/>
        <v>1</v>
      </c>
      <c r="L41" s="71">
        <f t="shared" si="1"/>
        <v>523.76824034334766</v>
      </c>
      <c r="M41" s="72">
        <f t="shared" si="17"/>
        <v>13</v>
      </c>
      <c r="N41" s="73">
        <f t="shared" si="20"/>
        <v>13</v>
      </c>
      <c r="O41" s="72">
        <f t="shared" si="10"/>
        <v>1</v>
      </c>
      <c r="P41" s="73">
        <f>COUNTIF(N$29:$N41,N41)</f>
        <v>1</v>
      </c>
      <c r="Q41" s="73">
        <f t="shared" si="2"/>
        <v>2</v>
      </c>
      <c r="R41" s="73">
        <f t="shared" si="3"/>
        <v>26850</v>
      </c>
      <c r="S41" s="74">
        <f t="shared" si="4"/>
        <v>699</v>
      </c>
      <c r="T41" s="73">
        <f t="shared" si="11"/>
        <v>2</v>
      </c>
      <c r="U41" s="75">
        <f t="shared" si="12"/>
        <v>0.81224581005586594</v>
      </c>
      <c r="V41" s="76">
        <f t="shared" si="13"/>
        <v>0.40612290502793297</v>
      </c>
      <c r="W41" s="77">
        <f t="shared" si="14"/>
        <v>14</v>
      </c>
      <c r="X41" s="77">
        <f t="shared" si="5"/>
        <v>5</v>
      </c>
      <c r="Y41" s="78">
        <f t="shared" si="15"/>
        <v>187.06008583690988</v>
      </c>
      <c r="Z41" s="78">
        <f t="shared" si="16"/>
        <v>374.12017167381975</v>
      </c>
      <c r="AA41" s="79" t="str">
        <f>IFERROR(_xlfn.XLOOKUP(_xlfn.CONCAT(N41,P41),'Integra Loading Table'!$C:$C,'Integra Loading Table'!E:E),0)</f>
        <v>B1</v>
      </c>
      <c r="AB41" s="5"/>
      <c r="AC41" s="5"/>
      <c r="AD41" s="5"/>
      <c r="AE41" s="5"/>
    </row>
    <row r="42" spans="1:31">
      <c r="A42" s="16">
        <f t="shared" si="19"/>
        <v>14</v>
      </c>
      <c r="B42" s="15" t="s">
        <v>171</v>
      </c>
      <c r="C42" s="23">
        <v>2.8000000000000001E-2</v>
      </c>
      <c r="D42" s="24">
        <v>19000</v>
      </c>
      <c r="E42" s="15">
        <f>IF(A42&lt;=ReferenceTable!$H$1,ROUNDUP(C42*48,0),ROUNDDOWN(C42*48,0))</f>
        <v>2</v>
      </c>
      <c r="F42" s="35">
        <f t="shared" si="6"/>
        <v>5600</v>
      </c>
      <c r="G42" s="36">
        <f t="shared" si="7"/>
        <v>699</v>
      </c>
      <c r="H42" s="2" t="str">
        <f t="shared" si="0"/>
        <v/>
      </c>
      <c r="J42" s="71">
        <f t="shared" si="8"/>
        <v>14</v>
      </c>
      <c r="K42" s="67">
        <f t="shared" si="9"/>
        <v>1</v>
      </c>
      <c r="L42" s="71">
        <f t="shared" si="1"/>
        <v>366.54363376251786</v>
      </c>
      <c r="M42" s="72">
        <f t="shared" si="17"/>
        <v>14</v>
      </c>
      <c r="N42" s="73">
        <f t="shared" si="20"/>
        <v>14</v>
      </c>
      <c r="O42" s="72">
        <f t="shared" si="10"/>
        <v>1</v>
      </c>
      <c r="P42" s="73">
        <f>COUNTIF(N$29:$N42,N42)</f>
        <v>1</v>
      </c>
      <c r="Q42" s="73">
        <f t="shared" si="2"/>
        <v>2</v>
      </c>
      <c r="R42" s="73">
        <f t="shared" si="3"/>
        <v>19000</v>
      </c>
      <c r="S42" s="74">
        <f t="shared" si="4"/>
        <v>699</v>
      </c>
      <c r="T42" s="73">
        <f t="shared" si="11"/>
        <v>2</v>
      </c>
      <c r="U42" s="75">
        <f t="shared" si="12"/>
        <v>1.1478315789473683</v>
      </c>
      <c r="V42" s="76">
        <f t="shared" si="13"/>
        <v>0.57391578947368416</v>
      </c>
      <c r="W42" s="77">
        <f t="shared" si="14"/>
        <v>14</v>
      </c>
      <c r="X42" s="77">
        <f t="shared" si="5"/>
        <v>5</v>
      </c>
      <c r="Y42" s="78">
        <f t="shared" si="15"/>
        <v>130.90844062947068</v>
      </c>
      <c r="Z42" s="78">
        <f t="shared" si="16"/>
        <v>261.81688125894135</v>
      </c>
      <c r="AA42" s="79" t="str">
        <f>IFERROR(_xlfn.XLOOKUP(_xlfn.CONCAT(N42,P42),'Integra Loading Table'!$C:$C,'Integra Loading Table'!E:E),0)</f>
        <v>B2</v>
      </c>
      <c r="AB42" s="5"/>
      <c r="AC42" s="5"/>
      <c r="AD42" s="5"/>
      <c r="AE42" s="5"/>
    </row>
    <row r="43" spans="1:31">
      <c r="A43" s="16">
        <f t="shared" si="19"/>
        <v>15</v>
      </c>
      <c r="B43" s="15" t="s">
        <v>172</v>
      </c>
      <c r="C43" s="23">
        <v>2.8000000000000001E-2</v>
      </c>
      <c r="D43" s="24">
        <v>12650</v>
      </c>
      <c r="E43" s="15">
        <f>IF(A43&lt;=ReferenceTable!$H$1,ROUNDUP(C43*48,0),ROUNDDOWN(C43*48,0))</f>
        <v>2</v>
      </c>
      <c r="F43" s="35">
        <f t="shared" si="6"/>
        <v>5600</v>
      </c>
      <c r="G43" s="36">
        <f t="shared" si="7"/>
        <v>699</v>
      </c>
      <c r="H43" s="2" t="str">
        <f t="shared" si="0"/>
        <v/>
      </c>
      <c r="J43" s="71">
        <f t="shared" si="8"/>
        <v>14</v>
      </c>
      <c r="K43" s="67">
        <f t="shared" si="9"/>
        <v>1</v>
      </c>
      <c r="L43" s="71">
        <f t="shared" si="1"/>
        <v>239.36194563662374</v>
      </c>
      <c r="M43" s="72">
        <f t="shared" si="17"/>
        <v>15</v>
      </c>
      <c r="N43" s="73">
        <f t="shared" si="20"/>
        <v>15</v>
      </c>
      <c r="O43" s="72">
        <f t="shared" si="10"/>
        <v>1</v>
      </c>
      <c r="P43" s="73">
        <f>COUNTIF(N$29:$N43,N43)</f>
        <v>1</v>
      </c>
      <c r="Q43" s="73">
        <f t="shared" si="2"/>
        <v>2</v>
      </c>
      <c r="R43" s="73">
        <f t="shared" si="3"/>
        <v>12650</v>
      </c>
      <c r="S43" s="74">
        <f t="shared" si="4"/>
        <v>699</v>
      </c>
      <c r="T43" s="73">
        <f t="shared" si="11"/>
        <v>2</v>
      </c>
      <c r="U43" s="75">
        <f t="shared" si="12"/>
        <v>1.7240158102766798</v>
      </c>
      <c r="V43" s="76">
        <f t="shared" si="13"/>
        <v>0.86200790513833991</v>
      </c>
      <c r="W43" s="77">
        <f t="shared" si="14"/>
        <v>14</v>
      </c>
      <c r="X43" s="77">
        <f t="shared" si="5"/>
        <v>5</v>
      </c>
      <c r="Y43" s="78">
        <f t="shared" si="15"/>
        <v>85.486409155937054</v>
      </c>
      <c r="Z43" s="78">
        <f t="shared" si="16"/>
        <v>170.97281831187411</v>
      </c>
      <c r="AA43" s="79" t="str">
        <f>IFERROR(_xlfn.XLOOKUP(_xlfn.CONCAT(N43,P43),'Integra Loading Table'!$C:$C,'Integra Loading Table'!E:E),0)</f>
        <v>B3</v>
      </c>
      <c r="AB43" s="5"/>
      <c r="AC43" s="5"/>
      <c r="AD43" s="5"/>
      <c r="AE43" s="5"/>
    </row>
    <row r="44" spans="1:31">
      <c r="A44" s="16">
        <f t="shared" si="19"/>
        <v>16</v>
      </c>
      <c r="B44" s="15" t="s">
        <v>173</v>
      </c>
      <c r="C44" s="23">
        <v>2.8000000000000001E-2</v>
      </c>
      <c r="D44" s="24">
        <v>20850</v>
      </c>
      <c r="E44" s="15">
        <f>IF(A44&lt;=ReferenceTable!$H$1,ROUNDUP(C44*48,0),ROUNDDOWN(C44*48,0))</f>
        <v>2</v>
      </c>
      <c r="F44" s="35">
        <f t="shared" si="6"/>
        <v>5600</v>
      </c>
      <c r="G44" s="36">
        <f t="shared" si="7"/>
        <v>699</v>
      </c>
      <c r="H44" s="2" t="str">
        <f t="shared" si="0"/>
        <v/>
      </c>
      <c r="J44" s="71">
        <f t="shared" si="8"/>
        <v>14</v>
      </c>
      <c r="K44" s="67">
        <f t="shared" si="9"/>
        <v>1</v>
      </c>
      <c r="L44" s="71">
        <f t="shared" si="1"/>
        <v>403.59656652360513</v>
      </c>
      <c r="M44" s="72">
        <f t="shared" si="17"/>
        <v>16</v>
      </c>
      <c r="N44" s="73">
        <f t="shared" si="20"/>
        <v>16</v>
      </c>
      <c r="O44" s="72">
        <f t="shared" si="10"/>
        <v>1</v>
      </c>
      <c r="P44" s="73">
        <f>COUNTIF(N$29:$N44,N44)</f>
        <v>1</v>
      </c>
      <c r="Q44" s="73">
        <f t="shared" si="2"/>
        <v>2</v>
      </c>
      <c r="R44" s="73">
        <f t="shared" si="3"/>
        <v>20850</v>
      </c>
      <c r="S44" s="74">
        <f t="shared" si="4"/>
        <v>699</v>
      </c>
      <c r="T44" s="73">
        <f t="shared" si="11"/>
        <v>2</v>
      </c>
      <c r="U44" s="75">
        <f t="shared" si="12"/>
        <v>1.0459856115107913</v>
      </c>
      <c r="V44" s="76">
        <f t="shared" si="13"/>
        <v>0.52299280575539564</v>
      </c>
      <c r="W44" s="77">
        <f t="shared" si="14"/>
        <v>14</v>
      </c>
      <c r="X44" s="77">
        <f t="shared" si="5"/>
        <v>5</v>
      </c>
      <c r="Y44" s="78">
        <f t="shared" si="15"/>
        <v>144.14163090128756</v>
      </c>
      <c r="Z44" s="78">
        <f t="shared" si="16"/>
        <v>288.28326180257511</v>
      </c>
      <c r="AA44" s="79" t="str">
        <f>IFERROR(_xlfn.XLOOKUP(_xlfn.CONCAT(N44,P44),'Integra Loading Table'!$C:$C,'Integra Loading Table'!E:E),0)</f>
        <v>B4</v>
      </c>
      <c r="AB44" s="5"/>
      <c r="AC44" s="5"/>
      <c r="AD44" s="5"/>
      <c r="AE44" s="5"/>
    </row>
    <row r="45" spans="1:31">
      <c r="A45" s="16">
        <f t="shared" si="19"/>
        <v>17</v>
      </c>
      <c r="B45" s="15" t="s">
        <v>174</v>
      </c>
      <c r="C45" s="23">
        <v>2.8000000000000001E-2</v>
      </c>
      <c r="D45" s="24">
        <v>9550</v>
      </c>
      <c r="E45" s="15">
        <f>IF(A45&lt;=ReferenceTable!$H$1,ROUNDUP(C45*48,0),ROUNDDOWN(C45*48,0))</f>
        <v>2</v>
      </c>
      <c r="F45" s="35">
        <f t="shared" si="6"/>
        <v>5600</v>
      </c>
      <c r="G45" s="36">
        <f t="shared" si="7"/>
        <v>699</v>
      </c>
      <c r="H45" s="2" t="str">
        <f t="shared" si="0"/>
        <v/>
      </c>
      <c r="J45" s="71">
        <f t="shared" si="8"/>
        <v>14</v>
      </c>
      <c r="K45" s="67">
        <f t="shared" si="9"/>
        <v>1</v>
      </c>
      <c r="L45" s="71">
        <f t="shared" si="1"/>
        <v>177.27324749642347</v>
      </c>
      <c r="M45" s="72">
        <f t="shared" si="17"/>
        <v>17</v>
      </c>
      <c r="N45" s="73">
        <f t="shared" si="20"/>
        <v>17</v>
      </c>
      <c r="O45" s="72">
        <f t="shared" si="10"/>
        <v>1</v>
      </c>
      <c r="P45" s="73">
        <f>COUNTIF(N$29:$N45,N45)</f>
        <v>1</v>
      </c>
      <c r="Q45" s="73">
        <f t="shared" si="2"/>
        <v>2</v>
      </c>
      <c r="R45" s="73">
        <f t="shared" si="3"/>
        <v>9550</v>
      </c>
      <c r="S45" s="74">
        <f t="shared" si="4"/>
        <v>699</v>
      </c>
      <c r="T45" s="73">
        <f t="shared" si="11"/>
        <v>2</v>
      </c>
      <c r="U45" s="75">
        <f t="shared" si="12"/>
        <v>2.2836439790575915</v>
      </c>
      <c r="V45" s="76">
        <f t="shared" si="13"/>
        <v>1.1418219895287958</v>
      </c>
      <c r="W45" s="77">
        <f t="shared" si="14"/>
        <v>14</v>
      </c>
      <c r="X45" s="77">
        <f t="shared" si="5"/>
        <v>5</v>
      </c>
      <c r="Y45" s="78">
        <f t="shared" si="15"/>
        <v>63.311874105865527</v>
      </c>
      <c r="Z45" s="78">
        <f t="shared" si="16"/>
        <v>126.62374821173105</v>
      </c>
      <c r="AA45" s="79" t="str">
        <f>IFERROR(_xlfn.XLOOKUP(_xlfn.CONCAT(N45,P45),'Integra Loading Table'!$C:$C,'Integra Loading Table'!E:E),0)</f>
        <v>B5</v>
      </c>
      <c r="AB45" s="5"/>
      <c r="AC45" s="5"/>
      <c r="AD45" s="5"/>
      <c r="AE45" s="5"/>
    </row>
    <row r="46" spans="1:31">
      <c r="A46" s="16">
        <f t="shared" si="19"/>
        <v>18</v>
      </c>
      <c r="B46" s="15" t="s">
        <v>175</v>
      </c>
      <c r="C46" s="23">
        <v>2.8000000000000001E-2</v>
      </c>
      <c r="D46" s="24">
        <v>9570</v>
      </c>
      <c r="E46" s="15">
        <f>IF(A46&lt;=ReferenceTable!$H$1,ROUNDUP(C46*48,0),ROUNDDOWN(C46*48,0))</f>
        <v>2</v>
      </c>
      <c r="F46" s="35">
        <f t="shared" si="6"/>
        <v>5600</v>
      </c>
      <c r="G46" s="36">
        <f t="shared" si="7"/>
        <v>699</v>
      </c>
      <c r="H46" s="2" t="str">
        <f t="shared" si="0"/>
        <v/>
      </c>
      <c r="J46" s="71">
        <f t="shared" si="8"/>
        <v>14</v>
      </c>
      <c r="K46" s="67">
        <f t="shared" si="9"/>
        <v>1</v>
      </c>
      <c r="L46" s="71">
        <f t="shared" si="1"/>
        <v>177.67381974248926</v>
      </c>
      <c r="M46" s="72">
        <f t="shared" si="17"/>
        <v>18</v>
      </c>
      <c r="N46" s="73">
        <f t="shared" si="20"/>
        <v>18</v>
      </c>
      <c r="O46" s="72">
        <f t="shared" si="10"/>
        <v>1</v>
      </c>
      <c r="P46" s="73">
        <f>COUNTIF(N$29:$N46,N46)</f>
        <v>1</v>
      </c>
      <c r="Q46" s="73">
        <f t="shared" si="2"/>
        <v>2</v>
      </c>
      <c r="R46" s="73">
        <f t="shared" si="3"/>
        <v>9570</v>
      </c>
      <c r="S46" s="74">
        <f t="shared" si="4"/>
        <v>699</v>
      </c>
      <c r="T46" s="73">
        <f t="shared" si="11"/>
        <v>2</v>
      </c>
      <c r="U46" s="75">
        <f t="shared" si="12"/>
        <v>2.2788714733542319</v>
      </c>
      <c r="V46" s="76">
        <f t="shared" si="13"/>
        <v>1.139435736677116</v>
      </c>
      <c r="W46" s="77">
        <f t="shared" si="14"/>
        <v>14</v>
      </c>
      <c r="X46" s="77">
        <f t="shared" si="5"/>
        <v>5</v>
      </c>
      <c r="Y46" s="78">
        <f t="shared" si="15"/>
        <v>63.454935622317592</v>
      </c>
      <c r="Z46" s="78">
        <f t="shared" si="16"/>
        <v>126.90987124463518</v>
      </c>
      <c r="AA46" s="79" t="str">
        <f>IFERROR(_xlfn.XLOOKUP(_xlfn.CONCAT(N46,P46),'Integra Loading Table'!$C:$C,'Integra Loading Table'!E:E),0)</f>
        <v>B6</v>
      </c>
      <c r="AB46" s="5"/>
      <c r="AC46" s="5"/>
      <c r="AD46" s="5"/>
      <c r="AE46" s="5"/>
    </row>
    <row r="47" spans="1:31">
      <c r="A47" s="16">
        <f t="shared" si="19"/>
        <v>19</v>
      </c>
      <c r="B47" s="15" t="s">
        <v>76</v>
      </c>
      <c r="C47" s="23">
        <v>2.8000000000000001E-2</v>
      </c>
      <c r="D47" s="24">
        <v>10450</v>
      </c>
      <c r="E47" s="15">
        <f>IF(A47&lt;=ReferenceTable!$H$1,ROUNDUP(C47*48,0),ROUNDDOWN(C47*48,0))</f>
        <v>2</v>
      </c>
      <c r="F47" s="35">
        <f t="shared" si="6"/>
        <v>5600</v>
      </c>
      <c r="G47" s="36">
        <f t="shared" si="7"/>
        <v>699</v>
      </c>
      <c r="H47" s="2" t="str">
        <f t="shared" si="0"/>
        <v/>
      </c>
      <c r="J47" s="71">
        <f t="shared" si="8"/>
        <v>14</v>
      </c>
      <c r="K47" s="67">
        <f t="shared" si="9"/>
        <v>1</v>
      </c>
      <c r="L47" s="71">
        <f t="shared" si="1"/>
        <v>195.29899856938485</v>
      </c>
      <c r="M47" s="72">
        <f t="shared" si="17"/>
        <v>19</v>
      </c>
      <c r="N47" s="73">
        <f t="shared" si="20"/>
        <v>19</v>
      </c>
      <c r="O47" s="72">
        <f t="shared" si="10"/>
        <v>1</v>
      </c>
      <c r="P47" s="73">
        <f>COUNTIF(N$29:$N47,N47)</f>
        <v>1</v>
      </c>
      <c r="Q47" s="73">
        <f t="shared" si="2"/>
        <v>2</v>
      </c>
      <c r="R47" s="73">
        <f t="shared" si="3"/>
        <v>10450</v>
      </c>
      <c r="S47" s="74">
        <f t="shared" si="4"/>
        <v>699</v>
      </c>
      <c r="T47" s="73">
        <f t="shared" si="11"/>
        <v>2</v>
      </c>
      <c r="U47" s="75">
        <f t="shared" si="12"/>
        <v>2.0869665071770336</v>
      </c>
      <c r="V47" s="76">
        <f t="shared" si="13"/>
        <v>1.0434832535885168</v>
      </c>
      <c r="W47" s="77">
        <f t="shared" si="14"/>
        <v>14</v>
      </c>
      <c r="X47" s="77">
        <f t="shared" si="5"/>
        <v>5</v>
      </c>
      <c r="Y47" s="78">
        <f t="shared" si="15"/>
        <v>69.749642346208873</v>
      </c>
      <c r="Z47" s="78">
        <f t="shared" si="16"/>
        <v>139.49928469241775</v>
      </c>
      <c r="AA47" s="79" t="str">
        <f>IFERROR(_xlfn.XLOOKUP(_xlfn.CONCAT(N47,P47),'Integra Loading Table'!$C:$C,'Integra Loading Table'!E:E),0)</f>
        <v>B7</v>
      </c>
      <c r="AB47" s="5"/>
      <c r="AC47" s="5"/>
      <c r="AD47" s="5"/>
      <c r="AE47" s="5"/>
    </row>
    <row r="48" spans="1:31">
      <c r="A48" s="16">
        <f t="shared" si="19"/>
        <v>20</v>
      </c>
      <c r="B48" s="15" t="s">
        <v>77</v>
      </c>
      <c r="C48" s="23">
        <v>2.8000000000000001E-2</v>
      </c>
      <c r="D48" s="24">
        <v>10700</v>
      </c>
      <c r="E48" s="15">
        <f>IF(A48&lt;=ReferenceTable!$H$1,ROUNDUP(C48*48,0),ROUNDDOWN(C48*48,0))</f>
        <v>2</v>
      </c>
      <c r="F48" s="35">
        <f t="shared" si="6"/>
        <v>5600</v>
      </c>
      <c r="G48" s="36">
        <f t="shared" si="7"/>
        <v>699</v>
      </c>
      <c r="H48" s="2" t="str">
        <f t="shared" si="0"/>
        <v/>
      </c>
      <c r="J48" s="71">
        <f t="shared" si="8"/>
        <v>14</v>
      </c>
      <c r="K48" s="67">
        <f t="shared" si="9"/>
        <v>1</v>
      </c>
      <c r="L48" s="71">
        <f t="shared" si="1"/>
        <v>200.30615164520745</v>
      </c>
      <c r="M48" s="72">
        <f t="shared" si="17"/>
        <v>20</v>
      </c>
      <c r="N48" s="73">
        <f t="shared" si="20"/>
        <v>20</v>
      </c>
      <c r="O48" s="72">
        <f t="shared" si="10"/>
        <v>1</v>
      </c>
      <c r="P48" s="73">
        <f>COUNTIF(N$29:$N48,N48)</f>
        <v>1</v>
      </c>
      <c r="Q48" s="73">
        <f t="shared" si="2"/>
        <v>2</v>
      </c>
      <c r="R48" s="73">
        <f t="shared" si="3"/>
        <v>10700</v>
      </c>
      <c r="S48" s="74">
        <f t="shared" si="4"/>
        <v>699</v>
      </c>
      <c r="T48" s="73">
        <f t="shared" si="11"/>
        <v>2</v>
      </c>
      <c r="U48" s="75">
        <f t="shared" si="12"/>
        <v>2.0382056074766353</v>
      </c>
      <c r="V48" s="76">
        <f t="shared" si="13"/>
        <v>1.0191028037383176</v>
      </c>
      <c r="W48" s="77">
        <f t="shared" si="14"/>
        <v>14</v>
      </c>
      <c r="X48" s="77">
        <f t="shared" si="5"/>
        <v>5</v>
      </c>
      <c r="Y48" s="78">
        <f t="shared" si="15"/>
        <v>71.537911301859793</v>
      </c>
      <c r="Z48" s="78">
        <f t="shared" si="16"/>
        <v>143.07582260371959</v>
      </c>
      <c r="AA48" s="79" t="str">
        <f>IFERROR(_xlfn.XLOOKUP(_xlfn.CONCAT(N48,P48),'Integra Loading Table'!$C:$C,'Integra Loading Table'!E:E),0)</f>
        <v>B8</v>
      </c>
      <c r="AB48" s="5"/>
      <c r="AC48" s="5"/>
      <c r="AD48" s="5"/>
      <c r="AE48" s="5"/>
    </row>
    <row r="49" spans="1:31">
      <c r="A49" s="16">
        <f t="shared" si="19"/>
        <v>21</v>
      </c>
      <c r="B49" s="15" t="s">
        <v>80</v>
      </c>
      <c r="C49" s="23">
        <v>2.8000000000000001E-2</v>
      </c>
      <c r="D49" s="24">
        <v>10000</v>
      </c>
      <c r="E49" s="15">
        <f>IF(A49&lt;=ReferenceTable!$H$1,ROUNDUP(C49*48,0),ROUNDDOWN(C49*48,0))</f>
        <v>2</v>
      </c>
      <c r="F49" s="35">
        <f t="shared" si="6"/>
        <v>5600</v>
      </c>
      <c r="G49" s="36">
        <f t="shared" si="7"/>
        <v>699</v>
      </c>
      <c r="H49" s="2" t="str">
        <f t="shared" si="0"/>
        <v/>
      </c>
      <c r="J49" s="71">
        <f t="shared" si="8"/>
        <v>14</v>
      </c>
      <c r="K49" s="67">
        <f t="shared" si="9"/>
        <v>1</v>
      </c>
      <c r="L49" s="71">
        <f t="shared" si="1"/>
        <v>186.28612303290416</v>
      </c>
      <c r="M49" s="72">
        <f t="shared" si="17"/>
        <v>21</v>
      </c>
      <c r="N49" s="73">
        <f t="shared" si="20"/>
        <v>21</v>
      </c>
      <c r="O49" s="72">
        <f t="shared" si="10"/>
        <v>1</v>
      </c>
      <c r="P49" s="73">
        <f>COUNTIF(N$29:$N49,N49)</f>
        <v>1</v>
      </c>
      <c r="Q49" s="73">
        <f t="shared" si="2"/>
        <v>2</v>
      </c>
      <c r="R49" s="73">
        <f t="shared" si="3"/>
        <v>10000</v>
      </c>
      <c r="S49" s="74">
        <f t="shared" si="4"/>
        <v>699</v>
      </c>
      <c r="T49" s="73">
        <f t="shared" si="11"/>
        <v>2</v>
      </c>
      <c r="U49" s="75">
        <f t="shared" si="12"/>
        <v>2.1808799999999997</v>
      </c>
      <c r="V49" s="76">
        <f t="shared" si="13"/>
        <v>1.0904399999999999</v>
      </c>
      <c r="W49" s="77">
        <f t="shared" si="14"/>
        <v>14</v>
      </c>
      <c r="X49" s="77">
        <f t="shared" si="5"/>
        <v>5</v>
      </c>
      <c r="Y49" s="78">
        <f t="shared" si="15"/>
        <v>66.530758226037193</v>
      </c>
      <c r="Z49" s="78">
        <f t="shared" si="16"/>
        <v>133.06151645207439</v>
      </c>
      <c r="AA49" s="79" t="str">
        <f>IFERROR(_xlfn.XLOOKUP(_xlfn.CONCAT(N49,P49),'Integra Loading Table'!$C:$C,'Integra Loading Table'!E:E),0)</f>
        <v>B9</v>
      </c>
      <c r="AB49" s="5"/>
      <c r="AC49" s="5"/>
      <c r="AD49" s="5"/>
      <c r="AE49" s="5"/>
    </row>
    <row r="50" spans="1:31">
      <c r="A50" s="16">
        <f t="shared" si="19"/>
        <v>22</v>
      </c>
      <c r="B50" s="15" t="s">
        <v>78</v>
      </c>
      <c r="C50" s="23">
        <v>2.8000000000000001E-2</v>
      </c>
      <c r="D50" s="24">
        <v>14000</v>
      </c>
      <c r="E50" s="15">
        <f>IF(A50&lt;=ReferenceTable!$H$1,ROUNDUP(C50*48,0),ROUNDDOWN(C50*48,0))</f>
        <v>2</v>
      </c>
      <c r="F50" s="35">
        <f t="shared" si="6"/>
        <v>5600</v>
      </c>
      <c r="G50" s="36">
        <f t="shared" si="7"/>
        <v>699</v>
      </c>
      <c r="H50" s="2" t="str">
        <f t="shared" si="0"/>
        <v/>
      </c>
      <c r="J50" s="71">
        <f t="shared" si="8"/>
        <v>14</v>
      </c>
      <c r="K50" s="67">
        <f t="shared" si="9"/>
        <v>1</v>
      </c>
      <c r="L50" s="71">
        <f t="shared" si="1"/>
        <v>266.40057224606579</v>
      </c>
      <c r="M50" s="72">
        <f t="shared" si="17"/>
        <v>22</v>
      </c>
      <c r="N50" s="73">
        <f t="shared" si="20"/>
        <v>22</v>
      </c>
      <c r="O50" s="72">
        <f t="shared" si="10"/>
        <v>1</v>
      </c>
      <c r="P50" s="73">
        <f>COUNTIF(N$29:$N50,N50)</f>
        <v>1</v>
      </c>
      <c r="Q50" s="73">
        <f t="shared" si="2"/>
        <v>2</v>
      </c>
      <c r="R50" s="73">
        <f t="shared" si="3"/>
        <v>14000</v>
      </c>
      <c r="S50" s="74">
        <f t="shared" si="4"/>
        <v>699</v>
      </c>
      <c r="T50" s="73">
        <f t="shared" si="11"/>
        <v>2</v>
      </c>
      <c r="U50" s="75">
        <f t="shared" si="12"/>
        <v>1.5577714285714286</v>
      </c>
      <c r="V50" s="76">
        <f t="shared" si="13"/>
        <v>0.77888571428571429</v>
      </c>
      <c r="W50" s="77">
        <f t="shared" si="14"/>
        <v>14</v>
      </c>
      <c r="X50" s="77">
        <f t="shared" si="5"/>
        <v>5</v>
      </c>
      <c r="Y50" s="78">
        <f t="shared" si="15"/>
        <v>95.143061516452079</v>
      </c>
      <c r="Z50" s="78">
        <f t="shared" si="16"/>
        <v>190.28612303290416</v>
      </c>
      <c r="AA50" s="79" t="str">
        <f>IFERROR(_xlfn.XLOOKUP(_xlfn.CONCAT(N50,P50),'Integra Loading Table'!$C:$C,'Integra Loading Table'!E:E),0)</f>
        <v>B10</v>
      </c>
      <c r="AB50" s="5"/>
      <c r="AC50" s="5"/>
      <c r="AD50" s="5"/>
      <c r="AE50" s="5"/>
    </row>
    <row r="51" spans="1:31">
      <c r="A51" s="16">
        <f t="shared" si="19"/>
        <v>23</v>
      </c>
      <c r="B51" s="15" t="s">
        <v>79</v>
      </c>
      <c r="C51" s="23">
        <v>2.8000000000000001E-2</v>
      </c>
      <c r="D51" s="24">
        <v>16000</v>
      </c>
      <c r="E51" s="15">
        <f>IF(A51&lt;=ReferenceTable!$H$1,ROUNDUP(C51*48,0),ROUNDDOWN(C51*48,0))</f>
        <v>2</v>
      </c>
      <c r="F51" s="35">
        <f t="shared" si="6"/>
        <v>5600</v>
      </c>
      <c r="G51" s="36">
        <f t="shared" si="7"/>
        <v>699</v>
      </c>
      <c r="H51" s="2" t="str">
        <f t="shared" si="0"/>
        <v/>
      </c>
      <c r="J51" s="71">
        <f t="shared" si="8"/>
        <v>14</v>
      </c>
      <c r="K51" s="67">
        <f t="shared" si="9"/>
        <v>1</v>
      </c>
      <c r="L51" s="71">
        <f t="shared" si="1"/>
        <v>306.45779685264665</v>
      </c>
      <c r="M51" s="72">
        <f t="shared" si="17"/>
        <v>23</v>
      </c>
      <c r="N51" s="73">
        <f t="shared" si="20"/>
        <v>23</v>
      </c>
      <c r="O51" s="72">
        <f t="shared" si="10"/>
        <v>1</v>
      </c>
      <c r="P51" s="73">
        <f>COUNTIF(N$29:$N51,N51)</f>
        <v>1</v>
      </c>
      <c r="Q51" s="73">
        <f t="shared" si="2"/>
        <v>2</v>
      </c>
      <c r="R51" s="73">
        <f t="shared" si="3"/>
        <v>16000</v>
      </c>
      <c r="S51" s="74">
        <f t="shared" si="4"/>
        <v>699</v>
      </c>
      <c r="T51" s="73">
        <f t="shared" si="11"/>
        <v>2</v>
      </c>
      <c r="U51" s="75">
        <f t="shared" si="12"/>
        <v>1.3630499999999999</v>
      </c>
      <c r="V51" s="76">
        <f t="shared" si="13"/>
        <v>0.68152499999999994</v>
      </c>
      <c r="W51" s="77">
        <f t="shared" si="14"/>
        <v>14</v>
      </c>
      <c r="X51" s="77">
        <f t="shared" si="5"/>
        <v>5</v>
      </c>
      <c r="Y51" s="78">
        <f t="shared" si="15"/>
        <v>109.44921316165951</v>
      </c>
      <c r="Z51" s="78">
        <f t="shared" si="16"/>
        <v>218.89842632331903</v>
      </c>
      <c r="AA51" s="79" t="str">
        <f>IFERROR(_xlfn.XLOOKUP(_xlfn.CONCAT(N51,P51),'Integra Loading Table'!$C:$C,'Integra Loading Table'!E:E),0)</f>
        <v>B11</v>
      </c>
      <c r="AB51" s="5"/>
      <c r="AC51" s="5"/>
      <c r="AD51" s="5"/>
      <c r="AE51" s="5"/>
    </row>
    <row r="52" spans="1:31">
      <c r="A52" s="16">
        <f t="shared" si="19"/>
        <v>24</v>
      </c>
      <c r="B52" s="15" t="s">
        <v>81</v>
      </c>
      <c r="C52" s="23">
        <v>2.8000000000000001E-2</v>
      </c>
      <c r="D52" s="24">
        <v>9750</v>
      </c>
      <c r="E52" s="15">
        <f>IF(A52&lt;=ReferenceTable!$H$1,ROUNDUP(C52*48,0),ROUNDDOWN(C52*48,0))</f>
        <v>2</v>
      </c>
      <c r="F52" s="35">
        <f t="shared" si="6"/>
        <v>5600</v>
      </c>
      <c r="G52" s="36">
        <f t="shared" si="7"/>
        <v>699</v>
      </c>
      <c r="H52" s="2" t="str">
        <f t="shared" si="0"/>
        <v/>
      </c>
      <c r="J52" s="71">
        <f t="shared" si="8"/>
        <v>14</v>
      </c>
      <c r="K52" s="67">
        <f t="shared" si="9"/>
        <v>1</v>
      </c>
      <c r="L52" s="71">
        <f t="shared" si="1"/>
        <v>181.27896995708156</v>
      </c>
      <c r="M52" s="72">
        <f t="shared" si="17"/>
        <v>24</v>
      </c>
      <c r="N52" s="73">
        <f t="shared" si="20"/>
        <v>24</v>
      </c>
      <c r="O52" s="72">
        <f t="shared" si="10"/>
        <v>1</v>
      </c>
      <c r="P52" s="73">
        <f>COUNTIF(N$29:$N52,N52)</f>
        <v>1</v>
      </c>
      <c r="Q52" s="73">
        <f t="shared" si="2"/>
        <v>2</v>
      </c>
      <c r="R52" s="73">
        <f t="shared" si="3"/>
        <v>9750</v>
      </c>
      <c r="S52" s="74">
        <f t="shared" si="4"/>
        <v>699</v>
      </c>
      <c r="T52" s="73">
        <f t="shared" si="11"/>
        <v>2</v>
      </c>
      <c r="U52" s="75">
        <f t="shared" si="12"/>
        <v>2.2368000000000001</v>
      </c>
      <c r="V52" s="76">
        <f t="shared" si="13"/>
        <v>1.1184000000000001</v>
      </c>
      <c r="W52" s="77">
        <f t="shared" si="14"/>
        <v>14</v>
      </c>
      <c r="X52" s="77">
        <f t="shared" si="5"/>
        <v>5</v>
      </c>
      <c r="Y52" s="78">
        <f t="shared" si="15"/>
        <v>64.742489270386272</v>
      </c>
      <c r="Z52" s="78">
        <f t="shared" si="16"/>
        <v>129.48497854077254</v>
      </c>
      <c r="AA52" s="79" t="str">
        <f>IFERROR(_xlfn.XLOOKUP(_xlfn.CONCAT(N52,P52),'Integra Loading Table'!$C:$C,'Integra Loading Table'!E:E),0)</f>
        <v>B12</v>
      </c>
      <c r="AB52" s="5"/>
      <c r="AC52" s="5"/>
      <c r="AD52" s="5"/>
      <c r="AE52" s="5"/>
    </row>
    <row r="53" spans="1:31">
      <c r="A53" s="16">
        <f t="shared" si="19"/>
        <v>25</v>
      </c>
      <c r="B53" s="15" t="s">
        <v>83</v>
      </c>
      <c r="C53" s="23">
        <v>2.8000000000000001E-2</v>
      </c>
      <c r="D53" s="24">
        <v>5300</v>
      </c>
      <c r="E53" s="15">
        <f>IF(A53&lt;=ReferenceTable!$H$1,ROUNDUP(C53*48,0),ROUNDDOWN(C53*48,0))</f>
        <v>1</v>
      </c>
      <c r="F53" s="35">
        <f t="shared" si="6"/>
        <v>5600</v>
      </c>
      <c r="G53" s="36">
        <f t="shared" si="7"/>
        <v>1398</v>
      </c>
      <c r="H53" s="2" t="str">
        <f t="shared" si="0"/>
        <v/>
      </c>
      <c r="J53" s="71">
        <f t="shared" si="8"/>
        <v>7</v>
      </c>
      <c r="K53" s="67">
        <f t="shared" si="9"/>
        <v>1</v>
      </c>
      <c r="L53" s="71">
        <f t="shared" si="1"/>
        <v>19.537911301859801</v>
      </c>
      <c r="M53" s="72">
        <f t="shared" si="17"/>
        <v>25</v>
      </c>
      <c r="N53" s="73">
        <f t="shared" si="20"/>
        <v>25</v>
      </c>
      <c r="O53" s="72">
        <f t="shared" si="10"/>
        <v>1</v>
      </c>
      <c r="P53" s="73">
        <f>COUNTIF(N$29:$N53,N53)</f>
        <v>1</v>
      </c>
      <c r="Q53" s="73">
        <f t="shared" si="2"/>
        <v>1</v>
      </c>
      <c r="R53" s="73">
        <f t="shared" si="3"/>
        <v>5300</v>
      </c>
      <c r="S53" s="74">
        <f t="shared" si="4"/>
        <v>1398</v>
      </c>
      <c r="T53" s="73">
        <f t="shared" si="11"/>
        <v>1</v>
      </c>
      <c r="U53" s="75">
        <f t="shared" si="12"/>
        <v>4.1148679245283022</v>
      </c>
      <c r="V53" s="76">
        <f t="shared" si="13"/>
        <v>4.1148679245283022</v>
      </c>
      <c r="W53" s="77">
        <f t="shared" si="14"/>
        <v>7</v>
      </c>
      <c r="X53" s="77">
        <f t="shared" si="5"/>
        <v>5</v>
      </c>
      <c r="Y53" s="78">
        <f t="shared" si="15"/>
        <v>13.955650929899857</v>
      </c>
      <c r="Z53" s="78">
        <f t="shared" si="16"/>
        <v>13.955650929899857</v>
      </c>
      <c r="AA53" s="79" t="str">
        <f>IFERROR(_xlfn.XLOOKUP(_xlfn.CONCAT(N53,P53),'Integra Loading Table'!$C:$C,'Integra Loading Table'!E:E),0)</f>
        <v>C1</v>
      </c>
      <c r="AB53" s="5"/>
      <c r="AC53" s="5"/>
      <c r="AD53" s="5"/>
      <c r="AE53" s="5"/>
    </row>
    <row r="54" spans="1:31">
      <c r="A54" s="16">
        <f t="shared" si="19"/>
        <v>26</v>
      </c>
      <c r="B54" s="15" t="s">
        <v>176</v>
      </c>
      <c r="C54" s="23">
        <v>2.8000000000000001E-2</v>
      </c>
      <c r="D54" s="24">
        <v>4050</v>
      </c>
      <c r="E54" s="15">
        <f>IF(A54&lt;=ReferenceTable!$H$1,ROUNDUP(C54*48,0),ROUNDDOWN(C54*48,0))</f>
        <v>1</v>
      </c>
      <c r="F54" s="35">
        <f t="shared" si="6"/>
        <v>5600</v>
      </c>
      <c r="G54" s="36">
        <f t="shared" si="7"/>
        <v>1398</v>
      </c>
      <c r="H54" s="2" t="str">
        <f t="shared" si="0"/>
        <v/>
      </c>
      <c r="J54" s="71">
        <f t="shared" si="8"/>
        <v>7.538844444444444</v>
      </c>
      <c r="K54" s="67">
        <f t="shared" si="9"/>
        <v>1</v>
      </c>
      <c r="L54" s="71">
        <f t="shared" si="1"/>
        <v>14.301155555555557</v>
      </c>
      <c r="M54" s="72">
        <f t="shared" si="17"/>
        <v>26</v>
      </c>
      <c r="N54" s="73">
        <f t="shared" si="20"/>
        <v>26</v>
      </c>
      <c r="O54" s="72">
        <f t="shared" si="10"/>
        <v>1</v>
      </c>
      <c r="P54" s="73">
        <f>COUNTIF(N$29:$N54,N54)</f>
        <v>1</v>
      </c>
      <c r="Q54" s="73">
        <f t="shared" si="2"/>
        <v>1</v>
      </c>
      <c r="R54" s="73">
        <f t="shared" si="3"/>
        <v>4050</v>
      </c>
      <c r="S54" s="74">
        <f t="shared" si="4"/>
        <v>1398</v>
      </c>
      <c r="T54" s="73">
        <f t="shared" si="11"/>
        <v>1</v>
      </c>
      <c r="U54" s="75">
        <f t="shared" si="12"/>
        <v>5.3848888888888888</v>
      </c>
      <c r="V54" s="76">
        <f t="shared" si="13"/>
        <v>5.3848888888888888</v>
      </c>
      <c r="W54" s="77">
        <f t="shared" si="14"/>
        <v>7.538844444444444</v>
      </c>
      <c r="X54" s="77">
        <f t="shared" si="5"/>
        <v>5.3848888888888888</v>
      </c>
      <c r="Y54" s="78">
        <f t="shared" si="15"/>
        <v>10.21511111111111</v>
      </c>
      <c r="Z54" s="78">
        <f t="shared" si="16"/>
        <v>10.21511111111111</v>
      </c>
      <c r="AA54" s="79" t="str">
        <f>IFERROR(_xlfn.XLOOKUP(_xlfn.CONCAT(N54,P54),'Integra Loading Table'!$C:$C,'Integra Loading Table'!E:E),0)</f>
        <v>C2</v>
      </c>
      <c r="AB54" s="5"/>
      <c r="AC54" s="5"/>
      <c r="AD54" s="5"/>
      <c r="AE54" s="5"/>
    </row>
    <row r="55" spans="1:31">
      <c r="A55" s="16">
        <f t="shared" si="19"/>
        <v>27</v>
      </c>
      <c r="B55" s="15" t="s">
        <v>177</v>
      </c>
      <c r="C55" s="23">
        <v>2.8000000000000001E-2</v>
      </c>
      <c r="D55" s="24">
        <v>1650</v>
      </c>
      <c r="E55" s="15">
        <f>IF(A55&lt;=ReferenceTable!$H$1,ROUNDUP(C55*48,0),ROUNDDOWN(C55*48,0))</f>
        <v>1</v>
      </c>
      <c r="F55" s="35">
        <f t="shared" si="6"/>
        <v>5600</v>
      </c>
      <c r="G55" s="36">
        <f t="shared" si="7"/>
        <v>1398</v>
      </c>
      <c r="H55" s="2" t="str">
        <f t="shared" si="0"/>
        <v/>
      </c>
      <c r="J55" s="71">
        <f t="shared" si="8"/>
        <v>18.504436363636362</v>
      </c>
      <c r="K55" s="67">
        <f t="shared" si="9"/>
        <v>1</v>
      </c>
      <c r="L55" s="71">
        <f t="shared" si="1"/>
        <v>3.3355636363636343</v>
      </c>
      <c r="M55" s="72">
        <f t="shared" si="17"/>
        <v>27</v>
      </c>
      <c r="N55" s="73">
        <f t="shared" si="20"/>
        <v>27</v>
      </c>
      <c r="O55" s="72">
        <f t="shared" si="10"/>
        <v>1</v>
      </c>
      <c r="P55" s="73">
        <f>COUNTIF(N$29:$N55,N55)</f>
        <v>1</v>
      </c>
      <c r="Q55" s="73">
        <f t="shared" si="2"/>
        <v>1</v>
      </c>
      <c r="R55" s="73">
        <f t="shared" si="3"/>
        <v>1650</v>
      </c>
      <c r="S55" s="74">
        <f t="shared" si="4"/>
        <v>1398</v>
      </c>
      <c r="T55" s="73">
        <f t="shared" si="11"/>
        <v>1</v>
      </c>
      <c r="U55" s="75">
        <f t="shared" si="12"/>
        <v>13.217454545454546</v>
      </c>
      <c r="V55" s="76">
        <f t="shared" si="13"/>
        <v>13.217454545454546</v>
      </c>
      <c r="W55" s="77">
        <f t="shared" si="14"/>
        <v>18.504436363636362</v>
      </c>
      <c r="X55" s="77">
        <f t="shared" si="5"/>
        <v>13.217454545454546</v>
      </c>
      <c r="Y55" s="78">
        <f t="shared" si="15"/>
        <v>2.3825454545454541</v>
      </c>
      <c r="Z55" s="78">
        <f t="shared" si="16"/>
        <v>2.3825454545454541</v>
      </c>
      <c r="AA55" s="79" t="str">
        <f>IFERROR(_xlfn.XLOOKUP(_xlfn.CONCAT(N55,P55),'Integra Loading Table'!$C:$C,'Integra Loading Table'!E:E),0)</f>
        <v>C3</v>
      </c>
      <c r="AB55" s="5"/>
      <c r="AC55" s="5"/>
      <c r="AD55" s="5"/>
      <c r="AE55" s="5"/>
    </row>
    <row r="56" spans="1:31">
      <c r="A56" s="16">
        <f t="shared" si="19"/>
        <v>28</v>
      </c>
      <c r="B56" s="15" t="s">
        <v>178</v>
      </c>
      <c r="C56" s="23">
        <v>2.8000000000000001E-2</v>
      </c>
      <c r="D56" s="24">
        <v>3950</v>
      </c>
      <c r="E56" s="15">
        <f>IF(A56&lt;=ReferenceTable!$H$1,ROUNDUP(C56*48,0),ROUNDDOWN(C56*48,0))</f>
        <v>1</v>
      </c>
      <c r="F56" s="35">
        <f t="shared" si="6"/>
        <v>5600</v>
      </c>
      <c r="G56" s="36">
        <f t="shared" si="7"/>
        <v>1398</v>
      </c>
      <c r="H56" s="2" t="str">
        <f t="shared" si="0"/>
        <v/>
      </c>
      <c r="J56" s="71">
        <f t="shared" si="8"/>
        <v>7.7297012658227837</v>
      </c>
      <c r="K56" s="67">
        <f t="shared" si="9"/>
        <v>1</v>
      </c>
      <c r="L56" s="71">
        <f t="shared" si="1"/>
        <v>14.110298734177213</v>
      </c>
      <c r="M56" s="72">
        <f t="shared" si="17"/>
        <v>28</v>
      </c>
      <c r="N56" s="73">
        <f t="shared" si="20"/>
        <v>28</v>
      </c>
      <c r="O56" s="72">
        <f t="shared" si="10"/>
        <v>1</v>
      </c>
      <c r="P56" s="73">
        <f>COUNTIF(N$29:$N56,N56)</f>
        <v>1</v>
      </c>
      <c r="Q56" s="73">
        <f t="shared" si="2"/>
        <v>1</v>
      </c>
      <c r="R56" s="73">
        <f t="shared" si="3"/>
        <v>3950</v>
      </c>
      <c r="S56" s="74">
        <f t="shared" si="4"/>
        <v>1398</v>
      </c>
      <c r="T56" s="73">
        <f t="shared" si="11"/>
        <v>1</v>
      </c>
      <c r="U56" s="75">
        <f t="shared" si="12"/>
        <v>5.5212151898734172</v>
      </c>
      <c r="V56" s="76">
        <f t="shared" si="13"/>
        <v>5.5212151898734172</v>
      </c>
      <c r="W56" s="77">
        <f t="shared" si="14"/>
        <v>7.7297012658227837</v>
      </c>
      <c r="X56" s="77">
        <f t="shared" si="5"/>
        <v>5.5212151898734172</v>
      </c>
      <c r="Y56" s="78">
        <f t="shared" si="15"/>
        <v>10.078784810126582</v>
      </c>
      <c r="Z56" s="78">
        <f t="shared" si="16"/>
        <v>10.078784810126582</v>
      </c>
      <c r="AA56" s="79" t="str">
        <f>IFERROR(_xlfn.XLOOKUP(_xlfn.CONCAT(N56,P56),'Integra Loading Table'!$C:$C,'Integra Loading Table'!E:E),0)</f>
        <v>C4</v>
      </c>
      <c r="AB56" s="5"/>
      <c r="AC56" s="5"/>
      <c r="AD56" s="5"/>
      <c r="AE56" s="5"/>
    </row>
    <row r="57" spans="1:31">
      <c r="A57" s="16">
        <f t="shared" si="19"/>
        <v>29</v>
      </c>
      <c r="B57" s="15" t="s">
        <v>179</v>
      </c>
      <c r="C57" s="23">
        <v>2.8000000000000001E-2</v>
      </c>
      <c r="D57" s="24">
        <v>7950</v>
      </c>
      <c r="E57" s="15">
        <f>IF(A57&lt;=ReferenceTable!$H$1,ROUNDUP(C57*48,0),ROUNDDOWN(C57*48,0))</f>
        <v>1</v>
      </c>
      <c r="F57" s="35">
        <f t="shared" si="6"/>
        <v>5600</v>
      </c>
      <c r="G57" s="36">
        <f t="shared" si="7"/>
        <v>1398</v>
      </c>
      <c r="H57" s="2" t="str">
        <f t="shared" si="0"/>
        <v/>
      </c>
      <c r="J57" s="71">
        <f t="shared" si="8"/>
        <v>7</v>
      </c>
      <c r="K57" s="67">
        <f t="shared" si="9"/>
        <v>1</v>
      </c>
      <c r="L57" s="71">
        <f t="shared" si="1"/>
        <v>32.806866952789697</v>
      </c>
      <c r="M57" s="72">
        <f t="shared" si="17"/>
        <v>29</v>
      </c>
      <c r="N57" s="73">
        <f t="shared" si="20"/>
        <v>29</v>
      </c>
      <c r="O57" s="72">
        <f t="shared" si="10"/>
        <v>1</v>
      </c>
      <c r="P57" s="73">
        <f>COUNTIF(N$29:$N57,N57)</f>
        <v>1</v>
      </c>
      <c r="Q57" s="73">
        <f t="shared" si="2"/>
        <v>1</v>
      </c>
      <c r="R57" s="73">
        <f t="shared" si="3"/>
        <v>7950</v>
      </c>
      <c r="S57" s="74">
        <f t="shared" si="4"/>
        <v>1398</v>
      </c>
      <c r="T57" s="73">
        <f t="shared" si="11"/>
        <v>1</v>
      </c>
      <c r="U57" s="75">
        <f t="shared" si="12"/>
        <v>2.7432452830188678</v>
      </c>
      <c r="V57" s="76">
        <f t="shared" si="13"/>
        <v>2.7432452830188678</v>
      </c>
      <c r="W57" s="77">
        <f t="shared" si="14"/>
        <v>7</v>
      </c>
      <c r="X57" s="77">
        <f t="shared" si="5"/>
        <v>5</v>
      </c>
      <c r="Y57" s="78">
        <f t="shared" si="15"/>
        <v>23.433476394849784</v>
      </c>
      <c r="Z57" s="78">
        <f t="shared" si="16"/>
        <v>23.433476394849784</v>
      </c>
      <c r="AA57" s="79" t="str">
        <f>IFERROR(_xlfn.XLOOKUP(_xlfn.CONCAT(N57,P57),'Integra Loading Table'!$C:$C,'Integra Loading Table'!E:E),0)</f>
        <v>C5</v>
      </c>
      <c r="AB57" s="5"/>
      <c r="AC57" s="5"/>
      <c r="AD57" s="5"/>
      <c r="AE57" s="5"/>
    </row>
    <row r="58" spans="1:31">
      <c r="A58" s="16">
        <f t="shared" si="19"/>
        <v>30</v>
      </c>
      <c r="B58" s="15" t="s">
        <v>180</v>
      </c>
      <c r="C58" s="23">
        <v>2.8000000000000001E-2</v>
      </c>
      <c r="D58" s="24">
        <v>3450</v>
      </c>
      <c r="E58" s="15">
        <f>IF(A58&lt;=ReferenceTable!$H$1,ROUNDUP(C58*48,0),ROUNDDOWN(C58*48,0))</f>
        <v>1</v>
      </c>
      <c r="F58" s="35">
        <f t="shared" si="6"/>
        <v>5600</v>
      </c>
      <c r="G58" s="36">
        <f t="shared" si="7"/>
        <v>1398</v>
      </c>
      <c r="H58" s="2" t="str">
        <f t="shared" si="0"/>
        <v/>
      </c>
      <c r="J58" s="71">
        <f t="shared" si="8"/>
        <v>8.8499478260869555</v>
      </c>
      <c r="K58" s="67">
        <f t="shared" si="9"/>
        <v>1</v>
      </c>
      <c r="L58" s="71">
        <f t="shared" si="1"/>
        <v>12.990052173913041</v>
      </c>
      <c r="M58" s="72">
        <f t="shared" si="17"/>
        <v>30</v>
      </c>
      <c r="N58" s="73">
        <f t="shared" si="20"/>
        <v>30</v>
      </c>
      <c r="O58" s="72">
        <f t="shared" si="10"/>
        <v>1</v>
      </c>
      <c r="P58" s="73">
        <f>COUNTIF(N$29:$N58,N58)</f>
        <v>1</v>
      </c>
      <c r="Q58" s="73">
        <f t="shared" si="2"/>
        <v>1</v>
      </c>
      <c r="R58" s="73">
        <f t="shared" si="3"/>
        <v>3450</v>
      </c>
      <c r="S58" s="74">
        <f t="shared" si="4"/>
        <v>1398</v>
      </c>
      <c r="T58" s="73">
        <f t="shared" si="11"/>
        <v>1</v>
      </c>
      <c r="U58" s="75">
        <f t="shared" si="12"/>
        <v>6.3213913043478263</v>
      </c>
      <c r="V58" s="76">
        <f t="shared" si="13"/>
        <v>6.3213913043478263</v>
      </c>
      <c r="W58" s="77">
        <f t="shared" si="14"/>
        <v>8.8499478260869555</v>
      </c>
      <c r="X58" s="77">
        <f t="shared" si="5"/>
        <v>6.3213913043478263</v>
      </c>
      <c r="Y58" s="78">
        <f t="shared" si="15"/>
        <v>9.2786086956521743</v>
      </c>
      <c r="Z58" s="78">
        <f t="shared" si="16"/>
        <v>9.2786086956521743</v>
      </c>
      <c r="AA58" s="79" t="str">
        <f>IFERROR(_xlfn.XLOOKUP(_xlfn.CONCAT(N58,P58),'Integra Loading Table'!$C:$C,'Integra Loading Table'!E:E),0)</f>
        <v>C6</v>
      </c>
      <c r="AB58" s="5"/>
      <c r="AC58" s="5"/>
      <c r="AD58" s="5"/>
      <c r="AE58" s="5"/>
    </row>
    <row r="59" spans="1:31">
      <c r="A59" s="16">
        <f t="shared" si="19"/>
        <v>31</v>
      </c>
      <c r="B59" s="15" t="s">
        <v>155</v>
      </c>
      <c r="C59" s="23">
        <v>2.8000000000000001E-2</v>
      </c>
      <c r="D59" s="24">
        <v>2650</v>
      </c>
      <c r="E59" s="15">
        <f>IF(A59&lt;=ReferenceTable!$H$1,ROUNDUP(C59*48,0),ROUNDDOWN(C59*48,0))</f>
        <v>1</v>
      </c>
      <c r="F59" s="35">
        <f t="shared" si="6"/>
        <v>5600</v>
      </c>
      <c r="G59" s="36">
        <f t="shared" si="7"/>
        <v>1398</v>
      </c>
      <c r="H59" s="2" t="str">
        <f t="shared" si="0"/>
        <v/>
      </c>
      <c r="J59" s="71">
        <f t="shared" si="8"/>
        <v>11.521630188679245</v>
      </c>
      <c r="K59" s="67">
        <f t="shared" si="9"/>
        <v>1</v>
      </c>
      <c r="L59" s="71">
        <f t="shared" si="1"/>
        <v>10.318369811320755</v>
      </c>
      <c r="M59" s="72">
        <f t="shared" si="17"/>
        <v>31</v>
      </c>
      <c r="N59" s="73">
        <f t="shared" si="20"/>
        <v>31</v>
      </c>
      <c r="O59" s="72">
        <f t="shared" si="10"/>
        <v>1</v>
      </c>
      <c r="P59" s="73">
        <f>COUNTIF(N$29:$N59,N59)</f>
        <v>1</v>
      </c>
      <c r="Q59" s="73">
        <f t="shared" si="2"/>
        <v>1</v>
      </c>
      <c r="R59" s="73">
        <f t="shared" si="3"/>
        <v>2650</v>
      </c>
      <c r="S59" s="74">
        <f t="shared" si="4"/>
        <v>1398</v>
      </c>
      <c r="T59" s="73">
        <f t="shared" si="11"/>
        <v>1</v>
      </c>
      <c r="U59" s="75">
        <f t="shared" si="12"/>
        <v>8.2297358490566044</v>
      </c>
      <c r="V59" s="76">
        <f t="shared" si="13"/>
        <v>8.2297358490566044</v>
      </c>
      <c r="W59" s="77">
        <f t="shared" si="14"/>
        <v>11.521630188679245</v>
      </c>
      <c r="X59" s="77">
        <f t="shared" si="5"/>
        <v>8.2297358490566044</v>
      </c>
      <c r="Y59" s="78">
        <f t="shared" si="15"/>
        <v>7.370264150943397</v>
      </c>
      <c r="Z59" s="78">
        <f t="shared" si="16"/>
        <v>7.370264150943397</v>
      </c>
      <c r="AA59" s="79" t="str">
        <f>IFERROR(_xlfn.XLOOKUP(_xlfn.CONCAT(N59,P59),'Integra Loading Table'!$C:$C,'Integra Loading Table'!E:E),0)</f>
        <v>C7</v>
      </c>
      <c r="AB59" s="5"/>
      <c r="AC59" s="5"/>
      <c r="AD59" s="5"/>
      <c r="AE59" s="5"/>
    </row>
    <row r="60" spans="1:31">
      <c r="A60" s="16">
        <f t="shared" si="19"/>
        <v>32</v>
      </c>
      <c r="B60" s="15" t="s">
        <v>181</v>
      </c>
      <c r="C60" s="23">
        <v>2.8000000000000001E-2</v>
      </c>
      <c r="D60" s="24">
        <v>2435</v>
      </c>
      <c r="E60" s="15">
        <f>IF(A60&lt;=ReferenceTable!$H$1,ROUNDUP(C60*48,0),ROUNDDOWN(C60*48,0))</f>
        <v>1</v>
      </c>
      <c r="F60" s="35">
        <f t="shared" si="6"/>
        <v>5600</v>
      </c>
      <c r="G60" s="36">
        <f t="shared" si="7"/>
        <v>1398</v>
      </c>
      <c r="H60" s="2" t="str">
        <f t="shared" si="0"/>
        <v/>
      </c>
      <c r="J60" s="71">
        <f t="shared" si="8"/>
        <v>12.538940451745379</v>
      </c>
      <c r="K60" s="67">
        <f t="shared" si="9"/>
        <v>1</v>
      </c>
      <c r="L60" s="71">
        <f t="shared" si="1"/>
        <v>9.3010595482546208</v>
      </c>
      <c r="M60" s="72">
        <f t="shared" si="17"/>
        <v>32</v>
      </c>
      <c r="N60" s="73">
        <f t="shared" si="20"/>
        <v>32</v>
      </c>
      <c r="O60" s="72">
        <f t="shared" si="10"/>
        <v>1</v>
      </c>
      <c r="P60" s="73">
        <f>COUNTIF(N$29:$N60,N60)</f>
        <v>1</v>
      </c>
      <c r="Q60" s="73">
        <f t="shared" si="2"/>
        <v>1</v>
      </c>
      <c r="R60" s="73">
        <f t="shared" si="3"/>
        <v>2435</v>
      </c>
      <c r="S60" s="74">
        <f t="shared" si="4"/>
        <v>1398</v>
      </c>
      <c r="T60" s="73">
        <f t="shared" si="11"/>
        <v>1</v>
      </c>
      <c r="U60" s="75">
        <f t="shared" si="12"/>
        <v>8.9563860369609856</v>
      </c>
      <c r="V60" s="76">
        <f t="shared" si="13"/>
        <v>8.9563860369609856</v>
      </c>
      <c r="W60" s="77">
        <f t="shared" si="14"/>
        <v>12.538940451745379</v>
      </c>
      <c r="X60" s="77">
        <f t="shared" si="5"/>
        <v>8.9563860369609856</v>
      </c>
      <c r="Y60" s="78">
        <f t="shared" si="15"/>
        <v>6.6436139630390141</v>
      </c>
      <c r="Z60" s="78">
        <f t="shared" si="16"/>
        <v>6.6436139630390141</v>
      </c>
      <c r="AA60" s="79" t="str">
        <f>IFERROR(_xlfn.XLOOKUP(_xlfn.CONCAT(N60,P60),'Integra Loading Table'!$C:$C,'Integra Loading Table'!E:E),0)</f>
        <v>C8</v>
      </c>
      <c r="AB60" s="5"/>
      <c r="AC60" s="5"/>
      <c r="AD60" s="5"/>
      <c r="AE60" s="5"/>
    </row>
    <row r="61" spans="1:31">
      <c r="A61" s="16">
        <f t="shared" si="19"/>
        <v>33</v>
      </c>
      <c r="B61" s="15" t="s">
        <v>182</v>
      </c>
      <c r="C61" s="23">
        <v>2.8000000000000001E-2</v>
      </c>
      <c r="D61" s="24">
        <v>7650</v>
      </c>
      <c r="E61" s="15">
        <f>IF(A61&lt;=ReferenceTable!$H$1,ROUNDUP(C61*48,0),ROUNDDOWN(C61*48,0))</f>
        <v>1</v>
      </c>
      <c r="F61" s="35">
        <f t="shared" si="6"/>
        <v>5600</v>
      </c>
      <c r="G61" s="36">
        <f t="shared" si="7"/>
        <v>1398</v>
      </c>
      <c r="H61" s="2" t="str">
        <f t="shared" ref="H61:H76" si="21">IF(L61&lt;0,"CRITICAL: This cell stock concentration is too low.","")</f>
        <v/>
      </c>
      <c r="J61" s="71">
        <f t="shared" si="8"/>
        <v>7</v>
      </c>
      <c r="K61" s="67">
        <f t="shared" si="9"/>
        <v>1</v>
      </c>
      <c r="L61" s="71">
        <f t="shared" si="1"/>
        <v>31.30472103004292</v>
      </c>
      <c r="M61" s="72">
        <f t="shared" si="17"/>
        <v>33</v>
      </c>
      <c r="N61" s="73">
        <f t="shared" si="20"/>
        <v>33</v>
      </c>
      <c r="O61" s="72">
        <f t="shared" si="10"/>
        <v>1</v>
      </c>
      <c r="P61" s="73">
        <f>COUNTIF(N$29:$N61,N61)</f>
        <v>1</v>
      </c>
      <c r="Q61" s="73">
        <f t="shared" si="2"/>
        <v>1</v>
      </c>
      <c r="R61" s="73">
        <f t="shared" si="3"/>
        <v>7650</v>
      </c>
      <c r="S61" s="74">
        <f t="shared" si="4"/>
        <v>1398</v>
      </c>
      <c r="T61" s="73">
        <f t="shared" si="11"/>
        <v>1</v>
      </c>
      <c r="U61" s="75">
        <f t="shared" si="12"/>
        <v>2.8508235294117648</v>
      </c>
      <c r="V61" s="76">
        <f t="shared" si="13"/>
        <v>2.8508235294117648</v>
      </c>
      <c r="W61" s="77">
        <f t="shared" si="14"/>
        <v>7</v>
      </c>
      <c r="X61" s="77">
        <f t="shared" si="5"/>
        <v>5</v>
      </c>
      <c r="Y61" s="78">
        <f t="shared" si="15"/>
        <v>22.360515021459229</v>
      </c>
      <c r="Z61" s="78">
        <f t="shared" si="16"/>
        <v>22.360515021459229</v>
      </c>
      <c r="AA61" s="79" t="str">
        <f>IFERROR(_xlfn.XLOOKUP(_xlfn.CONCAT(N61,P61),'Integra Loading Table'!$C:$C,'Integra Loading Table'!E:E),0)</f>
        <v>C9</v>
      </c>
      <c r="AB61" s="5"/>
      <c r="AC61" s="5"/>
      <c r="AD61" s="5"/>
      <c r="AE61" s="5"/>
    </row>
    <row r="62" spans="1:31">
      <c r="A62" s="16">
        <f t="shared" si="19"/>
        <v>34</v>
      </c>
      <c r="B62" s="15" t="s">
        <v>183</v>
      </c>
      <c r="C62" s="23">
        <v>2.8000000000000001E-2</v>
      </c>
      <c r="D62" s="24">
        <v>3350</v>
      </c>
      <c r="E62" s="15">
        <f>IF(A62&lt;=ReferenceTable!$H$1,ROUNDUP(C62*48,0),ROUNDDOWN(C62*48,0))</f>
        <v>1</v>
      </c>
      <c r="F62" s="35">
        <f t="shared" si="6"/>
        <v>5600</v>
      </c>
      <c r="G62" s="36">
        <f t="shared" si="7"/>
        <v>1398</v>
      </c>
      <c r="H62" s="2" t="str">
        <f t="shared" si="21"/>
        <v/>
      </c>
      <c r="J62" s="71">
        <f t="shared" si="8"/>
        <v>9.1141253731343266</v>
      </c>
      <c r="K62" s="67">
        <f t="shared" si="9"/>
        <v>1</v>
      </c>
      <c r="L62" s="71">
        <f t="shared" si="1"/>
        <v>12.72587462686567</v>
      </c>
      <c r="M62" s="72">
        <f t="shared" si="17"/>
        <v>34</v>
      </c>
      <c r="N62" s="73">
        <f t="shared" si="20"/>
        <v>34</v>
      </c>
      <c r="O62" s="72">
        <f t="shared" si="10"/>
        <v>1</v>
      </c>
      <c r="P62" s="73">
        <f>COUNTIF(N$29:$N62,N62)</f>
        <v>1</v>
      </c>
      <c r="Q62" s="73">
        <f t="shared" si="2"/>
        <v>1</v>
      </c>
      <c r="R62" s="73">
        <f t="shared" si="3"/>
        <v>3350</v>
      </c>
      <c r="S62" s="74">
        <f t="shared" si="4"/>
        <v>1398</v>
      </c>
      <c r="T62" s="73">
        <f t="shared" si="11"/>
        <v>1</v>
      </c>
      <c r="U62" s="75">
        <f t="shared" si="12"/>
        <v>6.5100895522388056</v>
      </c>
      <c r="V62" s="76">
        <f t="shared" si="13"/>
        <v>6.5100895522388056</v>
      </c>
      <c r="W62" s="77">
        <f t="shared" si="14"/>
        <v>9.1141253731343266</v>
      </c>
      <c r="X62" s="77">
        <f t="shared" si="5"/>
        <v>6.5100895522388056</v>
      </c>
      <c r="Y62" s="78">
        <f t="shared" si="15"/>
        <v>9.0899104477611949</v>
      </c>
      <c r="Z62" s="78">
        <f t="shared" si="16"/>
        <v>9.0899104477611949</v>
      </c>
      <c r="AA62" s="79" t="str">
        <f>IFERROR(_xlfn.XLOOKUP(_xlfn.CONCAT(N62,P62),'Integra Loading Table'!$C:$C,'Integra Loading Table'!E:E),0)</f>
        <v>C10</v>
      </c>
      <c r="AB62" s="5"/>
      <c r="AC62" s="5"/>
      <c r="AD62" s="5"/>
      <c r="AE62" s="5"/>
    </row>
    <row r="63" spans="1:31">
      <c r="A63" s="16">
        <f t="shared" si="19"/>
        <v>35</v>
      </c>
      <c r="B63" s="15" t="s">
        <v>184</v>
      </c>
      <c r="C63" s="23">
        <v>2.8000000000000001E-2</v>
      </c>
      <c r="D63" s="24">
        <v>3950</v>
      </c>
      <c r="E63" s="15">
        <f>IF(A63&lt;=ReferenceTable!$H$1,ROUNDUP(C63*48,0),ROUNDDOWN(C63*48,0))</f>
        <v>1</v>
      </c>
      <c r="F63" s="35">
        <f t="shared" si="6"/>
        <v>5600</v>
      </c>
      <c r="G63" s="36">
        <f t="shared" si="7"/>
        <v>1398</v>
      </c>
      <c r="H63" s="2" t="str">
        <f t="shared" si="21"/>
        <v/>
      </c>
      <c r="J63" s="71">
        <f t="shared" si="8"/>
        <v>7.7297012658227837</v>
      </c>
      <c r="K63" s="67">
        <f t="shared" si="9"/>
        <v>1</v>
      </c>
      <c r="L63" s="71">
        <f t="shared" si="1"/>
        <v>14.110298734177213</v>
      </c>
      <c r="M63" s="72">
        <f t="shared" si="17"/>
        <v>35</v>
      </c>
      <c r="N63" s="73">
        <f t="shared" si="20"/>
        <v>35</v>
      </c>
      <c r="O63" s="72">
        <f t="shared" si="10"/>
        <v>1</v>
      </c>
      <c r="P63" s="73">
        <f>COUNTIF(N$29:$N63,N63)</f>
        <v>1</v>
      </c>
      <c r="Q63" s="73">
        <f t="shared" si="2"/>
        <v>1</v>
      </c>
      <c r="R63" s="73">
        <f t="shared" si="3"/>
        <v>3950</v>
      </c>
      <c r="S63" s="74">
        <f t="shared" si="4"/>
        <v>1398</v>
      </c>
      <c r="T63" s="73">
        <f t="shared" si="11"/>
        <v>1</v>
      </c>
      <c r="U63" s="75">
        <f t="shared" si="12"/>
        <v>5.5212151898734172</v>
      </c>
      <c r="V63" s="76">
        <f t="shared" si="13"/>
        <v>5.5212151898734172</v>
      </c>
      <c r="W63" s="77">
        <f t="shared" si="14"/>
        <v>7.7297012658227837</v>
      </c>
      <c r="X63" s="77">
        <f t="shared" si="5"/>
        <v>5.5212151898734172</v>
      </c>
      <c r="Y63" s="78">
        <f t="shared" si="15"/>
        <v>10.078784810126582</v>
      </c>
      <c r="Z63" s="78">
        <f t="shared" si="16"/>
        <v>10.078784810126582</v>
      </c>
      <c r="AA63" s="79" t="str">
        <f>IFERROR(_xlfn.XLOOKUP(_xlfn.CONCAT(N63,P63),'Integra Loading Table'!$C:$C,'Integra Loading Table'!E:E),0)</f>
        <v>C11</v>
      </c>
      <c r="AB63" s="5"/>
      <c r="AC63" s="5"/>
      <c r="AD63" s="5"/>
      <c r="AE63" s="5"/>
    </row>
    <row r="64" spans="1:31">
      <c r="A64" s="16">
        <f t="shared" si="19"/>
        <v>36</v>
      </c>
      <c r="B64" s="15" t="s">
        <v>82</v>
      </c>
      <c r="C64" s="23">
        <v>2.8000000000000001E-2</v>
      </c>
      <c r="D64" s="24">
        <v>5200</v>
      </c>
      <c r="E64" s="15">
        <f>IF(A64&lt;=ReferenceTable!$H$1,ROUNDUP(C64*48,0),ROUNDDOWN(C64*48,0))</f>
        <v>1</v>
      </c>
      <c r="F64" s="35">
        <f t="shared" si="6"/>
        <v>5600</v>
      </c>
      <c r="G64" s="36">
        <f t="shared" si="7"/>
        <v>1398</v>
      </c>
      <c r="H64" s="2" t="str">
        <f t="shared" si="21"/>
        <v/>
      </c>
      <c r="J64" s="71">
        <f t="shared" si="8"/>
        <v>7</v>
      </c>
      <c r="K64" s="67">
        <f t="shared" si="9"/>
        <v>1</v>
      </c>
      <c r="L64" s="71">
        <f t="shared" si="1"/>
        <v>19.037195994277539</v>
      </c>
      <c r="M64" s="72">
        <f t="shared" si="17"/>
        <v>36</v>
      </c>
      <c r="N64" s="73">
        <f t="shared" si="20"/>
        <v>36</v>
      </c>
      <c r="O64" s="72">
        <f t="shared" si="10"/>
        <v>1</v>
      </c>
      <c r="P64" s="73">
        <f>COUNTIF(N$29:$N64,N64)</f>
        <v>1</v>
      </c>
      <c r="Q64" s="73">
        <f t="shared" si="2"/>
        <v>1</v>
      </c>
      <c r="R64" s="73">
        <f t="shared" si="3"/>
        <v>5200</v>
      </c>
      <c r="S64" s="74">
        <f t="shared" si="4"/>
        <v>1398</v>
      </c>
      <c r="T64" s="73">
        <f t="shared" si="11"/>
        <v>1</v>
      </c>
      <c r="U64" s="75">
        <f t="shared" si="12"/>
        <v>4.194</v>
      </c>
      <c r="V64" s="76">
        <f t="shared" si="13"/>
        <v>4.194</v>
      </c>
      <c r="W64" s="77">
        <f t="shared" si="14"/>
        <v>7</v>
      </c>
      <c r="X64" s="77">
        <f t="shared" si="5"/>
        <v>5</v>
      </c>
      <c r="Y64" s="78">
        <f t="shared" si="15"/>
        <v>13.597997138769671</v>
      </c>
      <c r="Z64" s="78">
        <f t="shared" si="16"/>
        <v>13.597997138769671</v>
      </c>
      <c r="AA64" s="79" t="str">
        <f>IFERROR(_xlfn.XLOOKUP(_xlfn.CONCAT(N64,P64),'Integra Loading Table'!$C:$C,'Integra Loading Table'!E:E),0)</f>
        <v>C12</v>
      </c>
      <c r="AB64" s="5"/>
      <c r="AC64" s="5"/>
      <c r="AD64" s="5"/>
      <c r="AE64" s="5"/>
    </row>
    <row r="65" spans="1:31" hidden="1">
      <c r="A65" s="16">
        <f t="shared" si="19"/>
        <v>0</v>
      </c>
      <c r="B65" s="15"/>
      <c r="C65" s="23"/>
      <c r="D65" s="24"/>
      <c r="E65" s="15">
        <f>IF(A65&lt;=ReferenceTable!$H$1,ROUNDUP(C65*48,0),ROUNDDOWN(C65*48,0))</f>
        <v>0</v>
      </c>
      <c r="F65" s="35">
        <f t="shared" si="6"/>
        <v>0</v>
      </c>
      <c r="G65" s="36">
        <f t="shared" si="7"/>
        <v>0</v>
      </c>
      <c r="H65" s="2" t="str">
        <f t="shared" si="21"/>
        <v/>
      </c>
      <c r="J65" s="71">
        <f t="shared" si="8"/>
        <v>0</v>
      </c>
      <c r="K65" s="67">
        <f t="shared" si="9"/>
        <v>0</v>
      </c>
      <c r="L65" s="71">
        <f t="shared" si="1"/>
        <v>0</v>
      </c>
      <c r="M65" s="72">
        <f t="shared" si="17"/>
        <v>37</v>
      </c>
      <c r="N65" s="73">
        <f t="shared" si="20"/>
        <v>37</v>
      </c>
      <c r="O65" s="72" t="e">
        <f t="shared" si="10"/>
        <v>#N/A</v>
      </c>
      <c r="P65" s="73">
        <f>COUNTIF(N$29:$N65,N65)</f>
        <v>1</v>
      </c>
      <c r="Q65" s="73">
        <f t="shared" si="2"/>
        <v>0</v>
      </c>
      <c r="R65" s="73">
        <f t="shared" si="3"/>
        <v>0</v>
      </c>
      <c r="S65" s="74">
        <f t="shared" si="4"/>
        <v>0</v>
      </c>
      <c r="T65" s="73">
        <f t="shared" si="11"/>
        <v>0</v>
      </c>
      <c r="U65" s="75">
        <f t="shared" si="12"/>
        <v>0</v>
      </c>
      <c r="V65" s="76">
        <f t="shared" si="13"/>
        <v>0</v>
      </c>
      <c r="W65" s="77">
        <f t="shared" si="14"/>
        <v>0</v>
      </c>
      <c r="X65" s="77">
        <f t="shared" si="5"/>
        <v>0</v>
      </c>
      <c r="Y65" s="78">
        <f t="shared" si="15"/>
        <v>0</v>
      </c>
      <c r="Z65" s="78">
        <f t="shared" si="16"/>
        <v>0</v>
      </c>
      <c r="AA65" s="79">
        <f>IFERROR(_xlfn.XLOOKUP(_xlfn.CONCAT(N65,P65),'Integra Loading Table'!$C:$C,'Integra Loading Table'!E:E),0)</f>
        <v>0</v>
      </c>
      <c r="AB65" s="5"/>
      <c r="AC65" s="5"/>
      <c r="AD65" s="5"/>
      <c r="AE65" s="5"/>
    </row>
    <row r="66" spans="1:31" hidden="1">
      <c r="A66" s="16">
        <f t="shared" si="19"/>
        <v>0</v>
      </c>
      <c r="B66" s="15"/>
      <c r="C66" s="23"/>
      <c r="D66" s="24"/>
      <c r="E66" s="15">
        <f>IF(A66&lt;=ReferenceTable!$H$1,ROUNDUP(C66*48,0),ROUNDDOWN(C66*48,0))</f>
        <v>0</v>
      </c>
      <c r="F66" s="35">
        <f t="shared" si="6"/>
        <v>0</v>
      </c>
      <c r="G66" s="36">
        <f t="shared" si="7"/>
        <v>0</v>
      </c>
      <c r="H66" s="2" t="str">
        <f t="shared" si="21"/>
        <v/>
      </c>
      <c r="J66" s="71">
        <f t="shared" si="8"/>
        <v>0</v>
      </c>
      <c r="K66" s="67">
        <f t="shared" si="9"/>
        <v>0</v>
      </c>
      <c r="L66" s="71">
        <f t="shared" si="1"/>
        <v>0</v>
      </c>
      <c r="M66" s="72">
        <f t="shared" si="17"/>
        <v>38</v>
      </c>
      <c r="N66" s="73" t="e">
        <f t="shared" si="20"/>
        <v>#N/A</v>
      </c>
      <c r="O66" s="72" t="e">
        <f t="shared" si="10"/>
        <v>#N/A</v>
      </c>
      <c r="P66" s="73">
        <f>COUNTIF(N$29:$N66,N66)</f>
        <v>1</v>
      </c>
      <c r="Q66" s="73">
        <f t="shared" si="2"/>
        <v>0</v>
      </c>
      <c r="R66" s="73">
        <f t="shared" si="3"/>
        <v>0</v>
      </c>
      <c r="S66" s="74">
        <f t="shared" si="4"/>
        <v>0</v>
      </c>
      <c r="T66" s="73">
        <f t="shared" si="11"/>
        <v>0</v>
      </c>
      <c r="U66" s="75">
        <f t="shared" si="12"/>
        <v>0</v>
      </c>
      <c r="V66" s="76">
        <f t="shared" si="13"/>
        <v>0</v>
      </c>
      <c r="W66" s="77">
        <f t="shared" si="14"/>
        <v>0</v>
      </c>
      <c r="X66" s="77">
        <f t="shared" si="5"/>
        <v>0</v>
      </c>
      <c r="Y66" s="78">
        <f t="shared" si="15"/>
        <v>0</v>
      </c>
      <c r="Z66" s="78">
        <f t="shared" si="16"/>
        <v>0</v>
      </c>
      <c r="AA66" s="79">
        <f>IFERROR(_xlfn.XLOOKUP(_xlfn.CONCAT(N66,P66),'Integra Loading Table'!$C:$C,'Integra Loading Table'!E:E),0)</f>
        <v>0</v>
      </c>
      <c r="AB66" s="5"/>
      <c r="AC66" s="5"/>
      <c r="AD66" s="5"/>
      <c r="AE66" s="5"/>
    </row>
    <row r="67" spans="1:31" hidden="1">
      <c r="A67" s="16">
        <f t="shared" si="19"/>
        <v>0</v>
      </c>
      <c r="B67" s="15"/>
      <c r="C67" s="23"/>
      <c r="D67" s="24"/>
      <c r="E67" s="15">
        <f>IF(A67&lt;=ReferenceTable!$H$1,ROUNDUP(C67*48,0),ROUNDDOWN(C67*48,0))</f>
        <v>0</v>
      </c>
      <c r="F67" s="35">
        <f t="shared" si="6"/>
        <v>0</v>
      </c>
      <c r="G67" s="36">
        <f t="shared" si="7"/>
        <v>0</v>
      </c>
      <c r="H67" s="2" t="str">
        <f t="shared" si="21"/>
        <v/>
      </c>
      <c r="J67" s="71">
        <f t="shared" si="8"/>
        <v>0</v>
      </c>
      <c r="K67" s="67">
        <f t="shared" si="9"/>
        <v>0</v>
      </c>
      <c r="L67" s="71">
        <f t="shared" si="1"/>
        <v>0</v>
      </c>
      <c r="M67" s="72">
        <f t="shared" si="17"/>
        <v>39</v>
      </c>
      <c r="N67" s="73" t="e">
        <f t="shared" si="20"/>
        <v>#N/A</v>
      </c>
      <c r="O67" s="72" t="e">
        <f t="shared" si="10"/>
        <v>#N/A</v>
      </c>
      <c r="P67" s="73">
        <f>COUNTIF(N$29:$N67,N67)</f>
        <v>2</v>
      </c>
      <c r="Q67" s="73">
        <f t="shared" si="2"/>
        <v>0</v>
      </c>
      <c r="R67" s="73">
        <f t="shared" si="3"/>
        <v>0</v>
      </c>
      <c r="S67" s="74">
        <f t="shared" si="4"/>
        <v>0</v>
      </c>
      <c r="T67" s="73">
        <f t="shared" si="11"/>
        <v>0</v>
      </c>
      <c r="U67" s="75">
        <f t="shared" si="12"/>
        <v>0</v>
      </c>
      <c r="V67" s="76">
        <f t="shared" si="13"/>
        <v>0</v>
      </c>
      <c r="W67" s="77">
        <f t="shared" si="14"/>
        <v>0</v>
      </c>
      <c r="X67" s="77">
        <f t="shared" si="5"/>
        <v>0</v>
      </c>
      <c r="Y67" s="78">
        <f t="shared" si="15"/>
        <v>0</v>
      </c>
      <c r="Z67" s="78">
        <f t="shared" si="16"/>
        <v>0</v>
      </c>
      <c r="AA67" s="79">
        <f>IFERROR(_xlfn.XLOOKUP(_xlfn.CONCAT(N67,P67),'Integra Loading Table'!$C:$C,'Integra Loading Table'!E:E),0)</f>
        <v>0</v>
      </c>
      <c r="AB67" s="5"/>
      <c r="AC67" s="5"/>
      <c r="AD67" s="5"/>
      <c r="AE67" s="5"/>
    </row>
    <row r="68" spans="1:31" hidden="1">
      <c r="A68" s="16">
        <f t="shared" si="19"/>
        <v>0</v>
      </c>
      <c r="B68" s="15"/>
      <c r="C68" s="23"/>
      <c r="D68" s="24"/>
      <c r="E68" s="15">
        <f>IF(A68&lt;=ReferenceTable!$H$1,ROUNDUP(C68*48,0),ROUNDDOWN(C68*48,0))</f>
        <v>0</v>
      </c>
      <c r="F68" s="35">
        <f t="shared" si="6"/>
        <v>0</v>
      </c>
      <c r="G68" s="36">
        <f t="shared" si="7"/>
        <v>0</v>
      </c>
      <c r="H68" s="2" t="str">
        <f t="shared" si="21"/>
        <v/>
      </c>
      <c r="J68" s="71">
        <f t="shared" si="8"/>
        <v>0</v>
      </c>
      <c r="K68" s="67">
        <f t="shared" si="9"/>
        <v>0</v>
      </c>
      <c r="L68" s="71">
        <f t="shared" si="1"/>
        <v>0</v>
      </c>
      <c r="M68" s="72">
        <f t="shared" si="17"/>
        <v>40</v>
      </c>
      <c r="N68" s="73" t="e">
        <f t="shared" si="20"/>
        <v>#N/A</v>
      </c>
      <c r="O68" s="72" t="e">
        <f t="shared" si="10"/>
        <v>#N/A</v>
      </c>
      <c r="P68" s="73">
        <f>COUNTIF(N$29:$N68,N68)</f>
        <v>3</v>
      </c>
      <c r="Q68" s="73">
        <f t="shared" si="2"/>
        <v>0</v>
      </c>
      <c r="R68" s="73">
        <f t="shared" si="3"/>
        <v>0</v>
      </c>
      <c r="S68" s="74">
        <f t="shared" si="4"/>
        <v>0</v>
      </c>
      <c r="T68" s="73">
        <f t="shared" si="11"/>
        <v>0</v>
      </c>
      <c r="U68" s="75">
        <f t="shared" si="12"/>
        <v>0</v>
      </c>
      <c r="V68" s="76">
        <f t="shared" si="13"/>
        <v>0</v>
      </c>
      <c r="W68" s="77">
        <f t="shared" si="14"/>
        <v>0</v>
      </c>
      <c r="X68" s="77">
        <f t="shared" si="5"/>
        <v>0</v>
      </c>
      <c r="Y68" s="78">
        <f t="shared" si="15"/>
        <v>0</v>
      </c>
      <c r="Z68" s="78">
        <f t="shared" si="16"/>
        <v>0</v>
      </c>
      <c r="AA68" s="79">
        <f>IFERROR(_xlfn.XLOOKUP(_xlfn.CONCAT(N68,P68),'Integra Loading Table'!$C:$C,'Integra Loading Table'!E:E),0)</f>
        <v>0</v>
      </c>
      <c r="AB68" s="5"/>
      <c r="AC68" s="5"/>
      <c r="AD68" s="5"/>
      <c r="AE68" s="5"/>
    </row>
    <row r="69" spans="1:31" hidden="1">
      <c r="A69" s="16">
        <f t="shared" si="19"/>
        <v>0</v>
      </c>
      <c r="B69" s="15"/>
      <c r="C69" s="23"/>
      <c r="D69" s="24"/>
      <c r="E69" s="15">
        <f>IF(A69&lt;=ReferenceTable!$H$1,ROUNDUP(C69*48,0),ROUNDDOWN(C69*48,0))</f>
        <v>0</v>
      </c>
      <c r="F69" s="35">
        <f t="shared" si="6"/>
        <v>0</v>
      </c>
      <c r="G69" s="36">
        <f t="shared" si="7"/>
        <v>0</v>
      </c>
      <c r="H69" s="2" t="str">
        <f t="shared" si="21"/>
        <v/>
      </c>
      <c r="J69" s="71">
        <f t="shared" si="8"/>
        <v>0</v>
      </c>
      <c r="K69" s="67">
        <f t="shared" si="9"/>
        <v>0</v>
      </c>
      <c r="L69" s="71">
        <f t="shared" si="1"/>
        <v>0</v>
      </c>
      <c r="M69" s="72">
        <f t="shared" si="17"/>
        <v>41</v>
      </c>
      <c r="N69" s="73" t="e">
        <f t="shared" si="20"/>
        <v>#N/A</v>
      </c>
      <c r="O69" s="72" t="e">
        <f t="shared" si="10"/>
        <v>#N/A</v>
      </c>
      <c r="P69" s="73">
        <f>COUNTIF(N$29:$N69,N69)</f>
        <v>4</v>
      </c>
      <c r="Q69" s="73">
        <f t="shared" si="2"/>
        <v>0</v>
      </c>
      <c r="R69" s="73">
        <f t="shared" si="3"/>
        <v>0</v>
      </c>
      <c r="S69" s="74">
        <f t="shared" si="4"/>
        <v>0</v>
      </c>
      <c r="T69" s="73">
        <f t="shared" si="11"/>
        <v>0</v>
      </c>
      <c r="U69" s="75">
        <f t="shared" si="12"/>
        <v>0</v>
      </c>
      <c r="V69" s="76">
        <f t="shared" si="13"/>
        <v>0</v>
      </c>
      <c r="W69" s="77">
        <f t="shared" si="14"/>
        <v>0</v>
      </c>
      <c r="X69" s="77">
        <f t="shared" si="5"/>
        <v>0</v>
      </c>
      <c r="Y69" s="78">
        <f t="shared" si="15"/>
        <v>0</v>
      </c>
      <c r="Z69" s="78">
        <f t="shared" si="16"/>
        <v>0</v>
      </c>
      <c r="AA69" s="79">
        <f>IFERROR(_xlfn.XLOOKUP(_xlfn.CONCAT(N69,P69),'Integra Loading Table'!$C:$C,'Integra Loading Table'!E:E),0)</f>
        <v>0</v>
      </c>
      <c r="AB69" s="5"/>
      <c r="AC69" s="5"/>
      <c r="AD69" s="5"/>
      <c r="AE69" s="5"/>
    </row>
    <row r="70" spans="1:31" hidden="1">
      <c r="A70" s="16">
        <f t="shared" si="19"/>
        <v>0</v>
      </c>
      <c r="B70" s="15"/>
      <c r="C70" s="23"/>
      <c r="D70" s="24"/>
      <c r="E70" s="15">
        <f>IF(A70&lt;=ReferenceTable!$H$1,ROUNDUP(C70*48,0),ROUNDDOWN(C70*48,0))</f>
        <v>0</v>
      </c>
      <c r="F70" s="35">
        <f t="shared" si="6"/>
        <v>0</v>
      </c>
      <c r="G70" s="36">
        <f t="shared" si="7"/>
        <v>0</v>
      </c>
      <c r="H70" s="2" t="str">
        <f t="shared" si="21"/>
        <v/>
      </c>
      <c r="J70" s="71">
        <f t="shared" si="8"/>
        <v>0</v>
      </c>
      <c r="K70" s="67">
        <f t="shared" si="9"/>
        <v>0</v>
      </c>
      <c r="L70" s="71">
        <f t="shared" si="1"/>
        <v>0</v>
      </c>
      <c r="M70" s="72">
        <f t="shared" si="17"/>
        <v>42</v>
      </c>
      <c r="N70" s="73" t="e">
        <f t="shared" si="20"/>
        <v>#N/A</v>
      </c>
      <c r="O70" s="72" t="e">
        <f t="shared" si="10"/>
        <v>#N/A</v>
      </c>
      <c r="P70" s="73">
        <f>COUNTIF(N$29:$N70,N70)</f>
        <v>5</v>
      </c>
      <c r="Q70" s="73">
        <f t="shared" si="2"/>
        <v>0</v>
      </c>
      <c r="R70" s="73">
        <f t="shared" si="3"/>
        <v>0</v>
      </c>
      <c r="S70" s="74">
        <f t="shared" si="4"/>
        <v>0</v>
      </c>
      <c r="T70" s="73">
        <f t="shared" si="11"/>
        <v>0</v>
      </c>
      <c r="U70" s="75">
        <f t="shared" si="12"/>
        <v>0</v>
      </c>
      <c r="V70" s="76">
        <f t="shared" si="13"/>
        <v>0</v>
      </c>
      <c r="W70" s="77">
        <f t="shared" si="14"/>
        <v>0</v>
      </c>
      <c r="X70" s="77">
        <f t="shared" si="5"/>
        <v>0</v>
      </c>
      <c r="Y70" s="78">
        <f t="shared" si="15"/>
        <v>0</v>
      </c>
      <c r="Z70" s="78">
        <f t="shared" si="16"/>
        <v>0</v>
      </c>
      <c r="AA70" s="79">
        <f>IFERROR(_xlfn.XLOOKUP(_xlfn.CONCAT(N70,P70),'Integra Loading Table'!$C:$C,'Integra Loading Table'!E:E),0)</f>
        <v>0</v>
      </c>
      <c r="AB70" s="5"/>
      <c r="AC70" s="5"/>
      <c r="AD70" s="5"/>
      <c r="AE70" s="5"/>
    </row>
    <row r="71" spans="1:31" hidden="1">
      <c r="A71" s="16">
        <f t="shared" si="19"/>
        <v>0</v>
      </c>
      <c r="B71" s="15"/>
      <c r="C71" s="23"/>
      <c r="D71" s="24"/>
      <c r="E71" s="15">
        <f>IF(A71&lt;=ReferenceTable!$H$1,ROUNDUP(C71*48,0),ROUNDDOWN(C71*48,0))</f>
        <v>0</v>
      </c>
      <c r="F71" s="35">
        <f t="shared" si="6"/>
        <v>0</v>
      </c>
      <c r="G71" s="36">
        <f t="shared" si="7"/>
        <v>0</v>
      </c>
      <c r="H71" s="2" t="str">
        <f t="shared" si="21"/>
        <v/>
      </c>
      <c r="J71" s="71">
        <f t="shared" si="8"/>
        <v>0</v>
      </c>
      <c r="K71" s="67">
        <f t="shared" si="9"/>
        <v>0</v>
      </c>
      <c r="L71" s="71">
        <f t="shared" si="1"/>
        <v>0</v>
      </c>
      <c r="M71" s="72">
        <f t="shared" si="17"/>
        <v>43</v>
      </c>
      <c r="N71" s="73" t="e">
        <f t="shared" si="20"/>
        <v>#N/A</v>
      </c>
      <c r="O71" s="72" t="e">
        <f t="shared" si="10"/>
        <v>#N/A</v>
      </c>
      <c r="P71" s="73">
        <f>COUNTIF(N$29:$N71,N71)</f>
        <v>6</v>
      </c>
      <c r="Q71" s="73">
        <f t="shared" si="2"/>
        <v>0</v>
      </c>
      <c r="R71" s="73">
        <f t="shared" si="3"/>
        <v>0</v>
      </c>
      <c r="S71" s="74">
        <f t="shared" si="4"/>
        <v>0</v>
      </c>
      <c r="T71" s="73">
        <f t="shared" si="11"/>
        <v>0</v>
      </c>
      <c r="U71" s="75">
        <f t="shared" si="12"/>
        <v>0</v>
      </c>
      <c r="V71" s="76">
        <f t="shared" si="13"/>
        <v>0</v>
      </c>
      <c r="W71" s="77">
        <f t="shared" si="14"/>
        <v>0</v>
      </c>
      <c r="X71" s="77">
        <f t="shared" si="5"/>
        <v>0</v>
      </c>
      <c r="Y71" s="78">
        <f t="shared" si="15"/>
        <v>0</v>
      </c>
      <c r="Z71" s="78">
        <f t="shared" si="16"/>
        <v>0</v>
      </c>
      <c r="AA71" s="79">
        <f>IFERROR(_xlfn.XLOOKUP(_xlfn.CONCAT(N71,P71),'Integra Loading Table'!$C:$C,'Integra Loading Table'!E:E),0)</f>
        <v>0</v>
      </c>
      <c r="AB71" s="5"/>
      <c r="AC71" s="5"/>
      <c r="AD71" s="5"/>
      <c r="AE71" s="5"/>
    </row>
    <row r="72" spans="1:31" hidden="1">
      <c r="A72" s="16">
        <f t="shared" si="19"/>
        <v>0</v>
      </c>
      <c r="B72" s="15"/>
      <c r="C72" s="23"/>
      <c r="D72" s="24"/>
      <c r="E72" s="15">
        <f>IF(A72&lt;=ReferenceTable!$H$1,ROUNDUP(C72*48,0),ROUNDDOWN(C72*48,0))</f>
        <v>0</v>
      </c>
      <c r="F72" s="35">
        <f t="shared" si="6"/>
        <v>0</v>
      </c>
      <c r="G72" s="36">
        <f t="shared" si="7"/>
        <v>0</v>
      </c>
      <c r="H72" s="2" t="str">
        <f t="shared" si="21"/>
        <v/>
      </c>
      <c r="J72" s="71">
        <f t="shared" si="8"/>
        <v>0</v>
      </c>
      <c r="K72" s="67">
        <f t="shared" si="9"/>
        <v>0</v>
      </c>
      <c r="L72" s="71">
        <f t="shared" si="1"/>
        <v>0</v>
      </c>
      <c r="M72" s="72">
        <f t="shared" si="17"/>
        <v>44</v>
      </c>
      <c r="N72" s="73" t="e">
        <f t="shared" si="20"/>
        <v>#N/A</v>
      </c>
      <c r="O72" s="72" t="e">
        <f t="shared" si="10"/>
        <v>#N/A</v>
      </c>
      <c r="P72" s="73">
        <f>COUNTIF(N$29:$N72,N72)</f>
        <v>7</v>
      </c>
      <c r="Q72" s="73">
        <f t="shared" si="2"/>
        <v>0</v>
      </c>
      <c r="R72" s="73">
        <f t="shared" si="3"/>
        <v>0</v>
      </c>
      <c r="S72" s="74">
        <f t="shared" si="4"/>
        <v>0</v>
      </c>
      <c r="T72" s="73">
        <f t="shared" si="11"/>
        <v>0</v>
      </c>
      <c r="U72" s="75">
        <f t="shared" si="12"/>
        <v>0</v>
      </c>
      <c r="V72" s="76">
        <f t="shared" si="13"/>
        <v>0</v>
      </c>
      <c r="W72" s="77">
        <f t="shared" si="14"/>
        <v>0</v>
      </c>
      <c r="X72" s="77">
        <f t="shared" si="5"/>
        <v>0</v>
      </c>
      <c r="Y72" s="78">
        <f t="shared" si="15"/>
        <v>0</v>
      </c>
      <c r="Z72" s="78">
        <f t="shared" si="16"/>
        <v>0</v>
      </c>
      <c r="AA72" s="79">
        <f>IFERROR(_xlfn.XLOOKUP(_xlfn.CONCAT(N72,P72),'Integra Loading Table'!$C:$C,'Integra Loading Table'!E:E),0)</f>
        <v>0</v>
      </c>
      <c r="AB72" s="5"/>
      <c r="AC72" s="5"/>
      <c r="AD72" s="5"/>
      <c r="AE72" s="5"/>
    </row>
    <row r="73" spans="1:31" hidden="1">
      <c r="A73" s="16">
        <f t="shared" si="19"/>
        <v>0</v>
      </c>
      <c r="B73" s="15"/>
      <c r="C73" s="23"/>
      <c r="D73" s="24"/>
      <c r="E73" s="15">
        <f>IF(A73&lt;=ReferenceTable!$H$1,ROUNDUP(C73*48,0),ROUNDDOWN(C73*48,0))</f>
        <v>0</v>
      </c>
      <c r="F73" s="35">
        <f t="shared" si="6"/>
        <v>0</v>
      </c>
      <c r="G73" s="36">
        <f t="shared" si="7"/>
        <v>0</v>
      </c>
      <c r="H73" s="2" t="str">
        <f t="shared" si="21"/>
        <v/>
      </c>
      <c r="J73" s="71">
        <f t="shared" si="8"/>
        <v>0</v>
      </c>
      <c r="K73" s="67">
        <f t="shared" si="9"/>
        <v>0</v>
      </c>
      <c r="L73" s="71">
        <f t="shared" si="1"/>
        <v>0</v>
      </c>
      <c r="M73" s="72">
        <f t="shared" si="17"/>
        <v>45</v>
      </c>
      <c r="N73" s="73" t="e">
        <f t="shared" si="20"/>
        <v>#N/A</v>
      </c>
      <c r="O73" s="72" t="e">
        <f t="shared" si="10"/>
        <v>#N/A</v>
      </c>
      <c r="P73" s="73">
        <f>COUNTIF(N$29:$N73,N73)</f>
        <v>8</v>
      </c>
      <c r="Q73" s="73">
        <f t="shared" si="2"/>
        <v>0</v>
      </c>
      <c r="R73" s="73">
        <f t="shared" si="3"/>
        <v>0</v>
      </c>
      <c r="S73" s="74">
        <f t="shared" si="4"/>
        <v>0</v>
      </c>
      <c r="T73" s="73">
        <f t="shared" si="11"/>
        <v>0</v>
      </c>
      <c r="U73" s="75">
        <f t="shared" si="12"/>
        <v>0</v>
      </c>
      <c r="V73" s="76">
        <f t="shared" si="13"/>
        <v>0</v>
      </c>
      <c r="W73" s="77">
        <f t="shared" si="14"/>
        <v>0</v>
      </c>
      <c r="X73" s="77">
        <f t="shared" si="5"/>
        <v>0</v>
      </c>
      <c r="Y73" s="78">
        <f t="shared" si="15"/>
        <v>0</v>
      </c>
      <c r="Z73" s="78">
        <f t="shared" si="16"/>
        <v>0</v>
      </c>
      <c r="AA73" s="79">
        <f>IFERROR(_xlfn.XLOOKUP(_xlfn.CONCAT(N73,P73),'Integra Loading Table'!$C:$C,'Integra Loading Table'!E:E),0)</f>
        <v>0</v>
      </c>
      <c r="AB73" s="5"/>
      <c r="AC73" s="5"/>
      <c r="AD73" s="5"/>
      <c r="AE73" s="5"/>
    </row>
    <row r="74" spans="1:31" hidden="1">
      <c r="A74" s="16">
        <f t="shared" si="19"/>
        <v>0</v>
      </c>
      <c r="B74" s="15"/>
      <c r="C74" s="23"/>
      <c r="D74" s="24"/>
      <c r="E74" s="15">
        <f>IF(A74&lt;=ReferenceTable!$H$1,ROUNDUP(C74*48,0),ROUNDDOWN(C74*48,0))</f>
        <v>0</v>
      </c>
      <c r="F74" s="35">
        <f t="shared" si="6"/>
        <v>0</v>
      </c>
      <c r="G74" s="36">
        <f t="shared" si="7"/>
        <v>0</v>
      </c>
      <c r="H74" s="2" t="str">
        <f t="shared" si="21"/>
        <v/>
      </c>
      <c r="J74" s="71">
        <f t="shared" si="8"/>
        <v>0</v>
      </c>
      <c r="K74" s="67">
        <f t="shared" si="9"/>
        <v>0</v>
      </c>
      <c r="L74" s="71">
        <f t="shared" si="1"/>
        <v>0</v>
      </c>
      <c r="M74" s="72">
        <f t="shared" si="17"/>
        <v>46</v>
      </c>
      <c r="N74" s="73" t="e">
        <f t="shared" si="20"/>
        <v>#N/A</v>
      </c>
      <c r="O74" s="72" t="e">
        <f t="shared" si="10"/>
        <v>#N/A</v>
      </c>
      <c r="P74" s="73">
        <f>COUNTIF(N$29:$N74,N74)</f>
        <v>9</v>
      </c>
      <c r="Q74" s="73">
        <f t="shared" si="2"/>
        <v>0</v>
      </c>
      <c r="R74" s="73">
        <f t="shared" si="3"/>
        <v>0</v>
      </c>
      <c r="S74" s="74">
        <f t="shared" si="4"/>
        <v>0</v>
      </c>
      <c r="T74" s="73">
        <f t="shared" si="11"/>
        <v>0</v>
      </c>
      <c r="U74" s="75">
        <f t="shared" si="12"/>
        <v>0</v>
      </c>
      <c r="V74" s="76">
        <f t="shared" si="13"/>
        <v>0</v>
      </c>
      <c r="W74" s="77">
        <f t="shared" si="14"/>
        <v>0</v>
      </c>
      <c r="X74" s="77">
        <f t="shared" si="5"/>
        <v>0</v>
      </c>
      <c r="Y74" s="78">
        <f t="shared" si="15"/>
        <v>0</v>
      </c>
      <c r="Z74" s="78">
        <f t="shared" si="16"/>
        <v>0</v>
      </c>
      <c r="AA74" s="79">
        <f>IFERROR(_xlfn.XLOOKUP(_xlfn.CONCAT(N74,P74),'Integra Loading Table'!$C:$C,'Integra Loading Table'!E:E),0)</f>
        <v>0</v>
      </c>
      <c r="AB74" s="5"/>
      <c r="AC74" s="5"/>
      <c r="AD74" s="5"/>
      <c r="AE74" s="5"/>
    </row>
    <row r="75" spans="1:31" hidden="1">
      <c r="A75" s="16">
        <f t="shared" si="19"/>
        <v>0</v>
      </c>
      <c r="B75" s="15"/>
      <c r="C75" s="23"/>
      <c r="D75" s="24"/>
      <c r="E75" s="15">
        <f>IF(A75&lt;=ReferenceTable!$H$1,ROUNDUP(C75*48,0),ROUNDDOWN(C75*48,0))</f>
        <v>0</v>
      </c>
      <c r="F75" s="35">
        <f t="shared" si="6"/>
        <v>0</v>
      </c>
      <c r="G75" s="36">
        <f t="shared" si="7"/>
        <v>0</v>
      </c>
      <c r="H75" s="2" t="str">
        <f t="shared" si="21"/>
        <v/>
      </c>
      <c r="J75" s="71">
        <f t="shared" si="8"/>
        <v>0</v>
      </c>
      <c r="K75" s="67">
        <f t="shared" si="9"/>
        <v>0</v>
      </c>
      <c r="L75" s="71">
        <f t="shared" si="1"/>
        <v>0</v>
      </c>
      <c r="M75" s="72">
        <f t="shared" si="17"/>
        <v>47</v>
      </c>
      <c r="N75" s="73" t="e">
        <f t="shared" si="20"/>
        <v>#N/A</v>
      </c>
      <c r="O75" s="72" t="e">
        <f t="shared" si="10"/>
        <v>#N/A</v>
      </c>
      <c r="P75" s="73">
        <f>COUNTIF(N$29:$N75,N75)</f>
        <v>10</v>
      </c>
      <c r="Q75" s="73">
        <f t="shared" si="2"/>
        <v>0</v>
      </c>
      <c r="R75" s="73">
        <f t="shared" si="3"/>
        <v>0</v>
      </c>
      <c r="S75" s="74">
        <f t="shared" si="4"/>
        <v>0</v>
      </c>
      <c r="T75" s="73">
        <f t="shared" si="11"/>
        <v>0</v>
      </c>
      <c r="U75" s="75">
        <f t="shared" si="12"/>
        <v>0</v>
      </c>
      <c r="V75" s="76">
        <f t="shared" si="13"/>
        <v>0</v>
      </c>
      <c r="W75" s="77">
        <f t="shared" si="14"/>
        <v>0</v>
      </c>
      <c r="X75" s="77">
        <f t="shared" si="5"/>
        <v>0</v>
      </c>
      <c r="Y75" s="78">
        <f t="shared" si="15"/>
        <v>0</v>
      </c>
      <c r="Z75" s="78">
        <f t="shared" si="16"/>
        <v>0</v>
      </c>
      <c r="AA75" s="79">
        <f>IFERROR(_xlfn.XLOOKUP(_xlfn.CONCAT(N75,P75),'Integra Loading Table'!$C:$C,'Integra Loading Table'!E:E),0)</f>
        <v>0</v>
      </c>
      <c r="AB75" s="5"/>
      <c r="AC75" s="5"/>
      <c r="AD75" s="5"/>
      <c r="AE75" s="5"/>
    </row>
    <row r="76" spans="1:31" hidden="1">
      <c r="A76" s="16">
        <f t="shared" si="19"/>
        <v>0</v>
      </c>
      <c r="B76" s="15"/>
      <c r="C76" s="23"/>
      <c r="D76" s="24"/>
      <c r="E76" s="15">
        <f>IF(A76&lt;=ReferenceTable!$H$1,ROUNDUP(C76*48,0),ROUNDDOWN(C76*48,0))</f>
        <v>0</v>
      </c>
      <c r="F76" s="35">
        <f t="shared" si="6"/>
        <v>0</v>
      </c>
      <c r="G76" s="36">
        <f t="shared" si="7"/>
        <v>0</v>
      </c>
      <c r="H76" s="2" t="str">
        <f t="shared" si="21"/>
        <v/>
      </c>
      <c r="J76" s="71">
        <f t="shared" si="8"/>
        <v>0</v>
      </c>
      <c r="K76" s="67">
        <f t="shared" si="9"/>
        <v>0</v>
      </c>
      <c r="L76" s="71">
        <f t="shared" si="1"/>
        <v>0</v>
      </c>
      <c r="M76" s="72">
        <f t="shared" si="17"/>
        <v>48</v>
      </c>
      <c r="N76" s="73" t="e">
        <f t="shared" si="20"/>
        <v>#N/A</v>
      </c>
      <c r="O76" s="72" t="e">
        <f t="shared" si="10"/>
        <v>#N/A</v>
      </c>
      <c r="P76" s="73">
        <f>COUNTIF(N$29:$N76,N76)</f>
        <v>11</v>
      </c>
      <c r="Q76" s="73">
        <f t="shared" si="2"/>
        <v>0</v>
      </c>
      <c r="R76" s="73">
        <f t="shared" si="3"/>
        <v>0</v>
      </c>
      <c r="S76" s="74">
        <f t="shared" si="4"/>
        <v>0</v>
      </c>
      <c r="T76" s="73">
        <f t="shared" si="11"/>
        <v>0</v>
      </c>
      <c r="U76" s="75">
        <f t="shared" si="12"/>
        <v>0</v>
      </c>
      <c r="V76" s="76">
        <f t="shared" si="13"/>
        <v>0</v>
      </c>
      <c r="W76" s="77">
        <f t="shared" si="14"/>
        <v>0</v>
      </c>
      <c r="X76" s="77">
        <f t="shared" si="5"/>
        <v>0</v>
      </c>
      <c r="Y76" s="78">
        <f t="shared" si="15"/>
        <v>0</v>
      </c>
      <c r="Z76" s="78">
        <f t="shared" si="16"/>
        <v>0</v>
      </c>
      <c r="AA76" s="79">
        <f>IFERROR(_xlfn.XLOOKUP(_xlfn.CONCAT(N76,P76),'Integra Loading Table'!$C:$C,'Integra Loading Table'!E:E),0)</f>
        <v>0</v>
      </c>
      <c r="AB76" s="5"/>
      <c r="AC76" s="5"/>
      <c r="AD76" s="5"/>
      <c r="AE76" s="5"/>
    </row>
    <row r="77" spans="1:31" hidden="1">
      <c r="AB77" s="5"/>
      <c r="AC77" s="5"/>
      <c r="AD77" s="5"/>
      <c r="AE77" s="5"/>
    </row>
    <row r="78" spans="1:31" hidden="1">
      <c r="E78" s="3"/>
      <c r="AB78" s="5"/>
      <c r="AC78" s="5"/>
      <c r="AD78" s="5"/>
      <c r="AE78" s="5"/>
    </row>
    <row r="79" spans="1:31">
      <c r="A79" s="19" t="s">
        <v>15</v>
      </c>
      <c r="B79" s="19"/>
      <c r="C79" s="32">
        <f>SUM(C29:C76)</f>
        <v>1.0000000000000007</v>
      </c>
      <c r="D79" s="32"/>
      <c r="E79" s="33">
        <f>SUM(E29:E76)</f>
        <v>48</v>
      </c>
      <c r="F79" s="33">
        <f>SUM($F$29:$F$76)</f>
        <v>200000</v>
      </c>
      <c r="G79" s="19"/>
      <c r="H79" s="34"/>
      <c r="I79" s="48"/>
      <c r="J79" s="44">
        <f>ROUNDUP(I79/200,0)</f>
        <v>0</v>
      </c>
      <c r="K79" s="85"/>
      <c r="W79" s="44">
        <f>IF(S79&gt;0, IF(U79&lt;5, 5, U79), 0)</f>
        <v>0</v>
      </c>
      <c r="Y79" s="50"/>
      <c r="Z79" s="50"/>
    </row>
    <row r="80" spans="1:31" hidden="1">
      <c r="C80" s="1">
        <f>IF($C$79=1,0,"Percentage Must Add Up to 100%")</f>
        <v>0</v>
      </c>
      <c r="AB80" s="5"/>
      <c r="AC80" s="5"/>
      <c r="AD80" s="5"/>
      <c r="AE80" s="5"/>
    </row>
    <row r="81" spans="1:29">
      <c r="A81" s="9"/>
      <c r="B81" s="9"/>
      <c r="C81" s="9"/>
      <c r="D81" s="9"/>
      <c r="E81" s="17"/>
      <c r="F81" s="17"/>
      <c r="G81" s="9"/>
      <c r="H81" s="17"/>
      <c r="I81" s="47"/>
      <c r="J81" s="40"/>
      <c r="K81" s="4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3"/>
      <c r="AC81" s="3"/>
    </row>
    <row r="82" spans="1:29" ht="20">
      <c r="A82" s="29" t="s">
        <v>35</v>
      </c>
      <c r="B82" s="111"/>
      <c r="C82" s="111"/>
      <c r="D82" s="111"/>
      <c r="E82" s="111"/>
      <c r="F82" s="111"/>
      <c r="G82" s="111"/>
      <c r="H82" s="111"/>
      <c r="I82" s="111"/>
      <c r="J82" s="86"/>
      <c r="K82" s="86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3"/>
      <c r="AC82" s="3"/>
    </row>
    <row r="83" spans="1:29">
      <c r="A83" s="30"/>
      <c r="B83" s="111"/>
      <c r="C83" s="111"/>
      <c r="D83" s="111"/>
      <c r="E83" s="111"/>
      <c r="F83" s="111"/>
      <c r="G83" s="111"/>
      <c r="H83" s="111"/>
      <c r="I83" s="111"/>
      <c r="J83" s="86"/>
      <c r="K83" s="86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3"/>
      <c r="AC83" s="3"/>
    </row>
    <row r="84" spans="1:29">
      <c r="A84" s="30"/>
      <c r="B84" s="111"/>
      <c r="C84" s="111"/>
      <c r="D84" s="111"/>
      <c r="E84" s="111"/>
      <c r="F84" s="111"/>
      <c r="G84" s="111"/>
      <c r="H84" s="111"/>
      <c r="I84" s="111"/>
      <c r="J84" s="86"/>
      <c r="K84" s="86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3"/>
      <c r="AC84" s="3"/>
    </row>
    <row r="85" spans="1:29">
      <c r="A85" s="30"/>
      <c r="B85" s="111"/>
      <c r="C85" s="111"/>
      <c r="D85" s="111"/>
      <c r="E85" s="111"/>
      <c r="F85" s="111"/>
      <c r="G85" s="111"/>
      <c r="H85" s="111"/>
      <c r="I85" s="111"/>
      <c r="J85" s="86"/>
      <c r="K85" s="86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3"/>
      <c r="AC85" s="3"/>
    </row>
    <row r="86" spans="1:29">
      <c r="A86" s="30"/>
      <c r="B86" s="111"/>
      <c r="C86" s="111"/>
      <c r="D86" s="111"/>
      <c r="E86" s="111"/>
      <c r="F86" s="111"/>
      <c r="G86" s="111"/>
      <c r="H86" s="111"/>
      <c r="I86" s="111"/>
      <c r="J86" s="86"/>
      <c r="K86" s="86"/>
    </row>
    <row r="87" spans="1:29">
      <c r="A87" s="30"/>
      <c r="B87" s="111"/>
      <c r="C87" s="111"/>
      <c r="D87" s="111"/>
      <c r="E87" s="111"/>
      <c r="F87" s="111"/>
      <c r="G87" s="111"/>
      <c r="H87" s="111"/>
      <c r="I87" s="111"/>
      <c r="J87" s="86"/>
      <c r="K87" s="86"/>
    </row>
    <row r="88" spans="1:29">
      <c r="A88" s="30"/>
      <c r="B88" s="111"/>
      <c r="C88" s="111"/>
      <c r="D88" s="111"/>
      <c r="E88" s="111"/>
      <c r="F88" s="111"/>
      <c r="G88" s="111"/>
      <c r="H88" s="111"/>
      <c r="I88" s="111"/>
      <c r="J88" s="86"/>
      <c r="K88" s="86"/>
    </row>
    <row r="89" spans="1:29">
      <c r="A89" s="30"/>
      <c r="B89" s="111"/>
      <c r="C89" s="111"/>
      <c r="D89" s="111"/>
      <c r="E89" s="111"/>
      <c r="F89" s="111"/>
      <c r="G89" s="111"/>
      <c r="H89" s="111"/>
      <c r="I89" s="111"/>
      <c r="J89" s="86"/>
      <c r="K89" s="86"/>
    </row>
    <row r="90" spans="1:29">
      <c r="A90" s="30"/>
      <c r="B90" s="111"/>
      <c r="C90" s="111"/>
      <c r="D90" s="111"/>
      <c r="E90" s="111"/>
      <c r="F90" s="111"/>
      <c r="G90" s="111"/>
      <c r="H90" s="111"/>
      <c r="I90" s="111"/>
      <c r="J90" s="86"/>
      <c r="K90" s="86"/>
    </row>
    <row r="91" spans="1:29">
      <c r="A91" s="30"/>
      <c r="B91" s="111"/>
      <c r="C91" s="111"/>
      <c r="D91" s="111"/>
      <c r="E91" s="111"/>
      <c r="F91" s="111"/>
      <c r="G91" s="111"/>
      <c r="H91" s="111"/>
      <c r="I91" s="111"/>
      <c r="J91" s="86"/>
      <c r="K91" s="86"/>
    </row>
    <row r="92" spans="1:29">
      <c r="A92" s="30"/>
      <c r="B92" s="111"/>
      <c r="C92" s="111"/>
      <c r="D92" s="111"/>
      <c r="E92" s="111"/>
      <c r="F92" s="111"/>
      <c r="G92" s="111"/>
      <c r="H92" s="111"/>
      <c r="I92" s="111"/>
      <c r="J92" s="86"/>
      <c r="K92" s="86"/>
    </row>
  </sheetData>
  <sheetProtection sheet="1" sort="0" autoFilter="0" pivotTables="0"/>
  <protectedRanges>
    <protectedRange sqref="C25:C26 B29:E76" name="Customer_Info"/>
    <protectedRange sqref="B82" name="Customer_Info_1"/>
  </protectedRanges>
  <autoFilter ref="A28:A80" xr:uid="{00000000-0009-0000-0000-000000000000}">
    <filterColumn colId="0">
      <customFilters>
        <customFilter operator="notEqual" val=" "/>
      </customFilters>
    </filterColumn>
  </autoFilter>
  <mergeCells count="15">
    <mergeCell ref="F26:I26"/>
    <mergeCell ref="C18:I18"/>
    <mergeCell ref="B82:I92"/>
    <mergeCell ref="C9:I9"/>
    <mergeCell ref="C10:I10"/>
    <mergeCell ref="C11:I11"/>
    <mergeCell ref="C12:I12"/>
    <mergeCell ref="C13:I13"/>
    <mergeCell ref="C19:I19"/>
    <mergeCell ref="C14:I14"/>
    <mergeCell ref="B15:I17"/>
    <mergeCell ref="C22:I22"/>
    <mergeCell ref="F25:I25"/>
    <mergeCell ref="C20:I20"/>
    <mergeCell ref="C21:I21"/>
  </mergeCells>
  <conditionalFormatting sqref="H29:H76">
    <cfRule type="notContainsBlanks" dxfId="19" priority="32" stopIfTrue="1">
      <formula>LEN(TRIM(H29))&gt;0</formula>
    </cfRule>
  </conditionalFormatting>
  <conditionalFormatting sqref="C29:C76">
    <cfRule type="expression" dxfId="18" priority="3" stopIfTrue="1">
      <formula>AND(C29&lt;0.010499,C29&lt;&gt;0)</formula>
    </cfRule>
  </conditionalFormatting>
  <conditionalFormatting sqref="U25:AF27">
    <cfRule type="colorScale" priority="114">
      <colorScale>
        <cfvo type="min"/>
        <cfvo type="percentile" val="50"/>
        <cfvo type="max"/>
        <color rgb="FF7030A0"/>
        <color rgb="FFFFEB84"/>
        <color rgb="FF63BE7B"/>
      </colorScale>
    </cfRule>
  </conditionalFormatting>
  <conditionalFormatting sqref="U18:AF24">
    <cfRule type="colorScale" priority="116">
      <colorScale>
        <cfvo type="min"/>
        <cfvo type="percentile" val="50"/>
        <cfvo type="max"/>
        <color rgb="FF7030A0"/>
        <color rgb="FFFFEB84"/>
        <color rgb="FF63BE7B"/>
      </colorScale>
    </cfRule>
  </conditionalFormatting>
  <conditionalFormatting sqref="L86:AC86">
    <cfRule type="colorScale" priority="118">
      <colorScale>
        <cfvo type="min"/>
        <cfvo type="percentile" val="50"/>
        <cfvo type="max"/>
        <color theme="8"/>
        <color rgb="FFFF0000"/>
        <color rgb="FF63BE7B"/>
      </colorScale>
    </cfRule>
  </conditionalFormatting>
  <conditionalFormatting sqref="L82:AC85">
    <cfRule type="colorScale" priority="120">
      <colorScale>
        <cfvo type="min"/>
        <cfvo type="percentile" val="50"/>
        <cfvo type="max"/>
        <color rgb="FF7030A0"/>
        <color theme="7" tint="0.59999389629810485"/>
        <color theme="9" tint="-0.249977111117893"/>
      </colorScale>
    </cfRule>
  </conditionalFormatting>
  <conditionalFormatting sqref="F25:F26 F29:G76">
    <cfRule type="expression" dxfId="17" priority="1" stopIfTrue="1">
      <formula>OR(NOT(AND($C$79&gt;0.99,$C$79&lt;1.01)),COUNTIF($C$29:$C$76,"&gt;0")&lt;&gt;$C$25,(COUNTIF($C$29:$C$76,"&lt;0.010499")))</formula>
    </cfRule>
    <cfRule type="expression" dxfId="16" priority="121" stopIfTrue="1">
      <formula>SUM($Z$29:$Z$76)*1.3&gt;1800</formula>
    </cfRule>
  </conditionalFormatting>
  <pageMargins left="0.42534722222222221" right="0.7" top="0.75" bottom="0.52857142857142858" header="0.3" footer="0.3"/>
  <pageSetup scale="42" orientation="portrait" r:id="rId1"/>
  <headerFooter>
    <oddHeader>&amp;L&amp;"M PLUS 2,Regular"&amp;12&amp;K525252Parse Biosciences
700 Dexter Ave
Suite 600
Seattle, WA 98109&amp;C&amp;G&amp;R&amp;"M PLUS 2,Regular"&amp;12&amp;K525252Support Suite:  support.parsebiosciences.com
Email: support@parsebiosciences.com
WT Mega - Version 2.0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6B48-33E9-41B1-B2D5-FDC53D5F6F57}">
  <sheetPr codeName="Sheet3"/>
  <dimension ref="A1:P60"/>
  <sheetViews>
    <sheetView topLeftCell="D22" zoomScale="80" zoomScaleNormal="80" workbookViewId="0">
      <selection activeCell="F33" sqref="F33"/>
    </sheetView>
  </sheetViews>
  <sheetFormatPr defaultColWidth="11.453125" defaultRowHeight="14.5"/>
  <cols>
    <col min="1" max="1" width="17.54296875" hidden="1" customWidth="1"/>
    <col min="2" max="2" width="16.81640625" hidden="1" customWidth="1"/>
    <col min="3" max="3" width="20.7265625" hidden="1" customWidth="1"/>
    <col min="4" max="4" width="14.1796875" customWidth="1"/>
    <col min="5" max="5" width="20.1796875" customWidth="1"/>
    <col min="6" max="6" width="20.7265625" customWidth="1"/>
    <col min="7" max="7" width="20.453125" customWidth="1"/>
    <col min="12" max="13" width="11.453125" customWidth="1"/>
  </cols>
  <sheetData>
    <row r="1" spans="1:16" ht="72" customHeight="1" thickBot="1">
      <c r="A1" s="37" t="s">
        <v>13</v>
      </c>
      <c r="B1" s="37" t="s">
        <v>108</v>
      </c>
      <c r="C1" s="37" t="s">
        <v>109</v>
      </c>
      <c r="D1" s="37" t="s">
        <v>12</v>
      </c>
      <c r="E1" s="37" t="s">
        <v>96</v>
      </c>
      <c r="F1" s="38" t="s">
        <v>97</v>
      </c>
      <c r="G1" s="87" t="s">
        <v>117</v>
      </c>
      <c r="H1" s="127" t="s">
        <v>98</v>
      </c>
      <c r="I1" s="128"/>
      <c r="J1" s="127" t="s">
        <v>118</v>
      </c>
      <c r="K1" s="129"/>
      <c r="L1" s="127" t="s">
        <v>119</v>
      </c>
      <c r="M1" s="129"/>
      <c r="N1" s="129"/>
      <c r="O1" s="129"/>
      <c r="P1" s="128"/>
    </row>
    <row r="2" spans="1:16" ht="15.75" customHeight="1">
      <c r="A2" s="39">
        <f>IF('Sample Loading Table'!X29&lt;&gt;0, 'Sample Loading Table'!N29,"")</f>
        <v>1</v>
      </c>
      <c r="B2" s="39">
        <f>IF('Sample Loading Table'!X29&lt;&gt;0, 'Sample Loading Table'!P29,"")</f>
        <v>1</v>
      </c>
      <c r="C2" s="39" t="str">
        <f>_xlfn.CONCAT(A2,B2)</f>
        <v>11</v>
      </c>
      <c r="D2" s="41" t="str">
        <f>IFERROR(_xlfn.XLOOKUP(A2,'Sample Loading Table'!$A$29:$A$78,'Sample Loading Table'!$B$29:$B$78),"")</f>
        <v>V26</v>
      </c>
      <c r="E2" s="41" t="s">
        <v>48</v>
      </c>
      <c r="F2" s="42">
        <f>IF(D2&lt;&gt;"",_xlfn.XLOOKUP(E2,'Sample Loading Table'!AA:AA,'Sample Loading Table'!W:W),"")</f>
        <v>7</v>
      </c>
      <c r="G2" s="88"/>
      <c r="H2" s="130">
        <f>ROUNDUP(SUM('Sample Loading Table'!Z29:Z76),0)</f>
        <v>3054</v>
      </c>
      <c r="I2" s="131"/>
      <c r="J2" s="136">
        <f>ROUNDUP(H2/1500,0)</f>
        <v>3</v>
      </c>
      <c r="K2" s="137"/>
      <c r="L2" s="142" t="e" vm="1">
        <f>INDEX('Deck A Dilution Tube Layout'!B2:B13,MATCH(J2,'Deck A Dilution Tube Layout'!A2:A13,0))</f>
        <v>#VALUE!</v>
      </c>
      <c r="M2" s="143"/>
      <c r="N2" s="143"/>
      <c r="O2" s="143"/>
      <c r="P2" s="144"/>
    </row>
    <row r="3" spans="1:16" ht="15.75" customHeight="1">
      <c r="A3" s="39">
        <f>IF('Sample Loading Table'!X30&lt;&gt;0, 'Sample Loading Table'!N30,"")</f>
        <v>2</v>
      </c>
      <c r="B3" s="39">
        <f>IF('Sample Loading Table'!X30&lt;&gt;0, 'Sample Loading Table'!P30,"")</f>
        <v>1</v>
      </c>
      <c r="C3" s="39" t="str">
        <f t="shared" ref="C3:C49" si="0">_xlfn.CONCAT(A3,B3)</f>
        <v>21</v>
      </c>
      <c r="D3" s="41" t="str">
        <f>IFERROR(_xlfn.XLOOKUP(A3,'Sample Loading Table'!$A$29:$A$78,'Sample Loading Table'!$B$29:$B$78),"")</f>
        <v>U1</v>
      </c>
      <c r="E3" s="41" t="s">
        <v>49</v>
      </c>
      <c r="F3" s="42">
        <f>IF(D3&lt;&gt;"",_xlfn.XLOOKUP(E3,'Sample Loading Table'!AA:AA,'Sample Loading Table'!W:W),"")</f>
        <v>7</v>
      </c>
      <c r="H3" s="132"/>
      <c r="I3" s="133"/>
      <c r="J3" s="138"/>
      <c r="K3" s="139"/>
      <c r="L3" s="145"/>
      <c r="M3" s="146"/>
      <c r="N3" s="146"/>
      <c r="O3" s="146"/>
      <c r="P3" s="147"/>
    </row>
    <row r="4" spans="1:16" ht="16.5" customHeight="1">
      <c r="A4" s="39">
        <f>IF('Sample Loading Table'!X31&lt;&gt;0, 'Sample Loading Table'!N31,"")</f>
        <v>3</v>
      </c>
      <c r="B4" s="39">
        <f>IF('Sample Loading Table'!X31&lt;&gt;0, 'Sample Loading Table'!P31,"")</f>
        <v>1</v>
      </c>
      <c r="C4" s="39" t="str">
        <f t="shared" si="0"/>
        <v>31</v>
      </c>
      <c r="D4" s="41" t="str">
        <f>IFERROR(_xlfn.XLOOKUP(A4,'Sample Loading Table'!$A$29:$A$78,'Sample Loading Table'!$B$29:$B$78),"")</f>
        <v>U2</v>
      </c>
      <c r="E4" s="41" t="s">
        <v>50</v>
      </c>
      <c r="F4" s="42">
        <f>IF(D4&lt;&gt;"",_xlfn.XLOOKUP(E4,'Sample Loading Table'!AA:AA,'Sample Loading Table'!W:W),"")</f>
        <v>7</v>
      </c>
      <c r="H4" s="132"/>
      <c r="I4" s="133"/>
      <c r="J4" s="138"/>
      <c r="K4" s="139"/>
      <c r="L4" s="145"/>
      <c r="M4" s="146"/>
      <c r="N4" s="146"/>
      <c r="O4" s="146"/>
      <c r="P4" s="147"/>
    </row>
    <row r="5" spans="1:16" ht="16">
      <c r="A5" s="39">
        <f>IF('Sample Loading Table'!X32&lt;&gt;0, 'Sample Loading Table'!N32,"")</f>
        <v>4</v>
      </c>
      <c r="B5" s="39">
        <f>IF('Sample Loading Table'!X32&lt;&gt;0, 'Sample Loading Table'!P32,"")</f>
        <v>1</v>
      </c>
      <c r="C5" s="39" t="str">
        <f t="shared" si="0"/>
        <v>41</v>
      </c>
      <c r="D5" s="41" t="str">
        <f>IFERROR(_xlfn.XLOOKUP(A5,'Sample Loading Table'!$A$29:$A$78,'Sample Loading Table'!$B$29:$B$78),"")</f>
        <v>U3</v>
      </c>
      <c r="E5" s="41" t="s">
        <v>51</v>
      </c>
      <c r="F5" s="42">
        <f>IF(D5&lt;&gt;"",_xlfn.XLOOKUP(E5,'Sample Loading Table'!AA:AA,'Sample Loading Table'!W:W),"")</f>
        <v>7</v>
      </c>
      <c r="H5" s="132"/>
      <c r="I5" s="133"/>
      <c r="J5" s="138"/>
      <c r="K5" s="139"/>
      <c r="L5" s="145"/>
      <c r="M5" s="146"/>
      <c r="N5" s="146"/>
      <c r="O5" s="146"/>
      <c r="P5" s="147"/>
    </row>
    <row r="6" spans="1:16" ht="16">
      <c r="A6" s="39">
        <f>IF('Sample Loading Table'!X33&lt;&gt;0, 'Sample Loading Table'!N33,"")</f>
        <v>5</v>
      </c>
      <c r="B6" s="39">
        <f>IF('Sample Loading Table'!X33&lt;&gt;0, 'Sample Loading Table'!P33,"")</f>
        <v>1</v>
      </c>
      <c r="C6" s="39" t="str">
        <f t="shared" si="0"/>
        <v>51</v>
      </c>
      <c r="D6" s="41" t="str">
        <f>IFERROR(_xlfn.XLOOKUP(A6,'Sample Loading Table'!$A$29:$A$78,'Sample Loading Table'!$B$29:$B$78),"")</f>
        <v>V31</v>
      </c>
      <c r="E6" s="41" t="s">
        <v>52</v>
      </c>
      <c r="F6" s="42">
        <f>IF(D6&lt;&gt;"",_xlfn.XLOOKUP(E6,'Sample Loading Table'!AA:AA,'Sample Loading Table'!W:W),"")</f>
        <v>7</v>
      </c>
      <c r="H6" s="132"/>
      <c r="I6" s="133"/>
      <c r="J6" s="138"/>
      <c r="K6" s="139"/>
      <c r="L6" s="145"/>
      <c r="M6" s="146"/>
      <c r="N6" s="146"/>
      <c r="O6" s="146"/>
      <c r="P6" s="147"/>
    </row>
    <row r="7" spans="1:16" ht="16">
      <c r="A7" s="39">
        <f>IF('Sample Loading Table'!X34&lt;&gt;0, 'Sample Loading Table'!N34,"")</f>
        <v>6</v>
      </c>
      <c r="B7" s="39">
        <f>IF('Sample Loading Table'!X34&lt;&gt;0, 'Sample Loading Table'!P34,"")</f>
        <v>1</v>
      </c>
      <c r="C7" s="39" t="str">
        <f t="shared" si="0"/>
        <v>61</v>
      </c>
      <c r="D7" s="41" t="str">
        <f>IFERROR(_xlfn.XLOOKUP(A7,'Sample Loading Table'!$A$29:$A$78,'Sample Loading Table'!$B$29:$B$78),"")</f>
        <v>V9</v>
      </c>
      <c r="E7" s="41" t="s">
        <v>53</v>
      </c>
      <c r="F7" s="42">
        <f>IF(D7&lt;&gt;"",_xlfn.XLOOKUP(E7,'Sample Loading Table'!AA:AA,'Sample Loading Table'!W:W),"")</f>
        <v>7</v>
      </c>
      <c r="H7" s="132"/>
      <c r="I7" s="133"/>
      <c r="J7" s="138"/>
      <c r="K7" s="139"/>
      <c r="L7" s="145"/>
      <c r="M7" s="146"/>
      <c r="N7" s="146"/>
      <c r="O7" s="146"/>
      <c r="P7" s="147"/>
    </row>
    <row r="8" spans="1:16" ht="16">
      <c r="A8" s="39">
        <f>IF('Sample Loading Table'!X35&lt;&gt;0, 'Sample Loading Table'!N35,"")</f>
        <v>7</v>
      </c>
      <c r="B8" s="39">
        <f>IF('Sample Loading Table'!X35&lt;&gt;0, 'Sample Loading Table'!P35,"")</f>
        <v>1</v>
      </c>
      <c r="C8" s="39" t="str">
        <f t="shared" si="0"/>
        <v>71</v>
      </c>
      <c r="D8" s="41" t="str">
        <f>IFERROR(_xlfn.XLOOKUP(A8,'Sample Loading Table'!$A$29:$A$78,'Sample Loading Table'!$B$29:$B$78),"")</f>
        <v>V5</v>
      </c>
      <c r="E8" s="41" t="s">
        <v>54</v>
      </c>
      <c r="F8" s="42">
        <f>IF(D8&lt;&gt;"",_xlfn.XLOOKUP(E8,'Sample Loading Table'!AA:AA,'Sample Loading Table'!W:W),"")</f>
        <v>7</v>
      </c>
      <c r="H8" s="132"/>
      <c r="I8" s="133"/>
      <c r="J8" s="138"/>
      <c r="K8" s="139"/>
      <c r="L8" s="145"/>
      <c r="M8" s="146"/>
      <c r="N8" s="146"/>
      <c r="O8" s="146"/>
      <c r="P8" s="147"/>
    </row>
    <row r="9" spans="1:16" ht="16">
      <c r="A9" s="39">
        <f>IF('Sample Loading Table'!X36&lt;&gt;0, 'Sample Loading Table'!N36,"")</f>
        <v>8</v>
      </c>
      <c r="B9" s="39">
        <f>IF('Sample Loading Table'!X36&lt;&gt;0, 'Sample Loading Table'!P36,"")</f>
        <v>1</v>
      </c>
      <c r="C9" s="39" t="str">
        <f t="shared" si="0"/>
        <v>81</v>
      </c>
      <c r="D9" s="41" t="str">
        <f>IFERROR(_xlfn.XLOOKUP(A9,'Sample Loading Table'!$A$29:$A$78,'Sample Loading Table'!$B$29:$B$78),"")</f>
        <v>V17</v>
      </c>
      <c r="E9" s="41" t="s">
        <v>55</v>
      </c>
      <c r="F9" s="42">
        <f>IF(D9&lt;&gt;"",_xlfn.XLOOKUP(E9,'Sample Loading Table'!AA:AA,'Sample Loading Table'!W:W),"")</f>
        <v>7</v>
      </c>
      <c r="H9" s="132"/>
      <c r="I9" s="133"/>
      <c r="J9" s="138"/>
      <c r="K9" s="139"/>
      <c r="L9" s="145"/>
      <c r="M9" s="146"/>
      <c r="N9" s="146"/>
      <c r="O9" s="146"/>
      <c r="P9" s="147"/>
    </row>
    <row r="10" spans="1:16" ht="16">
      <c r="A10" s="39">
        <f>IF('Sample Loading Table'!X37&lt;&gt;0, 'Sample Loading Table'!N37,"")</f>
        <v>9</v>
      </c>
      <c r="B10" s="39">
        <f>IF('Sample Loading Table'!X37&lt;&gt;0, 'Sample Loading Table'!P37,"")</f>
        <v>1</v>
      </c>
      <c r="C10" s="39" t="str">
        <f t="shared" si="0"/>
        <v>91</v>
      </c>
      <c r="D10" s="41" t="str">
        <f>IFERROR(_xlfn.XLOOKUP(A10,'Sample Loading Table'!$A$29:$A$78,'Sample Loading Table'!$B$29:$B$78),"")</f>
        <v>V23</v>
      </c>
      <c r="E10" s="41" t="s">
        <v>56</v>
      </c>
      <c r="F10" s="42">
        <f>IF(D10&lt;&gt;"",_xlfn.XLOOKUP(E10,'Sample Loading Table'!AA:AA,'Sample Loading Table'!W:W),"")</f>
        <v>15.657599999999999</v>
      </c>
      <c r="H10" s="132"/>
      <c r="I10" s="133"/>
      <c r="J10" s="138"/>
      <c r="K10" s="139"/>
      <c r="L10" s="145"/>
      <c r="M10" s="146"/>
      <c r="N10" s="146"/>
      <c r="O10" s="146"/>
      <c r="P10" s="147"/>
    </row>
    <row r="11" spans="1:16" ht="16">
      <c r="A11" s="39">
        <f>IF('Sample Loading Table'!X38&lt;&gt;0, 'Sample Loading Table'!N38,"")</f>
        <v>10</v>
      </c>
      <c r="B11" s="39">
        <f>IF('Sample Loading Table'!X38&lt;&gt;0, 'Sample Loading Table'!P38,"")</f>
        <v>1</v>
      </c>
      <c r="C11" s="39" t="str">
        <f t="shared" si="0"/>
        <v>101</v>
      </c>
      <c r="D11" s="41" t="str">
        <f>IFERROR(_xlfn.XLOOKUP(A11,'Sample Loading Table'!$A$29:$A$78,'Sample Loading Table'!$B$29:$B$78),"")</f>
        <v>V33</v>
      </c>
      <c r="E11" s="41" t="s">
        <v>57</v>
      </c>
      <c r="F11" s="42">
        <f>IF(D11&lt;&gt;"",_xlfn.XLOOKUP(E11,'Sample Loading Table'!AA:AA,'Sample Loading Table'!W:W),"")</f>
        <v>7</v>
      </c>
      <c r="H11" s="132"/>
      <c r="I11" s="133"/>
      <c r="J11" s="138"/>
      <c r="K11" s="139"/>
      <c r="L11" s="145"/>
      <c r="M11" s="146"/>
      <c r="N11" s="146"/>
      <c r="O11" s="146"/>
      <c r="P11" s="147"/>
    </row>
    <row r="12" spans="1:16" ht="16.5" thickBot="1">
      <c r="A12" s="39">
        <f>IF('Sample Loading Table'!X39&lt;&gt;0, 'Sample Loading Table'!N39,"")</f>
        <v>11</v>
      </c>
      <c r="B12" s="39">
        <f>IF('Sample Loading Table'!X39&lt;&gt;0, 'Sample Loading Table'!P39,"")</f>
        <v>1</v>
      </c>
      <c r="C12" s="39" t="str">
        <f t="shared" si="0"/>
        <v>111</v>
      </c>
      <c r="D12" s="41" t="str">
        <f>IFERROR(_xlfn.XLOOKUP(A12,'Sample Loading Table'!$A$29:$A$78,'Sample Loading Table'!$B$29:$B$78),"")</f>
        <v>U4</v>
      </c>
      <c r="E12" s="41" t="s">
        <v>58</v>
      </c>
      <c r="F12" s="42">
        <f>IF(D12&lt;&gt;"",_xlfn.XLOOKUP(E12,'Sample Loading Table'!AA:AA,'Sample Loading Table'!W:W),"")</f>
        <v>7</v>
      </c>
      <c r="H12" s="134"/>
      <c r="I12" s="135"/>
      <c r="J12" s="140"/>
      <c r="K12" s="141"/>
      <c r="L12" s="148"/>
      <c r="M12" s="149"/>
      <c r="N12" s="149"/>
      <c r="O12" s="149"/>
      <c r="P12" s="150"/>
    </row>
    <row r="13" spans="1:16" ht="16">
      <c r="A13" s="39">
        <f>IF('Sample Loading Table'!X40&lt;&gt;0, 'Sample Loading Table'!N40,"")</f>
        <v>12</v>
      </c>
      <c r="B13" s="39">
        <f>IF('Sample Loading Table'!X40&lt;&gt;0, 'Sample Loading Table'!P40,"")</f>
        <v>1</v>
      </c>
      <c r="C13" s="39" t="str">
        <f t="shared" si="0"/>
        <v>121</v>
      </c>
      <c r="D13" s="41" t="str">
        <f>IFERROR(_xlfn.XLOOKUP(A13,'Sample Loading Table'!$A$29:$A$78,'Sample Loading Table'!$B$29:$B$78),"")</f>
        <v>U5</v>
      </c>
      <c r="E13" s="41" t="s">
        <v>59</v>
      </c>
      <c r="F13" s="42">
        <f>IF(D13&lt;&gt;"",_xlfn.XLOOKUP(E13,'Sample Loading Table'!AA:AA,'Sample Loading Table'!W:W),"")</f>
        <v>7</v>
      </c>
      <c r="H13" s="126" t="str">
        <f>IF(J2&lt;=1,"","*EXTRA SAMPLE DILUTION TUBES REQUIRED TO COMPLETE INTEGRA SAMPLE NORMALIZATION*")</f>
        <v>*EXTRA SAMPLE DILUTION TUBES REQUIRED TO COMPLETE INTEGRA SAMPLE NORMALIZATION*</v>
      </c>
      <c r="I13" s="126"/>
      <c r="J13" s="126"/>
      <c r="K13" s="126"/>
      <c r="L13" s="126"/>
      <c r="M13" s="126"/>
      <c r="N13" s="126"/>
      <c r="O13" s="126"/>
      <c r="P13" s="126"/>
    </row>
    <row r="14" spans="1:16" ht="16">
      <c r="A14" s="39">
        <f>IF('Sample Loading Table'!X41&lt;&gt;0, 'Sample Loading Table'!N41,"")</f>
        <v>13</v>
      </c>
      <c r="B14" s="39">
        <f>IF('Sample Loading Table'!X41&lt;&gt;0, 'Sample Loading Table'!P41,"")</f>
        <v>1</v>
      </c>
      <c r="C14" s="39" t="str">
        <f t="shared" si="0"/>
        <v>131</v>
      </c>
      <c r="D14" s="41" t="str">
        <f>IFERROR(_xlfn.XLOOKUP(A14,'Sample Loading Table'!$A$29:$A$78,'Sample Loading Table'!$B$29:$B$78),"")</f>
        <v>U6</v>
      </c>
      <c r="E14" s="41" t="s">
        <v>60</v>
      </c>
      <c r="F14" s="42">
        <f>IF(D14&lt;&gt;"",_xlfn.XLOOKUP(E14,'Sample Loading Table'!AA:AA,'Sample Loading Table'!W:W),"")</f>
        <v>14</v>
      </c>
    </row>
    <row r="15" spans="1:16" ht="16">
      <c r="A15" s="39">
        <f>IF('Sample Loading Table'!X42&lt;&gt;0, 'Sample Loading Table'!N42,"")</f>
        <v>14</v>
      </c>
      <c r="B15" s="39">
        <f>IF('Sample Loading Table'!X42&lt;&gt;0, 'Sample Loading Table'!P42,"")</f>
        <v>1</v>
      </c>
      <c r="C15" s="39" t="str">
        <f t="shared" si="0"/>
        <v>141</v>
      </c>
      <c r="D15" s="41" t="str">
        <f>IFERROR(_xlfn.XLOOKUP(A15,'Sample Loading Table'!$A$29:$A$78,'Sample Loading Table'!$B$29:$B$78),"")</f>
        <v>U7</v>
      </c>
      <c r="E15" s="41" t="s">
        <v>61</v>
      </c>
      <c r="F15" s="42">
        <f>IF(D15&lt;&gt;"",_xlfn.XLOOKUP(E15,'Sample Loading Table'!AA:AA,'Sample Loading Table'!W:W),"")</f>
        <v>14</v>
      </c>
    </row>
    <row r="16" spans="1:16" ht="16">
      <c r="A16" s="39">
        <f>IF('Sample Loading Table'!X43&lt;&gt;0, 'Sample Loading Table'!N43,"")</f>
        <v>15</v>
      </c>
      <c r="B16" s="39">
        <f>IF('Sample Loading Table'!X43&lt;&gt;0, 'Sample Loading Table'!P43,"")</f>
        <v>1</v>
      </c>
      <c r="C16" s="39" t="str">
        <f t="shared" si="0"/>
        <v>151</v>
      </c>
      <c r="D16" s="41" t="str">
        <f>IFERROR(_xlfn.XLOOKUP(A16,'Sample Loading Table'!$A$29:$A$78,'Sample Loading Table'!$B$29:$B$78),"")</f>
        <v>U9</v>
      </c>
      <c r="E16" s="41" t="s">
        <v>62</v>
      </c>
      <c r="F16" s="42">
        <f>IF(D16&lt;&gt;"",_xlfn.XLOOKUP(E16,'Sample Loading Table'!AA:AA,'Sample Loading Table'!W:W),"")</f>
        <v>14</v>
      </c>
    </row>
    <row r="17" spans="1:6" ht="16">
      <c r="A17" s="39">
        <f>IF('Sample Loading Table'!X44&lt;&gt;0, 'Sample Loading Table'!N44,"")</f>
        <v>16</v>
      </c>
      <c r="B17" s="39">
        <f>IF('Sample Loading Table'!X44&lt;&gt;0, 'Sample Loading Table'!P44,"")</f>
        <v>1</v>
      </c>
      <c r="C17" s="39" t="str">
        <f t="shared" si="0"/>
        <v>161</v>
      </c>
      <c r="D17" s="41" t="str">
        <f>IFERROR(_xlfn.XLOOKUP(A17,'Sample Loading Table'!$A$29:$A$78,'Sample Loading Table'!$B$29:$B$78),"")</f>
        <v>V2</v>
      </c>
      <c r="E17" s="41" t="s">
        <v>63</v>
      </c>
      <c r="F17" s="42">
        <f>IF(D17&lt;&gt;"",_xlfn.XLOOKUP(E17,'Sample Loading Table'!AA:AA,'Sample Loading Table'!W:W),"")</f>
        <v>14</v>
      </c>
    </row>
    <row r="18" spans="1:6" ht="16">
      <c r="A18" s="39">
        <f>IF('Sample Loading Table'!X45&lt;&gt;0, 'Sample Loading Table'!N45,"")</f>
        <v>17</v>
      </c>
      <c r="B18" s="39">
        <f>IF('Sample Loading Table'!X45&lt;&gt;0, 'Sample Loading Table'!P45,"")</f>
        <v>1</v>
      </c>
      <c r="C18" s="39" t="str">
        <f t="shared" si="0"/>
        <v>171</v>
      </c>
      <c r="D18" s="41" t="str">
        <f>IFERROR(_xlfn.XLOOKUP(A18,'Sample Loading Table'!$A$29:$A$78,'Sample Loading Table'!$B$29:$B$78),"")</f>
        <v>P1</v>
      </c>
      <c r="E18" s="41" t="s">
        <v>64</v>
      </c>
      <c r="F18" s="42">
        <f>IF(D18&lt;&gt;"",_xlfn.XLOOKUP(E18,'Sample Loading Table'!AA:AA,'Sample Loading Table'!W:W),"")</f>
        <v>14</v>
      </c>
    </row>
    <row r="19" spans="1:6" ht="16">
      <c r="A19" s="39">
        <f>IF('Sample Loading Table'!X46&lt;&gt;0, 'Sample Loading Table'!N46,"")</f>
        <v>18</v>
      </c>
      <c r="B19" s="39">
        <f>IF('Sample Loading Table'!X46&lt;&gt;0, 'Sample Loading Table'!P46,"")</f>
        <v>1</v>
      </c>
      <c r="C19" s="39" t="str">
        <f t="shared" si="0"/>
        <v>181</v>
      </c>
      <c r="D19" s="41" t="str">
        <f>IFERROR(_xlfn.XLOOKUP(A19,'Sample Loading Table'!$A$29:$A$78,'Sample Loading Table'!$B$29:$B$78),"")</f>
        <v>P2</v>
      </c>
      <c r="E19" s="41" t="s">
        <v>65</v>
      </c>
      <c r="F19" s="42">
        <f>IF(D19&lt;&gt;"",_xlfn.XLOOKUP(E19,'Sample Loading Table'!AA:AA,'Sample Loading Table'!W:W),"")</f>
        <v>14</v>
      </c>
    </row>
    <row r="20" spans="1:6" ht="16">
      <c r="A20" s="39">
        <f>IF('Sample Loading Table'!X47&lt;&gt;0, 'Sample Loading Table'!N47,"")</f>
        <v>19</v>
      </c>
      <c r="B20" s="39">
        <f>IF('Sample Loading Table'!X47&lt;&gt;0, 'Sample Loading Table'!P47,"")</f>
        <v>1</v>
      </c>
      <c r="C20" s="39" t="str">
        <f t="shared" si="0"/>
        <v>191</v>
      </c>
      <c r="D20" s="41" t="str">
        <f>IFERROR(_xlfn.XLOOKUP(A20,'Sample Loading Table'!$A$29:$A$78,'Sample Loading Table'!$B$29:$B$78),"")</f>
        <v>C5</v>
      </c>
      <c r="E20" s="41" t="s">
        <v>66</v>
      </c>
      <c r="F20" s="42">
        <f>IF(D20&lt;&gt;"",_xlfn.XLOOKUP(E20,'Sample Loading Table'!AA:AA,'Sample Loading Table'!W:W),"")</f>
        <v>14</v>
      </c>
    </row>
    <row r="21" spans="1:6" ht="16">
      <c r="A21" s="39">
        <f>IF('Sample Loading Table'!X48&lt;&gt;0, 'Sample Loading Table'!N48,"")</f>
        <v>20</v>
      </c>
      <c r="B21" s="39">
        <f>IF('Sample Loading Table'!X48&lt;&gt;0, 'Sample Loading Table'!P48,"")</f>
        <v>1</v>
      </c>
      <c r="C21" s="39" t="str">
        <f t="shared" si="0"/>
        <v>201</v>
      </c>
      <c r="D21" s="41" t="str">
        <f>IFERROR(_xlfn.XLOOKUP(A21,'Sample Loading Table'!$A$29:$A$78,'Sample Loading Table'!$B$29:$B$78),"")</f>
        <v>C6</v>
      </c>
      <c r="E21" s="41" t="s">
        <v>67</v>
      </c>
      <c r="F21" s="42">
        <f>IF(D21&lt;&gt;"",_xlfn.XLOOKUP(E21,'Sample Loading Table'!AA:AA,'Sample Loading Table'!W:W),"")</f>
        <v>14</v>
      </c>
    </row>
    <row r="22" spans="1:6" ht="16">
      <c r="A22" s="39">
        <f>IF('Sample Loading Table'!X49&lt;&gt;0, 'Sample Loading Table'!N49,"")</f>
        <v>21</v>
      </c>
      <c r="B22" s="39">
        <f>IF('Sample Loading Table'!X49&lt;&gt;0, 'Sample Loading Table'!P49,"")</f>
        <v>1</v>
      </c>
      <c r="C22" s="39" t="str">
        <f t="shared" si="0"/>
        <v>211</v>
      </c>
      <c r="D22" s="41" t="str">
        <f>IFERROR(_xlfn.XLOOKUP(A22,'Sample Loading Table'!$A$29:$A$78,'Sample Loading Table'!$B$29:$B$78),"")</f>
        <v>C9</v>
      </c>
      <c r="E22" s="41" t="s">
        <v>68</v>
      </c>
      <c r="F22" s="42">
        <f>IF(D22&lt;&gt;"",_xlfn.XLOOKUP(E22,'Sample Loading Table'!AA:AA,'Sample Loading Table'!W:W),"")</f>
        <v>14</v>
      </c>
    </row>
    <row r="23" spans="1:6" ht="16">
      <c r="A23" s="39">
        <f>IF('Sample Loading Table'!X50&lt;&gt;0, 'Sample Loading Table'!N50,"")</f>
        <v>22</v>
      </c>
      <c r="B23" s="39">
        <f>IF('Sample Loading Table'!X50&lt;&gt;0, 'Sample Loading Table'!P50,"")</f>
        <v>1</v>
      </c>
      <c r="C23" s="39" t="str">
        <f t="shared" si="0"/>
        <v>221</v>
      </c>
      <c r="D23" s="41" t="str">
        <f>IFERROR(_xlfn.XLOOKUP(A23,'Sample Loading Table'!$A$29:$A$78,'Sample Loading Table'!$B$29:$B$78),"")</f>
        <v>C7</v>
      </c>
      <c r="E23" s="41" t="s">
        <v>69</v>
      </c>
      <c r="F23" s="42">
        <f>IF(D23&lt;&gt;"",_xlfn.XLOOKUP(E23,'Sample Loading Table'!AA:AA,'Sample Loading Table'!W:W),"")</f>
        <v>14</v>
      </c>
    </row>
    <row r="24" spans="1:6" ht="16">
      <c r="A24" s="39">
        <f>IF('Sample Loading Table'!X51&lt;&gt;0, 'Sample Loading Table'!N51,"")</f>
        <v>23</v>
      </c>
      <c r="B24" s="39">
        <f>IF('Sample Loading Table'!X51&lt;&gt;0, 'Sample Loading Table'!P51,"")</f>
        <v>1</v>
      </c>
      <c r="C24" s="39" t="str">
        <f t="shared" si="0"/>
        <v>231</v>
      </c>
      <c r="D24" s="41" t="str">
        <f>IFERROR(_xlfn.XLOOKUP(A24,'Sample Loading Table'!$A$29:$A$78,'Sample Loading Table'!$B$29:$B$78),"")</f>
        <v>C8</v>
      </c>
      <c r="E24" s="41" t="s">
        <v>70</v>
      </c>
      <c r="F24" s="42">
        <f>IF(D24&lt;&gt;"",_xlfn.XLOOKUP(E24,'Sample Loading Table'!AA:AA,'Sample Loading Table'!W:W),"")</f>
        <v>14</v>
      </c>
    </row>
    <row r="25" spans="1:6" ht="16">
      <c r="A25" s="39">
        <f>IF('Sample Loading Table'!X52&lt;&gt;0, 'Sample Loading Table'!N52,"")</f>
        <v>24</v>
      </c>
      <c r="B25" s="39">
        <f>IF('Sample Loading Table'!X52&lt;&gt;0, 'Sample Loading Table'!P52,"")</f>
        <v>1</v>
      </c>
      <c r="C25" s="39" t="str">
        <f t="shared" si="0"/>
        <v>241</v>
      </c>
      <c r="D25" s="41" t="str">
        <f>IFERROR(_xlfn.XLOOKUP(A25,'Sample Loading Table'!$A$29:$A$78,'Sample Loading Table'!$B$29:$B$78),"")</f>
        <v>C10</v>
      </c>
      <c r="E25" s="41" t="s">
        <v>71</v>
      </c>
      <c r="F25" s="42">
        <f>IF(D25&lt;&gt;"",_xlfn.XLOOKUP(E25,'Sample Loading Table'!AA:AA,'Sample Loading Table'!W:W),"")</f>
        <v>14</v>
      </c>
    </row>
    <row r="26" spans="1:6" ht="16">
      <c r="A26" s="39">
        <f>IF('Sample Loading Table'!X53&lt;&gt;0, 'Sample Loading Table'!N53,"")</f>
        <v>25</v>
      </c>
      <c r="B26" s="39">
        <f>IF('Sample Loading Table'!X53&lt;&gt;0, 'Sample Loading Table'!P53,"")</f>
        <v>1</v>
      </c>
      <c r="C26" s="39" t="str">
        <f t="shared" si="0"/>
        <v>251</v>
      </c>
      <c r="D26" s="41" t="str">
        <f>IFERROR(_xlfn.XLOOKUP(A26,'Sample Loading Table'!$A$29:$A$78,'Sample Loading Table'!$B$29:$B$78),"")</f>
        <v>C12</v>
      </c>
      <c r="E26" s="41" t="s">
        <v>72</v>
      </c>
      <c r="F26" s="42">
        <f>IF(D26&lt;&gt;"",_xlfn.XLOOKUP(E26,'Sample Loading Table'!AA:AA,'Sample Loading Table'!W:W),"")</f>
        <v>7</v>
      </c>
    </row>
    <row r="27" spans="1:6" ht="16">
      <c r="A27" s="39">
        <f>IF('Sample Loading Table'!X54&lt;&gt;0, 'Sample Loading Table'!N54,"")</f>
        <v>26</v>
      </c>
      <c r="B27" s="39">
        <f>IF('Sample Loading Table'!X54&lt;&gt;0, 'Sample Loading Table'!P54,"")</f>
        <v>1</v>
      </c>
      <c r="C27" s="39" t="str">
        <f t="shared" si="0"/>
        <v>261</v>
      </c>
      <c r="D27" s="41" t="str">
        <f>IFERROR(_xlfn.XLOOKUP(A27,'Sample Loading Table'!$A$29:$A$78,'Sample Loading Table'!$B$29:$B$78),"")</f>
        <v>C13</v>
      </c>
      <c r="E27" s="41" t="s">
        <v>73</v>
      </c>
      <c r="F27" s="42">
        <f>IF(D27&lt;&gt;"",_xlfn.XLOOKUP(E27,'Sample Loading Table'!AA:AA,'Sample Loading Table'!W:W),"")</f>
        <v>7.538844444444444</v>
      </c>
    </row>
    <row r="28" spans="1:6" ht="16">
      <c r="A28" s="39">
        <f>IF('Sample Loading Table'!X55&lt;&gt;0, 'Sample Loading Table'!N55,"")</f>
        <v>27</v>
      </c>
      <c r="B28" s="39">
        <f>IF('Sample Loading Table'!X55&lt;&gt;0, 'Sample Loading Table'!P55,"")</f>
        <v>1</v>
      </c>
      <c r="C28" s="39" t="str">
        <f t="shared" si="0"/>
        <v>271</v>
      </c>
      <c r="D28" s="41" t="str">
        <f>IFERROR(_xlfn.XLOOKUP(A28,'Sample Loading Table'!$A$29:$A$78,'Sample Loading Table'!$B$29:$B$78),"")</f>
        <v>P4</v>
      </c>
      <c r="E28" s="41" t="s">
        <v>74</v>
      </c>
      <c r="F28" s="42">
        <f>IF(D28&lt;&gt;"",_xlfn.XLOOKUP(E28,'Sample Loading Table'!AA:AA,'Sample Loading Table'!W:W),"")</f>
        <v>18.504436363636362</v>
      </c>
    </row>
    <row r="29" spans="1:6" ht="16">
      <c r="A29" s="39">
        <f>IF('Sample Loading Table'!X56&lt;&gt;0, 'Sample Loading Table'!N56,"")</f>
        <v>28</v>
      </c>
      <c r="B29" s="39">
        <f>IF('Sample Loading Table'!X56&lt;&gt;0, 'Sample Loading Table'!P56,"")</f>
        <v>1</v>
      </c>
      <c r="C29" s="39" t="str">
        <f t="shared" si="0"/>
        <v>281</v>
      </c>
      <c r="D29" s="41" t="str">
        <f>IFERROR(_xlfn.XLOOKUP(A29,'Sample Loading Table'!$A$29:$A$78,'Sample Loading Table'!$B$29:$B$78),"")</f>
        <v>P5</v>
      </c>
      <c r="E29" s="41" t="s">
        <v>75</v>
      </c>
      <c r="F29" s="42">
        <f>IF(D29&lt;&gt;"",_xlfn.XLOOKUP(E29,'Sample Loading Table'!AA:AA,'Sample Loading Table'!W:W),"")</f>
        <v>7.7297012658227837</v>
      </c>
    </row>
    <row r="30" spans="1:6" ht="16">
      <c r="A30" s="39">
        <f>IF('Sample Loading Table'!X57&lt;&gt;0, 'Sample Loading Table'!N57,"")</f>
        <v>29</v>
      </c>
      <c r="B30" s="39">
        <f>IF('Sample Loading Table'!X57&lt;&gt;0, 'Sample Loading Table'!P57,"")</f>
        <v>1</v>
      </c>
      <c r="C30" s="39" t="str">
        <f t="shared" si="0"/>
        <v>291</v>
      </c>
      <c r="D30" s="41" t="str">
        <f>IFERROR(_xlfn.XLOOKUP(A30,'Sample Loading Table'!$A$29:$A$78,'Sample Loading Table'!$B$29:$B$78),"")</f>
        <v>P6</v>
      </c>
      <c r="E30" s="41" t="s">
        <v>76</v>
      </c>
      <c r="F30" s="42">
        <f>IF(D30&lt;&gt;"",_xlfn.XLOOKUP(E30,'Sample Loading Table'!AA:AA,'Sample Loading Table'!W:W),"")</f>
        <v>7</v>
      </c>
    </row>
    <row r="31" spans="1:6" ht="16">
      <c r="A31" s="39">
        <f>IF('Sample Loading Table'!X58&lt;&gt;0, 'Sample Loading Table'!N58,"")</f>
        <v>30</v>
      </c>
      <c r="B31" s="39">
        <f>IF('Sample Loading Table'!X58&lt;&gt;0, 'Sample Loading Table'!P58,"")</f>
        <v>1</v>
      </c>
      <c r="C31" s="39" t="str">
        <f t="shared" si="0"/>
        <v>301</v>
      </c>
      <c r="D31" s="41" t="str">
        <f>IFERROR(_xlfn.XLOOKUP(A31,'Sample Loading Table'!$A$29:$A$78,'Sample Loading Table'!$B$29:$B$78),"")</f>
        <v>P7</v>
      </c>
      <c r="E31" s="41" t="s">
        <v>77</v>
      </c>
      <c r="F31" s="42">
        <f>IF(D31&lt;&gt;"",_xlfn.XLOOKUP(E31,'Sample Loading Table'!AA:AA,'Sample Loading Table'!W:W),"")</f>
        <v>8.8499478260869555</v>
      </c>
    </row>
    <row r="32" spans="1:6" ht="16">
      <c r="A32" s="39">
        <f>IF('Sample Loading Table'!X59&lt;&gt;0, 'Sample Loading Table'!N59,"")</f>
        <v>31</v>
      </c>
      <c r="B32" s="39">
        <f>IF('Sample Loading Table'!X59&lt;&gt;0, 'Sample Loading Table'!P59,"")</f>
        <v>1</v>
      </c>
      <c r="C32" s="39" t="str">
        <f t="shared" si="0"/>
        <v>311</v>
      </c>
      <c r="D32" s="41" t="str">
        <f>IFERROR(_xlfn.XLOOKUP(A32,'Sample Loading Table'!$A$29:$A$78,'Sample Loading Table'!$B$29:$B$78),"")</f>
        <v>F1</v>
      </c>
      <c r="E32" s="41" t="s">
        <v>78</v>
      </c>
      <c r="F32" s="42">
        <f>IF(D32&lt;&gt;"",_xlfn.XLOOKUP(E32,'Sample Loading Table'!AA:AA,'Sample Loading Table'!W:W),"")</f>
        <v>11.521630188679245</v>
      </c>
    </row>
    <row r="33" spans="1:6" ht="16">
      <c r="A33" s="39">
        <f>IF('Sample Loading Table'!X60&lt;&gt;0, 'Sample Loading Table'!N60,"")</f>
        <v>32</v>
      </c>
      <c r="B33" s="39">
        <f>IF('Sample Loading Table'!X60&lt;&gt;0, 'Sample Loading Table'!P60,"")</f>
        <v>1</v>
      </c>
      <c r="C33" s="39" t="str">
        <f t="shared" si="0"/>
        <v>321</v>
      </c>
      <c r="D33" s="41" t="str">
        <f>IFERROR(_xlfn.XLOOKUP(A33,'Sample Loading Table'!$A$29:$A$78,'Sample Loading Table'!$B$29:$B$78),"")</f>
        <v>F2</v>
      </c>
      <c r="E33" s="41" t="s">
        <v>79</v>
      </c>
      <c r="F33" s="42">
        <f>IF(D33&lt;&gt;"",_xlfn.XLOOKUP(E33,'Sample Loading Table'!AA:AA,'Sample Loading Table'!W:W),"")</f>
        <v>12.538940451745379</v>
      </c>
    </row>
    <row r="34" spans="1:6" ht="16">
      <c r="A34" s="39">
        <f>IF('Sample Loading Table'!X61&lt;&gt;0, 'Sample Loading Table'!N61,"")</f>
        <v>33</v>
      </c>
      <c r="B34" s="39">
        <f>IF('Sample Loading Table'!X61&lt;&gt;0, 'Sample Loading Table'!P61,"")</f>
        <v>1</v>
      </c>
      <c r="C34" s="39" t="str">
        <f t="shared" si="0"/>
        <v>331</v>
      </c>
      <c r="D34" s="41" t="str">
        <f>IFERROR(_xlfn.XLOOKUP(A34,'Sample Loading Table'!$A$29:$A$78,'Sample Loading Table'!$B$29:$B$78),"")</f>
        <v>C14</v>
      </c>
      <c r="E34" s="41" t="s">
        <v>80</v>
      </c>
      <c r="F34" s="42">
        <f>IF(D34&lt;&gt;"",_xlfn.XLOOKUP(E34,'Sample Loading Table'!AA:AA,'Sample Loading Table'!W:W),"")</f>
        <v>7</v>
      </c>
    </row>
    <row r="35" spans="1:6" ht="16">
      <c r="A35" s="39">
        <f>IF('Sample Loading Table'!X62&lt;&gt;0, 'Sample Loading Table'!N62,"")</f>
        <v>34</v>
      </c>
      <c r="B35" s="39">
        <f>IF('Sample Loading Table'!X62&lt;&gt;0, 'Sample Loading Table'!P62,"")</f>
        <v>1</v>
      </c>
      <c r="C35" s="39" t="str">
        <f t="shared" si="0"/>
        <v>341</v>
      </c>
      <c r="D35" s="41" t="str">
        <f>IFERROR(_xlfn.XLOOKUP(A35,'Sample Loading Table'!$A$29:$A$78,'Sample Loading Table'!$B$29:$B$78),"")</f>
        <v>C15</v>
      </c>
      <c r="E35" s="41" t="s">
        <v>81</v>
      </c>
      <c r="F35" s="42">
        <f>IF(D35&lt;&gt;"",_xlfn.XLOOKUP(E35,'Sample Loading Table'!AA:AA,'Sample Loading Table'!W:W),"")</f>
        <v>9.1141253731343266</v>
      </c>
    </row>
    <row r="36" spans="1:6" ht="16">
      <c r="A36" s="39">
        <f>IF('Sample Loading Table'!X63&lt;&gt;0, 'Sample Loading Table'!N63,"")</f>
        <v>35</v>
      </c>
      <c r="B36" s="39">
        <f>IF('Sample Loading Table'!X63&lt;&gt;0, 'Sample Loading Table'!P63,"")</f>
        <v>1</v>
      </c>
      <c r="C36" s="39" t="str">
        <f t="shared" si="0"/>
        <v>351</v>
      </c>
      <c r="D36" s="41" t="str">
        <f>IFERROR(_xlfn.XLOOKUP(A36,'Sample Loading Table'!$A$29:$A$78,'Sample Loading Table'!$B$29:$B$78),"")</f>
        <v>P3</v>
      </c>
      <c r="E36" s="41" t="s">
        <v>82</v>
      </c>
      <c r="F36" s="42">
        <f>IF(D36&lt;&gt;"",_xlfn.XLOOKUP(E36,'Sample Loading Table'!AA:AA,'Sample Loading Table'!W:W),"")</f>
        <v>7.7297012658227837</v>
      </c>
    </row>
    <row r="37" spans="1:6" ht="16">
      <c r="A37" s="39">
        <f>IF('Sample Loading Table'!X64&lt;&gt;0, 'Sample Loading Table'!N64,"")</f>
        <v>36</v>
      </c>
      <c r="B37" s="39">
        <f>IF('Sample Loading Table'!X64&lt;&gt;0, 'Sample Loading Table'!P64,"")</f>
        <v>1</v>
      </c>
      <c r="C37" s="39" t="str">
        <f t="shared" si="0"/>
        <v>361</v>
      </c>
      <c r="D37" s="41" t="str">
        <f>IFERROR(_xlfn.XLOOKUP(A37,'Sample Loading Table'!$A$29:$A$78,'Sample Loading Table'!$B$29:$B$78),"")</f>
        <v>C11</v>
      </c>
      <c r="E37" s="41" t="s">
        <v>83</v>
      </c>
      <c r="F37" s="42">
        <f>IF(D37&lt;&gt;"",_xlfn.XLOOKUP(E37,'Sample Loading Table'!AA:AA,'Sample Loading Table'!W:W),"")</f>
        <v>7</v>
      </c>
    </row>
    <row r="38" spans="1:6" ht="16">
      <c r="A38" s="39" t="str">
        <f>IF('Sample Loading Table'!X65&lt;&gt;0, 'Sample Loading Table'!N65,"")</f>
        <v/>
      </c>
      <c r="B38" s="39" t="str">
        <f>IF('Sample Loading Table'!X65&lt;&gt;0, 'Sample Loading Table'!P65,"")</f>
        <v/>
      </c>
      <c r="C38" s="39" t="str">
        <f t="shared" si="0"/>
        <v/>
      </c>
      <c r="D38" s="41" t="str">
        <f>IFERROR(_xlfn.XLOOKUP(A38,'Sample Loading Table'!$A$29:$A$78,'Sample Loading Table'!$B$29:$B$78),"")</f>
        <v/>
      </c>
      <c r="E38" s="41" t="s">
        <v>84</v>
      </c>
      <c r="F38" s="42" t="str">
        <f>IF(D38&lt;&gt;"",_xlfn.XLOOKUP(E38,'Sample Loading Table'!AA:AA,'Sample Loading Table'!W:W),"")</f>
        <v/>
      </c>
    </row>
    <row r="39" spans="1:6" ht="16">
      <c r="A39" s="39" t="str">
        <f>IF('Sample Loading Table'!X66&lt;&gt;0, 'Sample Loading Table'!N66,"")</f>
        <v/>
      </c>
      <c r="B39" s="39" t="str">
        <f>IF('Sample Loading Table'!X66&lt;&gt;0, 'Sample Loading Table'!P66,"")</f>
        <v/>
      </c>
      <c r="C39" s="39" t="str">
        <f t="shared" si="0"/>
        <v/>
      </c>
      <c r="D39" s="41" t="str">
        <f>IFERROR(_xlfn.XLOOKUP(A39,'Sample Loading Table'!$A$29:$A$78,'Sample Loading Table'!$B$29:$B$78),"")</f>
        <v/>
      </c>
      <c r="E39" s="41" t="s">
        <v>85</v>
      </c>
      <c r="F39" s="42" t="str">
        <f>IF(D39&lt;&gt;"",_xlfn.XLOOKUP(E39,'Sample Loading Table'!AA:AA,'Sample Loading Table'!W:W),"")</f>
        <v/>
      </c>
    </row>
    <row r="40" spans="1:6" ht="16">
      <c r="A40" s="39" t="str">
        <f>IF('Sample Loading Table'!X67&lt;&gt;0, 'Sample Loading Table'!N67,"")</f>
        <v/>
      </c>
      <c r="B40" s="39" t="str">
        <f>IF('Sample Loading Table'!X67&lt;&gt;0, 'Sample Loading Table'!P67,"")</f>
        <v/>
      </c>
      <c r="C40" s="39" t="str">
        <f t="shared" si="0"/>
        <v/>
      </c>
      <c r="D40" s="41" t="str">
        <f>IFERROR(_xlfn.XLOOKUP(A40,'Sample Loading Table'!$A$29:$A$78,'Sample Loading Table'!$B$29:$B$78),"")</f>
        <v/>
      </c>
      <c r="E40" s="41" t="s">
        <v>86</v>
      </c>
      <c r="F40" s="42" t="str">
        <f>IF(D40&lt;&gt;"",_xlfn.XLOOKUP(E40,'Sample Loading Table'!AA:AA,'Sample Loading Table'!W:W),"")</f>
        <v/>
      </c>
    </row>
    <row r="41" spans="1:6" ht="16">
      <c r="A41" s="39" t="str">
        <f>IF('Sample Loading Table'!X68&lt;&gt;0, 'Sample Loading Table'!N68,"")</f>
        <v/>
      </c>
      <c r="B41" s="39" t="str">
        <f>IF('Sample Loading Table'!X68&lt;&gt;0, 'Sample Loading Table'!P68,"")</f>
        <v/>
      </c>
      <c r="C41" s="39" t="str">
        <f t="shared" si="0"/>
        <v/>
      </c>
      <c r="D41" s="41" t="str">
        <f>IFERROR(_xlfn.XLOOKUP(A41,'Sample Loading Table'!$A$29:$A$78,'Sample Loading Table'!$B$29:$B$78),"")</f>
        <v/>
      </c>
      <c r="E41" s="41" t="s">
        <v>87</v>
      </c>
      <c r="F41" s="42" t="str">
        <f>IF(D41&lt;&gt;"",_xlfn.XLOOKUP(E41,'Sample Loading Table'!AA:AA,'Sample Loading Table'!W:W),"")</f>
        <v/>
      </c>
    </row>
    <row r="42" spans="1:6" ht="16">
      <c r="A42" s="39" t="str">
        <f>IF('Sample Loading Table'!X69&lt;&gt;0, 'Sample Loading Table'!N69,"")</f>
        <v/>
      </c>
      <c r="B42" s="39" t="str">
        <f>IF('Sample Loading Table'!X69&lt;&gt;0, 'Sample Loading Table'!P69,"")</f>
        <v/>
      </c>
      <c r="C42" s="39" t="str">
        <f t="shared" si="0"/>
        <v/>
      </c>
      <c r="D42" s="41" t="str">
        <f>IFERROR(_xlfn.XLOOKUP(A42,'Sample Loading Table'!$A$29:$A$78,'Sample Loading Table'!$B$29:$B$78),"")</f>
        <v/>
      </c>
      <c r="E42" s="41" t="s">
        <v>88</v>
      </c>
      <c r="F42" s="42" t="str">
        <f>IF(D42&lt;&gt;"",_xlfn.XLOOKUP(E42,'Sample Loading Table'!AA:AA,'Sample Loading Table'!W:W),"")</f>
        <v/>
      </c>
    </row>
    <row r="43" spans="1:6" ht="16">
      <c r="A43" s="39" t="str">
        <f>IF('Sample Loading Table'!X70&lt;&gt;0, 'Sample Loading Table'!N70,"")</f>
        <v/>
      </c>
      <c r="B43" s="39" t="str">
        <f>IF('Sample Loading Table'!X70&lt;&gt;0, 'Sample Loading Table'!P70,"")</f>
        <v/>
      </c>
      <c r="C43" s="39" t="str">
        <f t="shared" si="0"/>
        <v/>
      </c>
      <c r="D43" s="41" t="str">
        <f>IFERROR(_xlfn.XLOOKUP(A43,'Sample Loading Table'!$A$29:$A$78,'Sample Loading Table'!$B$29:$B$78),"")</f>
        <v/>
      </c>
      <c r="E43" s="41" t="s">
        <v>89</v>
      </c>
      <c r="F43" s="42" t="str">
        <f>IF(D43&lt;&gt;"",_xlfn.XLOOKUP(E43,'Sample Loading Table'!AA:AA,'Sample Loading Table'!W:W),"")</f>
        <v/>
      </c>
    </row>
    <row r="44" spans="1:6" ht="16">
      <c r="A44" s="39" t="str">
        <f>IF('Sample Loading Table'!X71&lt;&gt;0, 'Sample Loading Table'!N71,"")</f>
        <v/>
      </c>
      <c r="B44" s="39" t="str">
        <f>IF('Sample Loading Table'!X71&lt;&gt;0, 'Sample Loading Table'!P71,"")</f>
        <v/>
      </c>
      <c r="C44" s="39" t="str">
        <f t="shared" si="0"/>
        <v/>
      </c>
      <c r="D44" s="41" t="str">
        <f>IFERROR(_xlfn.XLOOKUP(A44,'Sample Loading Table'!$A$29:$A$78,'Sample Loading Table'!$B$29:$B$78),"")</f>
        <v/>
      </c>
      <c r="E44" s="41" t="s">
        <v>90</v>
      </c>
      <c r="F44" s="42" t="str">
        <f>IF(D44&lt;&gt;"",_xlfn.XLOOKUP(E44,'Sample Loading Table'!AA:AA,'Sample Loading Table'!W:W),"")</f>
        <v/>
      </c>
    </row>
    <row r="45" spans="1:6" ht="16">
      <c r="A45" s="39" t="str">
        <f>IF('Sample Loading Table'!X72&lt;&gt;0, 'Sample Loading Table'!N72,"")</f>
        <v/>
      </c>
      <c r="B45" s="39" t="str">
        <f>IF('Sample Loading Table'!X72&lt;&gt;0, 'Sample Loading Table'!P72,"")</f>
        <v/>
      </c>
      <c r="C45" s="39" t="str">
        <f t="shared" si="0"/>
        <v/>
      </c>
      <c r="D45" s="41" t="str">
        <f>IFERROR(_xlfn.XLOOKUP(A45,'Sample Loading Table'!$A$29:$A$78,'Sample Loading Table'!$B$29:$B$78),"")</f>
        <v/>
      </c>
      <c r="E45" s="41" t="s">
        <v>91</v>
      </c>
      <c r="F45" s="42" t="str">
        <f>IF(D45&lt;&gt;"",_xlfn.XLOOKUP(E45,'Sample Loading Table'!AA:AA,'Sample Loading Table'!W:W),"")</f>
        <v/>
      </c>
    </row>
    <row r="46" spans="1:6" ht="16">
      <c r="A46" s="39" t="str">
        <f>IF('Sample Loading Table'!X73&lt;&gt;0, 'Sample Loading Table'!N73,"")</f>
        <v/>
      </c>
      <c r="B46" s="39" t="str">
        <f>IF('Sample Loading Table'!X73&lt;&gt;0, 'Sample Loading Table'!P73,"")</f>
        <v/>
      </c>
      <c r="C46" s="39" t="str">
        <f t="shared" si="0"/>
        <v/>
      </c>
      <c r="D46" s="41" t="str">
        <f>IFERROR(_xlfn.XLOOKUP(A46,'Sample Loading Table'!$A$29:$A$78,'Sample Loading Table'!$B$29:$B$78),"")</f>
        <v/>
      </c>
      <c r="E46" s="41" t="s">
        <v>92</v>
      </c>
      <c r="F46" s="42" t="str">
        <f>IF(D46&lt;&gt;"",_xlfn.XLOOKUP(E46,'Sample Loading Table'!AA:AA,'Sample Loading Table'!W:W),"")</f>
        <v/>
      </c>
    </row>
    <row r="47" spans="1:6" ht="16">
      <c r="A47" s="39" t="str">
        <f>IF('Sample Loading Table'!X74&lt;&gt;0, 'Sample Loading Table'!N74,"")</f>
        <v/>
      </c>
      <c r="B47" s="39" t="str">
        <f>IF('Sample Loading Table'!X74&lt;&gt;0, 'Sample Loading Table'!P74,"")</f>
        <v/>
      </c>
      <c r="C47" s="39" t="str">
        <f t="shared" si="0"/>
        <v/>
      </c>
      <c r="D47" s="41" t="str">
        <f>IFERROR(_xlfn.XLOOKUP(A47,'Sample Loading Table'!$A$29:$A$78,'Sample Loading Table'!$B$29:$B$78),"")</f>
        <v/>
      </c>
      <c r="E47" s="41" t="s">
        <v>93</v>
      </c>
      <c r="F47" s="42" t="str">
        <f>IF(D47&lt;&gt;"",_xlfn.XLOOKUP(E47,'Sample Loading Table'!AA:AA,'Sample Loading Table'!W:W),"")</f>
        <v/>
      </c>
    </row>
    <row r="48" spans="1:6" ht="16">
      <c r="A48" s="39" t="str">
        <f>IF('Sample Loading Table'!X75&lt;&gt;0, 'Sample Loading Table'!N75,"")</f>
        <v/>
      </c>
      <c r="B48" s="39" t="str">
        <f>IF('Sample Loading Table'!X75&lt;&gt;0, 'Sample Loading Table'!P75,"")</f>
        <v/>
      </c>
      <c r="C48" s="39" t="str">
        <f t="shared" si="0"/>
        <v/>
      </c>
      <c r="D48" s="41" t="str">
        <f>IFERROR(_xlfn.XLOOKUP(A48,'Sample Loading Table'!$A$29:$A$78,'Sample Loading Table'!$B$29:$B$78),"")</f>
        <v/>
      </c>
      <c r="E48" s="41" t="s">
        <v>94</v>
      </c>
      <c r="F48" s="42" t="str">
        <f>IF(D48&lt;&gt;"",_xlfn.XLOOKUP(E48,'Sample Loading Table'!AA:AA,'Sample Loading Table'!W:W),"")</f>
        <v/>
      </c>
    </row>
    <row r="49" spans="1:6" ht="16">
      <c r="A49" s="39" t="str">
        <f>IF('Sample Loading Table'!X76&lt;&gt;0, 'Sample Loading Table'!N76,"")</f>
        <v/>
      </c>
      <c r="B49" s="39" t="str">
        <f>IF('Sample Loading Table'!X76&lt;&gt;0, 'Sample Loading Table'!P76,"")</f>
        <v/>
      </c>
      <c r="C49" s="39" t="str">
        <f t="shared" si="0"/>
        <v/>
      </c>
      <c r="D49" s="41" t="str">
        <f>IFERROR(_xlfn.XLOOKUP(A49,'Sample Loading Table'!$A$29:$A$78,'Sample Loading Table'!$B$29:$B$78),"")</f>
        <v/>
      </c>
      <c r="E49" s="41" t="s">
        <v>95</v>
      </c>
      <c r="F49" s="42" t="str">
        <f>IF(D49&lt;&gt;"",_xlfn.XLOOKUP(E49,'Sample Loading Table'!AA:AA,'Sample Loading Table'!W:W),"")</f>
        <v/>
      </c>
    </row>
    <row r="50" spans="1:6">
      <c r="D50" s="43"/>
      <c r="E50" s="43"/>
      <c r="F50" s="43"/>
    </row>
    <row r="51" spans="1:6">
      <c r="D51" s="43"/>
      <c r="E51" s="43"/>
      <c r="F51" s="43"/>
    </row>
    <row r="52" spans="1:6">
      <c r="D52" s="43"/>
      <c r="E52" s="43"/>
      <c r="F52" s="43"/>
    </row>
    <row r="53" spans="1:6">
      <c r="D53" s="43"/>
      <c r="E53" s="43"/>
      <c r="F53" s="43"/>
    </row>
    <row r="54" spans="1:6">
      <c r="D54" s="43"/>
      <c r="E54" s="43"/>
      <c r="F54" s="43"/>
    </row>
    <row r="55" spans="1:6">
      <c r="D55" s="43"/>
      <c r="E55" s="43"/>
      <c r="F55" s="43"/>
    </row>
    <row r="56" spans="1:6">
      <c r="D56" s="43"/>
      <c r="E56" s="43"/>
      <c r="F56" s="43"/>
    </row>
    <row r="57" spans="1:6">
      <c r="D57" s="43"/>
      <c r="E57" s="43"/>
      <c r="F57" s="43"/>
    </row>
    <row r="58" spans="1:6">
      <c r="D58" s="43"/>
      <c r="E58" s="43"/>
      <c r="F58" s="43"/>
    </row>
    <row r="59" spans="1:6">
      <c r="D59" s="43"/>
      <c r="E59" s="43"/>
      <c r="F59" s="43"/>
    </row>
    <row r="60" spans="1:6">
      <c r="D60" s="43"/>
      <c r="E60" s="43"/>
      <c r="F60" s="43"/>
    </row>
  </sheetData>
  <sheetProtection sheet="1" objects="1" scenarios="1"/>
  <mergeCells count="7">
    <mergeCell ref="H13:P13"/>
    <mergeCell ref="H1:I1"/>
    <mergeCell ref="J1:K1"/>
    <mergeCell ref="L1:P1"/>
    <mergeCell ref="H2:I12"/>
    <mergeCell ref="J2:K12"/>
    <mergeCell ref="L2:P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93445-F82F-41C7-83CA-706367653E48}">
  <sheetPr codeName="Sheet4"/>
  <dimension ref="A1:BP97"/>
  <sheetViews>
    <sheetView zoomScale="70" zoomScaleNormal="70" workbookViewId="0">
      <selection activeCell="G35" sqref="G35"/>
    </sheetView>
  </sheetViews>
  <sheetFormatPr defaultColWidth="8.81640625" defaultRowHeight="14.5"/>
  <cols>
    <col min="1" max="1" width="46" style="98" customWidth="1"/>
    <col min="2" max="2" width="11.7265625" bestFit="1" customWidth="1"/>
    <col min="3" max="3" width="24.1796875" bestFit="1" customWidth="1"/>
    <col min="4" max="4" width="13.81640625" bestFit="1" customWidth="1"/>
    <col min="5" max="5" width="23.26953125" bestFit="1" customWidth="1"/>
    <col min="6" max="6" width="12.81640625" bestFit="1" customWidth="1"/>
    <col min="7" max="7" width="23" style="45" bestFit="1" customWidth="1"/>
    <col min="8" max="8" width="10.1796875" bestFit="1" customWidth="1"/>
    <col min="9" max="9" width="19.7265625" bestFit="1" customWidth="1"/>
    <col min="10" max="10" width="18.81640625" bestFit="1" customWidth="1"/>
    <col min="11" max="11" width="25.453125" bestFit="1" customWidth="1"/>
    <col min="12" max="12" width="24.54296875" bestFit="1" customWidth="1"/>
    <col min="13" max="13" width="16" bestFit="1" customWidth="1"/>
    <col min="14" max="14" width="10.1796875" bestFit="1" customWidth="1"/>
    <col min="15" max="15" width="22.7265625" bestFit="1" customWidth="1"/>
    <col min="16" max="16" width="21" bestFit="1" customWidth="1"/>
    <col min="17" max="17" width="25.453125" bestFit="1" customWidth="1"/>
    <col min="18" max="18" width="21.81640625" bestFit="1" customWidth="1"/>
    <col min="19" max="19" width="20.1796875" bestFit="1" customWidth="1"/>
    <col min="20" max="20" width="24.54296875" bestFit="1" customWidth="1"/>
    <col min="21" max="21" width="25.54296875" bestFit="1" customWidth="1"/>
    <col min="22" max="22" width="28.453125" bestFit="1" customWidth="1"/>
    <col min="23" max="23" width="20.54296875" bestFit="1" customWidth="1"/>
    <col min="24" max="24" width="20.1796875" bestFit="1" customWidth="1"/>
    <col min="25" max="25" width="23.453125" bestFit="1" customWidth="1"/>
    <col min="26" max="26" width="19.7265625" bestFit="1" customWidth="1"/>
    <col min="27" max="27" width="19.26953125" bestFit="1" customWidth="1"/>
    <col min="28" max="28" width="22.54296875" bestFit="1" customWidth="1"/>
    <col min="29" max="29" width="23.54296875" bestFit="1" customWidth="1"/>
    <col min="30" max="30" width="23.453125" bestFit="1" customWidth="1"/>
    <col min="31" max="31" width="22.7265625" bestFit="1" customWidth="1"/>
    <col min="32" max="32" width="22.54296875" bestFit="1" customWidth="1"/>
    <col min="33" max="33" width="17.7265625" bestFit="1" customWidth="1"/>
    <col min="34" max="34" width="25.26953125" bestFit="1" customWidth="1"/>
    <col min="35" max="35" width="27.81640625" bestFit="1" customWidth="1"/>
    <col min="36" max="36" width="20.81640625" bestFit="1" customWidth="1"/>
    <col min="37" max="37" width="22.26953125" bestFit="1" customWidth="1"/>
    <col min="38" max="38" width="30.453125" bestFit="1" customWidth="1"/>
  </cols>
  <sheetData>
    <row r="1" spans="1:68" s="95" customFormat="1" ht="16" thickBot="1">
      <c r="A1" s="97"/>
      <c r="B1" s="96" t="s">
        <v>101</v>
      </c>
      <c r="C1" s="89" t="s">
        <v>102</v>
      </c>
      <c r="D1" s="89" t="s">
        <v>103</v>
      </c>
      <c r="E1" s="89" t="s">
        <v>104</v>
      </c>
      <c r="F1" s="89" t="s">
        <v>105</v>
      </c>
      <c r="G1" s="89" t="s">
        <v>106</v>
      </c>
      <c r="H1" s="89" t="s">
        <v>120</v>
      </c>
      <c r="I1" s="89" t="s">
        <v>121</v>
      </c>
      <c r="J1" s="89" t="s">
        <v>122</v>
      </c>
      <c r="K1" s="89" t="s">
        <v>123</v>
      </c>
      <c r="L1" s="89" t="s">
        <v>124</v>
      </c>
      <c r="M1" s="89" t="s">
        <v>125</v>
      </c>
      <c r="N1" s="89" t="s">
        <v>126</v>
      </c>
      <c r="O1" s="89" t="s">
        <v>127</v>
      </c>
      <c r="P1" s="89" t="s">
        <v>148</v>
      </c>
      <c r="Q1" s="89" t="s">
        <v>128</v>
      </c>
      <c r="R1" s="89" t="s">
        <v>129</v>
      </c>
      <c r="S1" s="89" t="s">
        <v>149</v>
      </c>
      <c r="T1" s="89" t="s">
        <v>130</v>
      </c>
      <c r="U1" s="89" t="s">
        <v>131</v>
      </c>
      <c r="V1" s="89" t="s">
        <v>132</v>
      </c>
      <c r="W1" s="89" t="s">
        <v>133</v>
      </c>
      <c r="X1" s="89" t="s">
        <v>134</v>
      </c>
      <c r="Y1" s="89" t="s">
        <v>150</v>
      </c>
      <c r="Z1" s="89" t="s">
        <v>135</v>
      </c>
      <c r="AA1" s="89" t="s">
        <v>136</v>
      </c>
      <c r="AB1" s="89" t="s">
        <v>151</v>
      </c>
      <c r="AC1" s="89" t="s">
        <v>137</v>
      </c>
      <c r="AD1" s="89" t="s">
        <v>138</v>
      </c>
      <c r="AE1" s="89" t="s">
        <v>139</v>
      </c>
      <c r="AF1" s="89" t="s">
        <v>140</v>
      </c>
      <c r="AG1" s="89" t="s">
        <v>141</v>
      </c>
      <c r="AH1" s="89" t="s">
        <v>142</v>
      </c>
      <c r="AI1" s="89" t="s">
        <v>143</v>
      </c>
      <c r="AJ1" s="89" t="s">
        <v>144</v>
      </c>
      <c r="AK1" s="89" t="s">
        <v>152</v>
      </c>
      <c r="AL1" s="89" t="s">
        <v>153</v>
      </c>
      <c r="AM1" s="92"/>
      <c r="AN1" s="93"/>
      <c r="AO1" s="93"/>
      <c r="AP1" s="92"/>
      <c r="AQ1" s="92"/>
      <c r="AR1" s="92"/>
      <c r="AS1" s="92"/>
      <c r="AT1" s="92"/>
      <c r="AU1" s="92"/>
      <c r="AV1" s="94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</row>
    <row r="2" spans="1:68">
      <c r="B2" t="s">
        <v>154</v>
      </c>
      <c r="C2" t="s">
        <v>48</v>
      </c>
      <c r="D2" t="s">
        <v>155</v>
      </c>
      <c r="E2" t="s">
        <v>2</v>
      </c>
      <c r="F2" t="s">
        <v>48</v>
      </c>
      <c r="G2" s="45">
        <v>59.169139465875375</v>
      </c>
      <c r="H2">
        <v>125</v>
      </c>
      <c r="I2">
        <v>8</v>
      </c>
      <c r="J2">
        <v>8</v>
      </c>
      <c r="K2">
        <v>0</v>
      </c>
      <c r="L2">
        <v>0</v>
      </c>
      <c r="M2" t="s">
        <v>156</v>
      </c>
      <c r="N2">
        <v>0</v>
      </c>
      <c r="O2">
        <v>31.5</v>
      </c>
      <c r="P2">
        <v>2.5</v>
      </c>
      <c r="Q2" t="s">
        <v>156</v>
      </c>
      <c r="R2">
        <v>22.9</v>
      </c>
      <c r="S2">
        <v>2</v>
      </c>
      <c r="T2" t="s">
        <v>157</v>
      </c>
      <c r="U2">
        <v>0</v>
      </c>
      <c r="V2" t="s">
        <v>156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 t="s">
        <v>156</v>
      </c>
      <c r="AH2">
        <v>0</v>
      </c>
      <c r="AI2">
        <v>0</v>
      </c>
      <c r="AJ2">
        <v>0</v>
      </c>
      <c r="AK2">
        <v>2</v>
      </c>
      <c r="AL2">
        <v>0</v>
      </c>
    </row>
    <row r="3" spans="1:68">
      <c r="B3" t="s">
        <v>185</v>
      </c>
      <c r="C3" t="s">
        <v>48</v>
      </c>
      <c r="D3" t="s">
        <v>155</v>
      </c>
      <c r="E3" t="s">
        <v>2</v>
      </c>
      <c r="F3" t="s">
        <v>49</v>
      </c>
      <c r="G3" s="45">
        <v>37.470326409495549</v>
      </c>
      <c r="H3">
        <v>125</v>
      </c>
      <c r="I3">
        <v>8</v>
      </c>
      <c r="J3">
        <v>8</v>
      </c>
      <c r="K3">
        <v>0</v>
      </c>
      <c r="L3">
        <v>0</v>
      </c>
      <c r="M3" t="s">
        <v>156</v>
      </c>
      <c r="N3">
        <v>0</v>
      </c>
      <c r="O3">
        <v>31.5</v>
      </c>
      <c r="P3">
        <v>2.5</v>
      </c>
      <c r="Q3" t="s">
        <v>156</v>
      </c>
      <c r="R3">
        <v>22.9</v>
      </c>
      <c r="S3">
        <v>2</v>
      </c>
      <c r="T3" t="s">
        <v>157</v>
      </c>
      <c r="U3">
        <v>0</v>
      </c>
      <c r="V3" t="s">
        <v>156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 t="s">
        <v>156</v>
      </c>
      <c r="AH3">
        <v>0</v>
      </c>
      <c r="AI3">
        <v>0</v>
      </c>
      <c r="AJ3">
        <v>0</v>
      </c>
      <c r="AK3">
        <v>2</v>
      </c>
      <c r="AL3">
        <v>0</v>
      </c>
    </row>
    <row r="4" spans="1:68">
      <c r="B4" t="s">
        <v>186</v>
      </c>
      <c r="C4" t="s">
        <v>48</v>
      </c>
      <c r="D4" t="s">
        <v>155</v>
      </c>
      <c r="E4" t="s">
        <v>2</v>
      </c>
      <c r="F4" t="s">
        <v>50</v>
      </c>
      <c r="G4" s="45">
        <v>48.968842729970326</v>
      </c>
      <c r="H4">
        <v>125</v>
      </c>
      <c r="I4">
        <v>8</v>
      </c>
      <c r="J4">
        <v>8</v>
      </c>
      <c r="K4">
        <v>0</v>
      </c>
      <c r="L4">
        <v>0</v>
      </c>
      <c r="M4" t="s">
        <v>156</v>
      </c>
      <c r="N4">
        <v>0</v>
      </c>
      <c r="O4">
        <v>31.5</v>
      </c>
      <c r="P4">
        <v>2.5</v>
      </c>
      <c r="Q4" t="s">
        <v>156</v>
      </c>
      <c r="R4">
        <v>22.9</v>
      </c>
      <c r="S4">
        <v>2</v>
      </c>
      <c r="T4" t="s">
        <v>157</v>
      </c>
      <c r="U4">
        <v>0</v>
      </c>
      <c r="V4" t="s">
        <v>156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 t="s">
        <v>156</v>
      </c>
      <c r="AH4">
        <v>0</v>
      </c>
      <c r="AI4">
        <v>0</v>
      </c>
      <c r="AJ4">
        <v>0</v>
      </c>
      <c r="AK4">
        <v>2</v>
      </c>
      <c r="AL4">
        <v>0</v>
      </c>
    </row>
    <row r="5" spans="1:68">
      <c r="B5" t="s">
        <v>187</v>
      </c>
      <c r="C5" t="s">
        <v>48</v>
      </c>
      <c r="D5" t="s">
        <v>155</v>
      </c>
      <c r="E5" t="s">
        <v>2</v>
      </c>
      <c r="F5" t="s">
        <v>51</v>
      </c>
      <c r="G5" s="45">
        <v>23.560830860534125</v>
      </c>
      <c r="H5">
        <v>125</v>
      </c>
      <c r="I5">
        <v>8</v>
      </c>
      <c r="J5">
        <v>8</v>
      </c>
      <c r="K5">
        <v>0</v>
      </c>
      <c r="L5">
        <v>0</v>
      </c>
      <c r="M5" t="s">
        <v>156</v>
      </c>
      <c r="N5">
        <v>0</v>
      </c>
      <c r="O5">
        <v>31.5</v>
      </c>
      <c r="P5">
        <v>2.5</v>
      </c>
      <c r="Q5" t="s">
        <v>156</v>
      </c>
      <c r="R5">
        <v>22.9</v>
      </c>
      <c r="S5">
        <v>2</v>
      </c>
      <c r="T5" t="s">
        <v>157</v>
      </c>
      <c r="U5">
        <v>0</v>
      </c>
      <c r="V5" t="s">
        <v>156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 t="s">
        <v>156</v>
      </c>
      <c r="AH5">
        <v>0</v>
      </c>
      <c r="AI5">
        <v>0</v>
      </c>
      <c r="AJ5">
        <v>0</v>
      </c>
      <c r="AK5">
        <v>2</v>
      </c>
      <c r="AL5">
        <v>0</v>
      </c>
    </row>
    <row r="6" spans="1:68">
      <c r="B6" t="s">
        <v>188</v>
      </c>
      <c r="C6" t="s">
        <v>48</v>
      </c>
      <c r="D6" t="s">
        <v>155</v>
      </c>
      <c r="E6" t="s">
        <v>2</v>
      </c>
      <c r="F6" t="s">
        <v>52</v>
      </c>
      <c r="G6" s="45">
        <v>57.685459940652819</v>
      </c>
      <c r="H6">
        <v>125</v>
      </c>
      <c r="I6">
        <v>8</v>
      </c>
      <c r="J6">
        <v>8</v>
      </c>
      <c r="K6">
        <v>0</v>
      </c>
      <c r="L6">
        <v>0</v>
      </c>
      <c r="M6" t="s">
        <v>156</v>
      </c>
      <c r="N6">
        <v>0</v>
      </c>
      <c r="O6">
        <v>31.5</v>
      </c>
      <c r="P6">
        <v>2.5</v>
      </c>
      <c r="Q6" t="s">
        <v>156</v>
      </c>
      <c r="R6">
        <v>22.9</v>
      </c>
      <c r="S6">
        <v>2</v>
      </c>
      <c r="T6" t="s">
        <v>157</v>
      </c>
      <c r="U6">
        <v>0</v>
      </c>
      <c r="V6" t="s">
        <v>156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 t="s">
        <v>156</v>
      </c>
      <c r="AH6">
        <v>0</v>
      </c>
      <c r="AI6">
        <v>0</v>
      </c>
      <c r="AJ6">
        <v>0</v>
      </c>
      <c r="AK6">
        <v>2</v>
      </c>
      <c r="AL6">
        <v>0</v>
      </c>
    </row>
    <row r="7" spans="1:68">
      <c r="B7" t="s">
        <v>189</v>
      </c>
      <c r="C7" t="s">
        <v>48</v>
      </c>
      <c r="D7" t="s">
        <v>155</v>
      </c>
      <c r="E7" t="s">
        <v>2</v>
      </c>
      <c r="F7" t="s">
        <v>53</v>
      </c>
      <c r="G7" s="45">
        <v>69.554896142433236</v>
      </c>
      <c r="H7">
        <v>125</v>
      </c>
      <c r="I7">
        <v>8</v>
      </c>
      <c r="J7">
        <v>8</v>
      </c>
      <c r="K7">
        <v>0</v>
      </c>
      <c r="L7">
        <v>0</v>
      </c>
      <c r="M7" t="s">
        <v>156</v>
      </c>
      <c r="N7">
        <v>0</v>
      </c>
      <c r="O7">
        <v>31.5</v>
      </c>
      <c r="P7">
        <v>2.5</v>
      </c>
      <c r="Q7" t="s">
        <v>156</v>
      </c>
      <c r="R7">
        <v>22.9</v>
      </c>
      <c r="S7">
        <v>2</v>
      </c>
      <c r="T7" t="s">
        <v>157</v>
      </c>
      <c r="U7">
        <v>0</v>
      </c>
      <c r="V7" t="s">
        <v>156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 t="s">
        <v>156</v>
      </c>
      <c r="AH7">
        <v>0</v>
      </c>
      <c r="AI7">
        <v>0</v>
      </c>
      <c r="AJ7">
        <v>0</v>
      </c>
      <c r="AK7">
        <v>2</v>
      </c>
      <c r="AL7">
        <v>0</v>
      </c>
    </row>
    <row r="8" spans="1:68">
      <c r="B8" t="s">
        <v>190</v>
      </c>
      <c r="C8" t="s">
        <v>48</v>
      </c>
      <c r="D8" t="s">
        <v>155</v>
      </c>
      <c r="E8" t="s">
        <v>2</v>
      </c>
      <c r="F8" t="s">
        <v>54</v>
      </c>
      <c r="G8" s="45">
        <v>26.713649851632049</v>
      </c>
      <c r="H8">
        <v>125</v>
      </c>
      <c r="I8">
        <v>8</v>
      </c>
      <c r="J8">
        <v>8</v>
      </c>
      <c r="K8">
        <v>0</v>
      </c>
      <c r="L8">
        <v>0</v>
      </c>
      <c r="M8" t="s">
        <v>156</v>
      </c>
      <c r="N8">
        <v>0</v>
      </c>
      <c r="O8">
        <v>31.5</v>
      </c>
      <c r="P8">
        <v>2.5</v>
      </c>
      <c r="Q8" t="s">
        <v>156</v>
      </c>
      <c r="R8">
        <v>22.9</v>
      </c>
      <c r="S8">
        <v>2</v>
      </c>
      <c r="T8" t="s">
        <v>157</v>
      </c>
      <c r="U8">
        <v>0</v>
      </c>
      <c r="V8" t="s">
        <v>156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 t="s">
        <v>156</v>
      </c>
      <c r="AH8">
        <v>0</v>
      </c>
      <c r="AI8">
        <v>0</v>
      </c>
      <c r="AJ8">
        <v>0</v>
      </c>
      <c r="AK8">
        <v>2</v>
      </c>
      <c r="AL8">
        <v>0</v>
      </c>
    </row>
    <row r="9" spans="1:68">
      <c r="B9" t="s">
        <v>191</v>
      </c>
      <c r="C9" t="s">
        <v>48</v>
      </c>
      <c r="D9" t="s">
        <v>155</v>
      </c>
      <c r="E9" t="s">
        <v>2</v>
      </c>
      <c r="F9" t="s">
        <v>55</v>
      </c>
      <c r="G9" s="45">
        <v>27.084569732937688</v>
      </c>
      <c r="H9">
        <v>125</v>
      </c>
      <c r="I9">
        <v>8</v>
      </c>
      <c r="J9">
        <v>8</v>
      </c>
      <c r="K9">
        <v>0</v>
      </c>
      <c r="L9">
        <v>0</v>
      </c>
      <c r="M9" t="s">
        <v>156</v>
      </c>
      <c r="N9">
        <v>0</v>
      </c>
      <c r="O9">
        <v>31.5</v>
      </c>
      <c r="P9">
        <v>2.5</v>
      </c>
      <c r="Q9" t="s">
        <v>156</v>
      </c>
      <c r="R9">
        <v>22.9</v>
      </c>
      <c r="S9">
        <v>2</v>
      </c>
      <c r="T9" t="s">
        <v>157</v>
      </c>
      <c r="U9">
        <v>0</v>
      </c>
      <c r="V9" t="s">
        <v>156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 t="s">
        <v>156</v>
      </c>
      <c r="AH9">
        <v>0</v>
      </c>
      <c r="AI9">
        <v>0</v>
      </c>
      <c r="AJ9">
        <v>0</v>
      </c>
      <c r="AK9">
        <v>2</v>
      </c>
      <c r="AL9">
        <v>0</v>
      </c>
    </row>
    <row r="10" spans="1:68">
      <c r="B10" t="s">
        <v>192</v>
      </c>
      <c r="C10" t="s">
        <v>48</v>
      </c>
      <c r="D10" t="s">
        <v>155</v>
      </c>
      <c r="E10" t="s">
        <v>2</v>
      </c>
      <c r="F10" t="s">
        <v>56</v>
      </c>
      <c r="G10" s="45">
        <v>4.4160000000000004</v>
      </c>
      <c r="H10">
        <v>125</v>
      </c>
      <c r="I10">
        <v>8</v>
      </c>
      <c r="J10">
        <v>8</v>
      </c>
      <c r="K10">
        <v>0</v>
      </c>
      <c r="L10">
        <v>0</v>
      </c>
      <c r="M10" t="s">
        <v>156</v>
      </c>
      <c r="N10">
        <v>0</v>
      </c>
      <c r="O10">
        <v>31.5</v>
      </c>
      <c r="P10">
        <v>2.5</v>
      </c>
      <c r="Q10" t="s">
        <v>156</v>
      </c>
      <c r="R10">
        <v>22.9</v>
      </c>
      <c r="S10">
        <v>2</v>
      </c>
      <c r="T10" t="s">
        <v>157</v>
      </c>
      <c r="U10">
        <v>0</v>
      </c>
      <c r="V10" t="s">
        <v>156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 t="s">
        <v>156</v>
      </c>
      <c r="AH10">
        <v>0</v>
      </c>
      <c r="AI10">
        <v>0</v>
      </c>
      <c r="AJ10">
        <v>0</v>
      </c>
      <c r="AK10">
        <v>2</v>
      </c>
      <c r="AL10">
        <v>0</v>
      </c>
      <c r="AO10" s="90"/>
    </row>
    <row r="11" spans="1:68">
      <c r="B11" t="s">
        <v>193</v>
      </c>
      <c r="C11" t="s">
        <v>48</v>
      </c>
      <c r="D11" t="s">
        <v>155</v>
      </c>
      <c r="E11" t="s">
        <v>2</v>
      </c>
      <c r="F11" t="s">
        <v>57</v>
      </c>
      <c r="G11" s="45">
        <v>51.866952789699567</v>
      </c>
      <c r="H11">
        <v>125</v>
      </c>
      <c r="I11">
        <v>8</v>
      </c>
      <c r="J11">
        <v>8</v>
      </c>
      <c r="K11">
        <v>0</v>
      </c>
      <c r="L11">
        <v>0</v>
      </c>
      <c r="M11" t="s">
        <v>156</v>
      </c>
      <c r="N11">
        <v>0</v>
      </c>
      <c r="O11">
        <v>31.5</v>
      </c>
      <c r="P11">
        <v>2.5</v>
      </c>
      <c r="Q11" t="s">
        <v>156</v>
      </c>
      <c r="R11">
        <v>22.9</v>
      </c>
      <c r="S11">
        <v>2</v>
      </c>
      <c r="T11" t="s">
        <v>157</v>
      </c>
      <c r="U11">
        <v>0</v>
      </c>
      <c r="V11" t="s">
        <v>156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 t="s">
        <v>156</v>
      </c>
      <c r="AH11">
        <v>0</v>
      </c>
      <c r="AI11">
        <v>0</v>
      </c>
      <c r="AJ11">
        <v>0</v>
      </c>
      <c r="AK11">
        <v>2</v>
      </c>
      <c r="AL11">
        <v>0</v>
      </c>
    </row>
    <row r="12" spans="1:68">
      <c r="B12" t="s">
        <v>194</v>
      </c>
      <c r="C12" t="s">
        <v>48</v>
      </c>
      <c r="D12" t="s">
        <v>155</v>
      </c>
      <c r="E12" t="s">
        <v>2</v>
      </c>
      <c r="F12" t="s">
        <v>58</v>
      </c>
      <c r="G12" s="45">
        <v>115.17167381974249</v>
      </c>
      <c r="H12">
        <v>125</v>
      </c>
      <c r="I12">
        <v>8</v>
      </c>
      <c r="J12">
        <v>8</v>
      </c>
      <c r="K12">
        <v>0</v>
      </c>
      <c r="L12">
        <v>0</v>
      </c>
      <c r="M12" t="s">
        <v>156</v>
      </c>
      <c r="N12">
        <v>0</v>
      </c>
      <c r="O12">
        <v>31.5</v>
      </c>
      <c r="P12">
        <v>2.5</v>
      </c>
      <c r="Q12" t="s">
        <v>156</v>
      </c>
      <c r="R12">
        <v>22.9</v>
      </c>
      <c r="S12">
        <v>2</v>
      </c>
      <c r="T12" t="s">
        <v>157</v>
      </c>
      <c r="U12">
        <v>0</v>
      </c>
      <c r="V12" t="s">
        <v>156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 t="s">
        <v>156</v>
      </c>
      <c r="AH12">
        <v>0</v>
      </c>
      <c r="AI12">
        <v>0</v>
      </c>
      <c r="AJ12">
        <v>0</v>
      </c>
      <c r="AK12">
        <v>2</v>
      </c>
      <c r="AL12">
        <v>0</v>
      </c>
    </row>
    <row r="13" spans="1:68">
      <c r="B13" t="s">
        <v>195</v>
      </c>
      <c r="C13" t="s">
        <v>48</v>
      </c>
      <c r="D13" t="s">
        <v>155</v>
      </c>
      <c r="E13" t="s">
        <v>2</v>
      </c>
      <c r="F13" t="s">
        <v>59</v>
      </c>
      <c r="G13" s="45">
        <v>90.135908440629464</v>
      </c>
      <c r="H13">
        <v>125</v>
      </c>
      <c r="I13">
        <v>8</v>
      </c>
      <c r="J13">
        <v>8</v>
      </c>
      <c r="K13">
        <v>0</v>
      </c>
      <c r="L13">
        <v>0</v>
      </c>
      <c r="M13" t="s">
        <v>156</v>
      </c>
      <c r="N13">
        <v>0</v>
      </c>
      <c r="O13">
        <v>31.5</v>
      </c>
      <c r="P13">
        <v>2.5</v>
      </c>
      <c r="Q13" t="s">
        <v>156</v>
      </c>
      <c r="R13">
        <v>22.9</v>
      </c>
      <c r="S13">
        <v>2</v>
      </c>
      <c r="T13" t="s">
        <v>157</v>
      </c>
      <c r="U13">
        <v>0</v>
      </c>
      <c r="V13" t="s">
        <v>156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 t="s">
        <v>156</v>
      </c>
      <c r="AH13">
        <v>0</v>
      </c>
      <c r="AI13">
        <v>0</v>
      </c>
      <c r="AJ13">
        <v>0</v>
      </c>
      <c r="AK13">
        <v>2</v>
      </c>
      <c r="AL13">
        <v>0</v>
      </c>
    </row>
    <row r="14" spans="1:68">
      <c r="B14" t="s">
        <v>196</v>
      </c>
      <c r="C14" t="s">
        <v>48</v>
      </c>
      <c r="D14" t="s">
        <v>155</v>
      </c>
      <c r="E14" t="s">
        <v>2</v>
      </c>
      <c r="F14" t="s">
        <v>60</v>
      </c>
      <c r="G14" s="45">
        <v>187.06008583690988</v>
      </c>
      <c r="H14">
        <v>1250</v>
      </c>
      <c r="I14">
        <v>8</v>
      </c>
      <c r="J14">
        <v>8</v>
      </c>
      <c r="K14">
        <v>0</v>
      </c>
      <c r="L14">
        <v>0</v>
      </c>
      <c r="M14" t="s">
        <v>156</v>
      </c>
      <c r="N14">
        <v>0</v>
      </c>
      <c r="O14">
        <v>31.5</v>
      </c>
      <c r="P14">
        <v>2.5</v>
      </c>
      <c r="Q14" t="s">
        <v>156</v>
      </c>
      <c r="R14">
        <v>22.9</v>
      </c>
      <c r="S14">
        <v>2</v>
      </c>
      <c r="T14" t="s">
        <v>157</v>
      </c>
      <c r="U14">
        <v>0</v>
      </c>
      <c r="V14" t="s">
        <v>156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 t="s">
        <v>156</v>
      </c>
      <c r="AH14">
        <v>0</v>
      </c>
      <c r="AI14">
        <v>0</v>
      </c>
      <c r="AJ14">
        <v>0</v>
      </c>
      <c r="AK14">
        <v>2</v>
      </c>
      <c r="AL14">
        <v>0</v>
      </c>
    </row>
    <row r="15" spans="1:68">
      <c r="B15" t="s">
        <v>196</v>
      </c>
      <c r="C15" t="s">
        <v>48</v>
      </c>
      <c r="D15" t="s">
        <v>155</v>
      </c>
      <c r="E15" t="s">
        <v>2</v>
      </c>
      <c r="F15" t="s">
        <v>61</v>
      </c>
      <c r="G15" s="45">
        <v>187.06008583690988</v>
      </c>
      <c r="H15">
        <v>1250</v>
      </c>
      <c r="I15">
        <v>8</v>
      </c>
      <c r="J15">
        <v>8</v>
      </c>
      <c r="K15">
        <v>0</v>
      </c>
      <c r="L15">
        <v>0</v>
      </c>
      <c r="M15" t="s">
        <v>156</v>
      </c>
      <c r="N15">
        <v>0</v>
      </c>
      <c r="O15">
        <v>31.5</v>
      </c>
      <c r="P15">
        <v>2.5</v>
      </c>
      <c r="Q15" t="s">
        <v>156</v>
      </c>
      <c r="R15">
        <v>22.9</v>
      </c>
      <c r="S15">
        <v>2</v>
      </c>
      <c r="T15" t="s">
        <v>157</v>
      </c>
      <c r="U15">
        <v>0</v>
      </c>
      <c r="V15" t="s">
        <v>156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 t="s">
        <v>156</v>
      </c>
      <c r="AH15">
        <v>0</v>
      </c>
      <c r="AI15">
        <v>0</v>
      </c>
      <c r="AJ15">
        <v>0</v>
      </c>
      <c r="AK15">
        <v>2</v>
      </c>
      <c r="AL15">
        <v>0</v>
      </c>
    </row>
    <row r="16" spans="1:68">
      <c r="B16" t="s">
        <v>197</v>
      </c>
      <c r="C16" t="s">
        <v>48</v>
      </c>
      <c r="D16" t="s">
        <v>155</v>
      </c>
      <c r="E16" t="s">
        <v>2</v>
      </c>
      <c r="F16" t="s">
        <v>62</v>
      </c>
      <c r="G16" s="45">
        <v>130.90844062947068</v>
      </c>
      <c r="H16">
        <v>1250</v>
      </c>
      <c r="I16">
        <v>8</v>
      </c>
      <c r="J16">
        <v>8</v>
      </c>
      <c r="K16">
        <v>0</v>
      </c>
      <c r="L16">
        <v>0</v>
      </c>
      <c r="M16" t="s">
        <v>156</v>
      </c>
      <c r="N16">
        <v>0</v>
      </c>
      <c r="O16">
        <v>31.5</v>
      </c>
      <c r="P16">
        <v>2.5</v>
      </c>
      <c r="Q16" t="s">
        <v>156</v>
      </c>
      <c r="R16">
        <v>22.9</v>
      </c>
      <c r="S16">
        <v>2</v>
      </c>
      <c r="T16" t="s">
        <v>157</v>
      </c>
      <c r="U16">
        <v>0</v>
      </c>
      <c r="V16" t="s">
        <v>156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 t="s">
        <v>156</v>
      </c>
      <c r="AH16">
        <v>0</v>
      </c>
      <c r="AI16">
        <v>0</v>
      </c>
      <c r="AJ16">
        <v>0</v>
      </c>
      <c r="AK16">
        <v>2</v>
      </c>
      <c r="AL16">
        <v>0</v>
      </c>
    </row>
    <row r="17" spans="2:38">
      <c r="B17" t="s">
        <v>197</v>
      </c>
      <c r="C17" t="s">
        <v>48</v>
      </c>
      <c r="D17" t="s">
        <v>155</v>
      </c>
      <c r="E17" t="s">
        <v>2</v>
      </c>
      <c r="F17" t="s">
        <v>63</v>
      </c>
      <c r="G17" s="45">
        <v>130.90844062947068</v>
      </c>
      <c r="H17">
        <v>1250</v>
      </c>
      <c r="I17">
        <v>8</v>
      </c>
      <c r="J17">
        <v>8</v>
      </c>
      <c r="K17">
        <v>0</v>
      </c>
      <c r="L17">
        <v>0</v>
      </c>
      <c r="M17" t="s">
        <v>156</v>
      </c>
      <c r="N17">
        <v>0</v>
      </c>
      <c r="O17">
        <v>31.5</v>
      </c>
      <c r="P17">
        <v>2.5</v>
      </c>
      <c r="Q17" t="s">
        <v>156</v>
      </c>
      <c r="R17">
        <v>22.9</v>
      </c>
      <c r="S17">
        <v>2</v>
      </c>
      <c r="T17" t="s">
        <v>157</v>
      </c>
      <c r="U17">
        <v>0</v>
      </c>
      <c r="V17" t="s">
        <v>156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 t="s">
        <v>156</v>
      </c>
      <c r="AH17">
        <v>0</v>
      </c>
      <c r="AI17">
        <v>0</v>
      </c>
      <c r="AJ17">
        <v>0</v>
      </c>
      <c r="AK17">
        <v>2</v>
      </c>
      <c r="AL17">
        <v>0</v>
      </c>
    </row>
    <row r="18" spans="2:38">
      <c r="B18" t="s">
        <v>198</v>
      </c>
      <c r="C18" t="s">
        <v>48</v>
      </c>
      <c r="D18" t="s">
        <v>155</v>
      </c>
      <c r="E18" t="s">
        <v>2</v>
      </c>
      <c r="F18" t="s">
        <v>64</v>
      </c>
      <c r="G18" s="45">
        <v>85.486409155937054</v>
      </c>
      <c r="H18">
        <v>125</v>
      </c>
      <c r="I18">
        <v>8</v>
      </c>
      <c r="J18">
        <v>8</v>
      </c>
      <c r="K18">
        <v>0</v>
      </c>
      <c r="L18">
        <v>0</v>
      </c>
      <c r="M18" t="s">
        <v>156</v>
      </c>
      <c r="N18">
        <v>0</v>
      </c>
      <c r="O18">
        <v>31.5</v>
      </c>
      <c r="P18">
        <v>2.5</v>
      </c>
      <c r="Q18" t="s">
        <v>156</v>
      </c>
      <c r="R18">
        <v>22.9</v>
      </c>
      <c r="S18">
        <v>2</v>
      </c>
      <c r="T18" t="s">
        <v>157</v>
      </c>
      <c r="U18">
        <v>0</v>
      </c>
      <c r="V18" t="s">
        <v>156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 t="s">
        <v>156</v>
      </c>
      <c r="AH18">
        <v>0</v>
      </c>
      <c r="AI18">
        <v>0</v>
      </c>
      <c r="AJ18">
        <v>0</v>
      </c>
      <c r="AK18">
        <v>2</v>
      </c>
      <c r="AL18">
        <v>0</v>
      </c>
    </row>
    <row r="19" spans="2:38">
      <c r="B19" t="s">
        <v>198</v>
      </c>
      <c r="C19" t="s">
        <v>48</v>
      </c>
      <c r="D19" t="s">
        <v>155</v>
      </c>
      <c r="E19" t="s">
        <v>2</v>
      </c>
      <c r="F19" t="s">
        <v>65</v>
      </c>
      <c r="G19" s="45">
        <v>85.486409155937054</v>
      </c>
      <c r="H19">
        <v>125</v>
      </c>
      <c r="I19">
        <v>8</v>
      </c>
      <c r="J19">
        <v>8</v>
      </c>
      <c r="K19">
        <v>0</v>
      </c>
      <c r="L19">
        <v>0</v>
      </c>
      <c r="M19" t="s">
        <v>156</v>
      </c>
      <c r="N19">
        <v>0</v>
      </c>
      <c r="O19">
        <v>31.5</v>
      </c>
      <c r="P19">
        <v>2.5</v>
      </c>
      <c r="Q19" t="s">
        <v>156</v>
      </c>
      <c r="R19">
        <v>22.9</v>
      </c>
      <c r="S19">
        <v>2</v>
      </c>
      <c r="T19" t="s">
        <v>157</v>
      </c>
      <c r="U19">
        <v>0</v>
      </c>
      <c r="V19" t="s">
        <v>156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 t="s">
        <v>156</v>
      </c>
      <c r="AH19">
        <v>0</v>
      </c>
      <c r="AI19">
        <v>0</v>
      </c>
      <c r="AJ19">
        <v>0</v>
      </c>
      <c r="AK19">
        <v>2</v>
      </c>
      <c r="AL19">
        <v>0</v>
      </c>
    </row>
    <row r="20" spans="2:38">
      <c r="B20" t="s">
        <v>199</v>
      </c>
      <c r="C20" t="s">
        <v>48</v>
      </c>
      <c r="D20" t="s">
        <v>200</v>
      </c>
      <c r="E20" t="s">
        <v>2</v>
      </c>
      <c r="F20" t="s">
        <v>66</v>
      </c>
      <c r="G20" s="45">
        <v>144.14163090128756</v>
      </c>
      <c r="H20">
        <v>1250</v>
      </c>
      <c r="I20">
        <v>8</v>
      </c>
      <c r="J20">
        <v>8</v>
      </c>
      <c r="K20">
        <v>0</v>
      </c>
      <c r="L20">
        <v>0</v>
      </c>
      <c r="M20" t="s">
        <v>156</v>
      </c>
      <c r="N20">
        <v>0</v>
      </c>
      <c r="O20">
        <v>31.5</v>
      </c>
      <c r="P20">
        <v>2.5</v>
      </c>
      <c r="Q20" t="s">
        <v>156</v>
      </c>
      <c r="R20">
        <v>22.9</v>
      </c>
      <c r="S20">
        <v>2</v>
      </c>
      <c r="T20" t="s">
        <v>157</v>
      </c>
      <c r="U20">
        <v>0</v>
      </c>
      <c r="V20" t="s">
        <v>156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 t="s">
        <v>156</v>
      </c>
      <c r="AH20">
        <v>0</v>
      </c>
      <c r="AI20">
        <v>0</v>
      </c>
      <c r="AJ20">
        <v>0</v>
      </c>
      <c r="AK20">
        <v>2</v>
      </c>
      <c r="AL20">
        <v>0</v>
      </c>
    </row>
    <row r="21" spans="2:38">
      <c r="B21" t="s">
        <v>199</v>
      </c>
      <c r="C21" t="s">
        <v>48</v>
      </c>
      <c r="D21" t="s">
        <v>200</v>
      </c>
      <c r="E21" t="s">
        <v>2</v>
      </c>
      <c r="F21" t="s">
        <v>67</v>
      </c>
      <c r="G21" s="45">
        <v>144.14163090128756</v>
      </c>
      <c r="H21">
        <v>1250</v>
      </c>
      <c r="I21">
        <v>8</v>
      </c>
      <c r="J21">
        <v>8</v>
      </c>
      <c r="K21">
        <v>0</v>
      </c>
      <c r="L21">
        <v>0</v>
      </c>
      <c r="M21" t="s">
        <v>156</v>
      </c>
      <c r="N21">
        <v>0</v>
      </c>
      <c r="O21">
        <v>31.5</v>
      </c>
      <c r="P21">
        <v>2.5</v>
      </c>
      <c r="Q21" t="s">
        <v>156</v>
      </c>
      <c r="R21">
        <v>22.9</v>
      </c>
      <c r="S21">
        <v>2</v>
      </c>
      <c r="T21" t="s">
        <v>157</v>
      </c>
      <c r="U21">
        <v>0</v>
      </c>
      <c r="V21" t="s">
        <v>156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 t="s">
        <v>156</v>
      </c>
      <c r="AH21">
        <v>0</v>
      </c>
      <c r="AI21">
        <v>0</v>
      </c>
      <c r="AJ21">
        <v>0</v>
      </c>
      <c r="AK21">
        <v>2</v>
      </c>
      <c r="AL21">
        <v>0</v>
      </c>
    </row>
    <row r="22" spans="2:38">
      <c r="B22" t="s">
        <v>201</v>
      </c>
      <c r="C22" t="s">
        <v>48</v>
      </c>
      <c r="D22" t="s">
        <v>200</v>
      </c>
      <c r="E22" t="s">
        <v>2</v>
      </c>
      <c r="F22" t="s">
        <v>68</v>
      </c>
      <c r="G22" s="45">
        <v>63.311874105865527</v>
      </c>
      <c r="H22">
        <v>125</v>
      </c>
      <c r="I22">
        <v>8</v>
      </c>
      <c r="J22">
        <v>8</v>
      </c>
      <c r="K22">
        <v>0</v>
      </c>
      <c r="L22">
        <v>0</v>
      </c>
      <c r="M22" t="s">
        <v>156</v>
      </c>
      <c r="N22">
        <v>0</v>
      </c>
      <c r="O22">
        <v>31.5</v>
      </c>
      <c r="P22">
        <v>2.5</v>
      </c>
      <c r="Q22" t="s">
        <v>156</v>
      </c>
      <c r="R22">
        <v>22.9</v>
      </c>
      <c r="S22">
        <v>2</v>
      </c>
      <c r="T22" t="s">
        <v>157</v>
      </c>
      <c r="U22">
        <v>0</v>
      </c>
      <c r="V22" t="s">
        <v>156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 t="s">
        <v>156</v>
      </c>
      <c r="AH22">
        <v>0</v>
      </c>
      <c r="AI22">
        <v>0</v>
      </c>
      <c r="AJ22">
        <v>0</v>
      </c>
      <c r="AK22">
        <v>2</v>
      </c>
      <c r="AL22">
        <v>0</v>
      </c>
    </row>
    <row r="23" spans="2:38">
      <c r="B23" t="s">
        <v>201</v>
      </c>
      <c r="C23" t="s">
        <v>48</v>
      </c>
      <c r="D23" t="s">
        <v>200</v>
      </c>
      <c r="E23" t="s">
        <v>2</v>
      </c>
      <c r="F23" t="s">
        <v>69</v>
      </c>
      <c r="G23" s="45">
        <v>63.311874105865527</v>
      </c>
      <c r="H23">
        <v>125</v>
      </c>
      <c r="I23">
        <v>8</v>
      </c>
      <c r="J23">
        <v>8</v>
      </c>
      <c r="K23">
        <v>0</v>
      </c>
      <c r="L23">
        <v>0</v>
      </c>
      <c r="M23" t="s">
        <v>156</v>
      </c>
      <c r="N23">
        <v>0</v>
      </c>
      <c r="O23">
        <v>31.5</v>
      </c>
      <c r="P23">
        <v>2.5</v>
      </c>
      <c r="Q23" t="s">
        <v>156</v>
      </c>
      <c r="R23">
        <v>22.9</v>
      </c>
      <c r="S23">
        <v>2</v>
      </c>
      <c r="T23" t="s">
        <v>157</v>
      </c>
      <c r="U23">
        <v>0</v>
      </c>
      <c r="V23" t="s">
        <v>156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 t="s">
        <v>156</v>
      </c>
      <c r="AH23">
        <v>0</v>
      </c>
      <c r="AI23">
        <v>0</v>
      </c>
      <c r="AJ23">
        <v>0</v>
      </c>
      <c r="AK23">
        <v>2</v>
      </c>
      <c r="AL23">
        <v>0</v>
      </c>
    </row>
    <row r="24" spans="2:38">
      <c r="B24" t="s">
        <v>202</v>
      </c>
      <c r="C24" t="s">
        <v>48</v>
      </c>
      <c r="D24" t="s">
        <v>200</v>
      </c>
      <c r="E24" t="s">
        <v>2</v>
      </c>
      <c r="F24" t="s">
        <v>70</v>
      </c>
      <c r="G24" s="45">
        <v>63.454935622317592</v>
      </c>
      <c r="H24">
        <v>125</v>
      </c>
      <c r="I24">
        <v>8</v>
      </c>
      <c r="J24">
        <v>8</v>
      </c>
      <c r="K24">
        <v>0</v>
      </c>
      <c r="L24">
        <v>0</v>
      </c>
      <c r="M24" t="s">
        <v>156</v>
      </c>
      <c r="N24">
        <v>0</v>
      </c>
      <c r="O24">
        <v>31.5</v>
      </c>
      <c r="P24">
        <v>2.5</v>
      </c>
      <c r="Q24" t="s">
        <v>156</v>
      </c>
      <c r="R24">
        <v>22.9</v>
      </c>
      <c r="S24">
        <v>2</v>
      </c>
      <c r="T24" t="s">
        <v>157</v>
      </c>
      <c r="U24">
        <v>0</v>
      </c>
      <c r="V24" t="s">
        <v>156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 t="s">
        <v>156</v>
      </c>
      <c r="AH24">
        <v>0</v>
      </c>
      <c r="AI24">
        <v>0</v>
      </c>
      <c r="AJ24">
        <v>0</v>
      </c>
      <c r="AK24">
        <v>2</v>
      </c>
      <c r="AL24">
        <v>0</v>
      </c>
    </row>
    <row r="25" spans="2:38">
      <c r="B25" t="s">
        <v>202</v>
      </c>
      <c r="C25" t="s">
        <v>48</v>
      </c>
      <c r="D25" t="s">
        <v>200</v>
      </c>
      <c r="E25" t="s">
        <v>2</v>
      </c>
      <c r="F25" t="s">
        <v>71</v>
      </c>
      <c r="G25" s="45">
        <v>63.454935622317592</v>
      </c>
      <c r="H25">
        <v>125</v>
      </c>
      <c r="I25">
        <v>8</v>
      </c>
      <c r="J25">
        <v>8</v>
      </c>
      <c r="K25">
        <v>0</v>
      </c>
      <c r="L25">
        <v>0</v>
      </c>
      <c r="M25" t="s">
        <v>156</v>
      </c>
      <c r="N25">
        <v>0</v>
      </c>
      <c r="O25">
        <v>31.5</v>
      </c>
      <c r="P25">
        <v>2.5</v>
      </c>
      <c r="Q25" t="s">
        <v>156</v>
      </c>
      <c r="R25">
        <v>22.9</v>
      </c>
      <c r="S25">
        <v>2</v>
      </c>
      <c r="T25" t="s">
        <v>157</v>
      </c>
      <c r="U25">
        <v>0</v>
      </c>
      <c r="V25" t="s">
        <v>156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 t="s">
        <v>156</v>
      </c>
      <c r="AH25">
        <v>0</v>
      </c>
      <c r="AI25">
        <v>0</v>
      </c>
      <c r="AJ25">
        <v>0</v>
      </c>
      <c r="AK25">
        <v>2</v>
      </c>
      <c r="AL25">
        <v>0</v>
      </c>
    </row>
    <row r="26" spans="2:38">
      <c r="B26" t="s">
        <v>203</v>
      </c>
      <c r="C26" t="s">
        <v>48</v>
      </c>
      <c r="D26" t="s">
        <v>200</v>
      </c>
      <c r="E26" t="s">
        <v>2</v>
      </c>
      <c r="F26" t="s">
        <v>72</v>
      </c>
      <c r="G26" s="45">
        <v>69.749642346208873</v>
      </c>
      <c r="H26">
        <v>125</v>
      </c>
      <c r="I26">
        <v>8</v>
      </c>
      <c r="J26">
        <v>8</v>
      </c>
      <c r="K26">
        <v>0</v>
      </c>
      <c r="L26">
        <v>0</v>
      </c>
      <c r="M26" t="s">
        <v>156</v>
      </c>
      <c r="N26">
        <v>0</v>
      </c>
      <c r="O26">
        <v>31.5</v>
      </c>
      <c r="P26">
        <v>2.5</v>
      </c>
      <c r="Q26" t="s">
        <v>156</v>
      </c>
      <c r="R26">
        <v>22.9</v>
      </c>
      <c r="S26">
        <v>2</v>
      </c>
      <c r="T26" t="s">
        <v>157</v>
      </c>
      <c r="U26">
        <v>0</v>
      </c>
      <c r="V26" t="s">
        <v>156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 t="s">
        <v>156</v>
      </c>
      <c r="AH26">
        <v>0</v>
      </c>
      <c r="AI26">
        <v>0</v>
      </c>
      <c r="AJ26">
        <v>0</v>
      </c>
      <c r="AK26">
        <v>2</v>
      </c>
      <c r="AL26">
        <v>0</v>
      </c>
    </row>
    <row r="27" spans="2:38">
      <c r="B27" t="s">
        <v>203</v>
      </c>
      <c r="C27" t="s">
        <v>48</v>
      </c>
      <c r="D27" t="s">
        <v>200</v>
      </c>
      <c r="E27" t="s">
        <v>2</v>
      </c>
      <c r="F27" t="s">
        <v>73</v>
      </c>
      <c r="G27" s="45">
        <v>69.749642346208873</v>
      </c>
      <c r="H27">
        <v>125</v>
      </c>
      <c r="I27">
        <v>8</v>
      </c>
      <c r="J27">
        <v>8</v>
      </c>
      <c r="K27">
        <v>0</v>
      </c>
      <c r="L27">
        <v>0</v>
      </c>
      <c r="M27" t="s">
        <v>156</v>
      </c>
      <c r="N27">
        <v>0</v>
      </c>
      <c r="O27">
        <v>31.5</v>
      </c>
      <c r="P27">
        <v>2.5</v>
      </c>
      <c r="Q27" t="s">
        <v>156</v>
      </c>
      <c r="R27">
        <v>22.9</v>
      </c>
      <c r="S27">
        <v>2</v>
      </c>
      <c r="T27" t="s">
        <v>157</v>
      </c>
      <c r="U27">
        <v>0</v>
      </c>
      <c r="V27" t="s">
        <v>156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 t="s">
        <v>156</v>
      </c>
      <c r="AH27">
        <v>0</v>
      </c>
      <c r="AI27">
        <v>0</v>
      </c>
      <c r="AJ27">
        <v>0</v>
      </c>
      <c r="AK27">
        <v>2</v>
      </c>
      <c r="AL27">
        <v>0</v>
      </c>
    </row>
    <row r="28" spans="2:38">
      <c r="B28" t="s">
        <v>204</v>
      </c>
      <c r="C28" t="s">
        <v>48</v>
      </c>
      <c r="D28" t="s">
        <v>200</v>
      </c>
      <c r="E28" t="s">
        <v>2</v>
      </c>
      <c r="F28" t="s">
        <v>74</v>
      </c>
      <c r="G28" s="45">
        <v>71.537911301859793</v>
      </c>
      <c r="H28">
        <v>125</v>
      </c>
      <c r="I28">
        <v>8</v>
      </c>
      <c r="J28">
        <v>8</v>
      </c>
      <c r="K28">
        <v>0</v>
      </c>
      <c r="L28">
        <v>0</v>
      </c>
      <c r="M28" t="s">
        <v>156</v>
      </c>
      <c r="N28">
        <v>0</v>
      </c>
      <c r="O28">
        <v>31.5</v>
      </c>
      <c r="P28">
        <v>2.5</v>
      </c>
      <c r="Q28" t="s">
        <v>156</v>
      </c>
      <c r="R28">
        <v>22.9</v>
      </c>
      <c r="S28">
        <v>2</v>
      </c>
      <c r="T28" t="s">
        <v>157</v>
      </c>
      <c r="U28">
        <v>0</v>
      </c>
      <c r="V28" t="s">
        <v>156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 t="s">
        <v>156</v>
      </c>
      <c r="AH28">
        <v>0</v>
      </c>
      <c r="AI28">
        <v>0</v>
      </c>
      <c r="AJ28">
        <v>0</v>
      </c>
      <c r="AK28">
        <v>2</v>
      </c>
      <c r="AL28">
        <v>0</v>
      </c>
    </row>
    <row r="29" spans="2:38">
      <c r="B29" t="s">
        <v>204</v>
      </c>
      <c r="C29" t="s">
        <v>48</v>
      </c>
      <c r="D29" t="s">
        <v>200</v>
      </c>
      <c r="E29" t="s">
        <v>2</v>
      </c>
      <c r="F29" t="s">
        <v>75</v>
      </c>
      <c r="G29" s="45">
        <v>71.537911301859793</v>
      </c>
      <c r="H29">
        <v>125</v>
      </c>
      <c r="I29">
        <v>8</v>
      </c>
      <c r="J29">
        <v>8</v>
      </c>
      <c r="K29">
        <v>0</v>
      </c>
      <c r="L29">
        <v>0</v>
      </c>
      <c r="M29" t="s">
        <v>156</v>
      </c>
      <c r="N29">
        <v>0</v>
      </c>
      <c r="O29">
        <v>31.5</v>
      </c>
      <c r="P29">
        <v>2.5</v>
      </c>
      <c r="Q29" t="s">
        <v>156</v>
      </c>
      <c r="R29">
        <v>22.9</v>
      </c>
      <c r="S29">
        <v>2</v>
      </c>
      <c r="T29" t="s">
        <v>157</v>
      </c>
      <c r="U29">
        <v>0</v>
      </c>
      <c r="V29" t="s">
        <v>156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 t="s">
        <v>156</v>
      </c>
      <c r="AH29">
        <v>0</v>
      </c>
      <c r="AI29">
        <v>0</v>
      </c>
      <c r="AJ29">
        <v>0</v>
      </c>
      <c r="AK29">
        <v>2</v>
      </c>
      <c r="AL29">
        <v>0</v>
      </c>
    </row>
    <row r="30" spans="2:38">
      <c r="B30" t="s">
        <v>205</v>
      </c>
      <c r="C30" t="s">
        <v>48</v>
      </c>
      <c r="D30" t="s">
        <v>200</v>
      </c>
      <c r="E30" t="s">
        <v>2</v>
      </c>
      <c r="F30" t="s">
        <v>76</v>
      </c>
      <c r="G30" s="45">
        <v>95.143061516452079</v>
      </c>
      <c r="H30">
        <v>125</v>
      </c>
      <c r="I30">
        <v>8</v>
      </c>
      <c r="J30">
        <v>8</v>
      </c>
      <c r="K30">
        <v>0</v>
      </c>
      <c r="L30">
        <v>0</v>
      </c>
      <c r="M30" t="s">
        <v>156</v>
      </c>
      <c r="N30">
        <v>0</v>
      </c>
      <c r="O30">
        <v>31.5</v>
      </c>
      <c r="P30">
        <v>2.5</v>
      </c>
      <c r="Q30" t="s">
        <v>156</v>
      </c>
      <c r="R30">
        <v>22.9</v>
      </c>
      <c r="S30">
        <v>2</v>
      </c>
      <c r="T30" t="s">
        <v>157</v>
      </c>
      <c r="U30">
        <v>0</v>
      </c>
      <c r="V30" t="s">
        <v>156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 t="s">
        <v>156</v>
      </c>
      <c r="AH30">
        <v>0</v>
      </c>
      <c r="AI30">
        <v>0</v>
      </c>
      <c r="AJ30">
        <v>0</v>
      </c>
      <c r="AK30">
        <v>2</v>
      </c>
      <c r="AL30">
        <v>0</v>
      </c>
    </row>
    <row r="31" spans="2:38">
      <c r="B31" t="s">
        <v>205</v>
      </c>
      <c r="C31" t="s">
        <v>48</v>
      </c>
      <c r="D31" t="s">
        <v>200</v>
      </c>
      <c r="E31" t="s">
        <v>2</v>
      </c>
      <c r="F31" t="s">
        <v>77</v>
      </c>
      <c r="G31" s="45">
        <v>95.143061516452079</v>
      </c>
      <c r="H31">
        <v>125</v>
      </c>
      <c r="I31">
        <v>8</v>
      </c>
      <c r="J31">
        <v>8</v>
      </c>
      <c r="K31">
        <v>0</v>
      </c>
      <c r="L31">
        <v>0</v>
      </c>
      <c r="M31" t="s">
        <v>156</v>
      </c>
      <c r="N31">
        <v>0</v>
      </c>
      <c r="O31">
        <v>31.5</v>
      </c>
      <c r="P31">
        <v>2.5</v>
      </c>
      <c r="Q31" t="s">
        <v>156</v>
      </c>
      <c r="R31">
        <v>22.9</v>
      </c>
      <c r="S31">
        <v>2</v>
      </c>
      <c r="T31" t="s">
        <v>157</v>
      </c>
      <c r="U31">
        <v>0</v>
      </c>
      <c r="V31" t="s">
        <v>156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 t="s">
        <v>156</v>
      </c>
      <c r="AH31">
        <v>0</v>
      </c>
      <c r="AI31">
        <v>0</v>
      </c>
      <c r="AJ31">
        <v>0</v>
      </c>
      <c r="AK31">
        <v>2</v>
      </c>
      <c r="AL31">
        <v>0</v>
      </c>
    </row>
    <row r="32" spans="2:38">
      <c r="B32" t="s">
        <v>206</v>
      </c>
      <c r="C32" t="s">
        <v>48</v>
      </c>
      <c r="D32" t="s">
        <v>200</v>
      </c>
      <c r="E32" t="s">
        <v>2</v>
      </c>
      <c r="F32" t="s">
        <v>78</v>
      </c>
      <c r="G32" s="45">
        <v>66.530758226037193</v>
      </c>
      <c r="H32">
        <v>125</v>
      </c>
      <c r="I32">
        <v>8</v>
      </c>
      <c r="J32">
        <v>8</v>
      </c>
      <c r="K32">
        <v>0</v>
      </c>
      <c r="L32">
        <v>0</v>
      </c>
      <c r="M32" t="s">
        <v>156</v>
      </c>
      <c r="N32">
        <v>0</v>
      </c>
      <c r="O32">
        <v>31.5</v>
      </c>
      <c r="P32">
        <v>2.5</v>
      </c>
      <c r="Q32" t="s">
        <v>156</v>
      </c>
      <c r="R32">
        <v>22.9</v>
      </c>
      <c r="S32">
        <v>2</v>
      </c>
      <c r="T32" t="s">
        <v>157</v>
      </c>
      <c r="U32">
        <v>0</v>
      </c>
      <c r="V32" t="s">
        <v>156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 t="s">
        <v>156</v>
      </c>
      <c r="AH32">
        <v>0</v>
      </c>
      <c r="AI32">
        <v>0</v>
      </c>
      <c r="AJ32">
        <v>0</v>
      </c>
      <c r="AK32">
        <v>2</v>
      </c>
      <c r="AL32">
        <v>0</v>
      </c>
    </row>
    <row r="33" spans="2:38">
      <c r="B33" t="s">
        <v>206</v>
      </c>
      <c r="C33" t="s">
        <v>48</v>
      </c>
      <c r="D33" t="s">
        <v>200</v>
      </c>
      <c r="E33" t="s">
        <v>2</v>
      </c>
      <c r="F33" t="s">
        <v>79</v>
      </c>
      <c r="G33" s="45">
        <v>66.530758226037193</v>
      </c>
      <c r="H33">
        <v>125</v>
      </c>
      <c r="I33">
        <v>8</v>
      </c>
      <c r="J33">
        <v>8</v>
      </c>
      <c r="K33">
        <v>0</v>
      </c>
      <c r="L33">
        <v>0</v>
      </c>
      <c r="M33" t="s">
        <v>156</v>
      </c>
      <c r="N33">
        <v>0</v>
      </c>
      <c r="O33">
        <v>31.5</v>
      </c>
      <c r="P33">
        <v>2.5</v>
      </c>
      <c r="Q33" t="s">
        <v>156</v>
      </c>
      <c r="R33">
        <v>22.9</v>
      </c>
      <c r="S33">
        <v>2</v>
      </c>
      <c r="T33" t="s">
        <v>157</v>
      </c>
      <c r="U33">
        <v>0</v>
      </c>
      <c r="V33" t="s">
        <v>156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 t="s">
        <v>156</v>
      </c>
      <c r="AH33">
        <v>0</v>
      </c>
      <c r="AI33">
        <v>0</v>
      </c>
      <c r="AJ33">
        <v>0</v>
      </c>
      <c r="AK33">
        <v>2</v>
      </c>
      <c r="AL33">
        <v>0</v>
      </c>
    </row>
    <row r="34" spans="2:38">
      <c r="B34" t="s">
        <v>207</v>
      </c>
      <c r="C34" t="s">
        <v>48</v>
      </c>
      <c r="D34" t="s">
        <v>200</v>
      </c>
      <c r="E34" t="s">
        <v>2</v>
      </c>
      <c r="F34" t="s">
        <v>80</v>
      </c>
      <c r="G34" s="45">
        <v>109.44921316165951</v>
      </c>
      <c r="H34">
        <v>125</v>
      </c>
      <c r="I34">
        <v>8</v>
      </c>
      <c r="J34">
        <v>8</v>
      </c>
      <c r="K34">
        <v>0</v>
      </c>
      <c r="L34">
        <v>0</v>
      </c>
      <c r="M34" t="s">
        <v>156</v>
      </c>
      <c r="N34">
        <v>0</v>
      </c>
      <c r="O34">
        <v>31.5</v>
      </c>
      <c r="P34">
        <v>2.5</v>
      </c>
      <c r="Q34" t="s">
        <v>156</v>
      </c>
      <c r="R34">
        <v>22.9</v>
      </c>
      <c r="S34">
        <v>2</v>
      </c>
      <c r="T34" t="s">
        <v>157</v>
      </c>
      <c r="U34">
        <v>0</v>
      </c>
      <c r="V34" t="s">
        <v>156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 t="s">
        <v>156</v>
      </c>
      <c r="AH34">
        <v>0</v>
      </c>
      <c r="AI34">
        <v>0</v>
      </c>
      <c r="AJ34">
        <v>0</v>
      </c>
      <c r="AK34">
        <v>2</v>
      </c>
      <c r="AL34">
        <v>0</v>
      </c>
    </row>
    <row r="35" spans="2:38">
      <c r="B35" t="s">
        <v>207</v>
      </c>
      <c r="C35" t="s">
        <v>48</v>
      </c>
      <c r="D35" t="s">
        <v>200</v>
      </c>
      <c r="E35" t="s">
        <v>2</v>
      </c>
      <c r="F35" t="s">
        <v>81</v>
      </c>
      <c r="G35" s="45">
        <v>109.44921316165951</v>
      </c>
      <c r="H35">
        <v>125</v>
      </c>
      <c r="I35">
        <v>8</v>
      </c>
      <c r="J35">
        <v>8</v>
      </c>
      <c r="K35">
        <v>0</v>
      </c>
      <c r="L35">
        <v>0</v>
      </c>
      <c r="M35" t="s">
        <v>156</v>
      </c>
      <c r="N35">
        <v>0</v>
      </c>
      <c r="O35">
        <v>31.5</v>
      </c>
      <c r="P35">
        <v>2.5</v>
      </c>
      <c r="Q35" t="s">
        <v>156</v>
      </c>
      <c r="R35">
        <v>22.9</v>
      </c>
      <c r="S35">
        <v>2</v>
      </c>
      <c r="T35" t="s">
        <v>157</v>
      </c>
      <c r="U35">
        <v>0</v>
      </c>
      <c r="V35" t="s">
        <v>156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 t="s">
        <v>156</v>
      </c>
      <c r="AH35">
        <v>0</v>
      </c>
      <c r="AI35">
        <v>0</v>
      </c>
      <c r="AJ35">
        <v>0</v>
      </c>
      <c r="AK35">
        <v>2</v>
      </c>
      <c r="AL35">
        <v>0</v>
      </c>
    </row>
    <row r="36" spans="2:38">
      <c r="B36" t="s">
        <v>208</v>
      </c>
      <c r="C36" t="s">
        <v>48</v>
      </c>
      <c r="D36" t="s">
        <v>200</v>
      </c>
      <c r="E36" t="s">
        <v>2</v>
      </c>
      <c r="F36" t="s">
        <v>82</v>
      </c>
      <c r="G36" s="45">
        <v>64.742489270386272</v>
      </c>
      <c r="H36">
        <v>125</v>
      </c>
      <c r="I36">
        <v>8</v>
      </c>
      <c r="J36">
        <v>8</v>
      </c>
      <c r="K36">
        <v>0</v>
      </c>
      <c r="L36">
        <v>0</v>
      </c>
      <c r="M36" t="s">
        <v>156</v>
      </c>
      <c r="N36">
        <v>0</v>
      </c>
      <c r="O36">
        <v>31.5</v>
      </c>
      <c r="P36">
        <v>2.5</v>
      </c>
      <c r="Q36" t="s">
        <v>156</v>
      </c>
      <c r="R36">
        <v>22.9</v>
      </c>
      <c r="S36">
        <v>2</v>
      </c>
      <c r="T36" t="s">
        <v>157</v>
      </c>
      <c r="U36">
        <v>0</v>
      </c>
      <c r="V36" t="s">
        <v>156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 t="s">
        <v>156</v>
      </c>
      <c r="AH36">
        <v>0</v>
      </c>
      <c r="AI36">
        <v>0</v>
      </c>
      <c r="AJ36">
        <v>0</v>
      </c>
      <c r="AK36">
        <v>2</v>
      </c>
      <c r="AL36">
        <v>0</v>
      </c>
    </row>
    <row r="37" spans="2:38">
      <c r="B37" t="s">
        <v>208</v>
      </c>
      <c r="C37" t="s">
        <v>48</v>
      </c>
      <c r="D37" t="s">
        <v>200</v>
      </c>
      <c r="E37" t="s">
        <v>2</v>
      </c>
      <c r="F37" t="s">
        <v>83</v>
      </c>
      <c r="G37" s="45">
        <v>64.742489270386272</v>
      </c>
      <c r="H37">
        <v>125</v>
      </c>
      <c r="I37">
        <v>8</v>
      </c>
      <c r="J37">
        <v>8</v>
      </c>
      <c r="K37">
        <v>0</v>
      </c>
      <c r="L37">
        <v>0</v>
      </c>
      <c r="M37" t="s">
        <v>156</v>
      </c>
      <c r="N37">
        <v>0</v>
      </c>
      <c r="O37">
        <v>31.5</v>
      </c>
      <c r="P37">
        <v>2.5</v>
      </c>
      <c r="Q37" t="s">
        <v>156</v>
      </c>
      <c r="R37">
        <v>22.9</v>
      </c>
      <c r="S37">
        <v>2</v>
      </c>
      <c r="T37" t="s">
        <v>157</v>
      </c>
      <c r="U37">
        <v>0</v>
      </c>
      <c r="V37" t="s">
        <v>156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 t="s">
        <v>156</v>
      </c>
      <c r="AH37">
        <v>0</v>
      </c>
      <c r="AI37">
        <v>0</v>
      </c>
      <c r="AJ37">
        <v>0</v>
      </c>
      <c r="AK37">
        <v>2</v>
      </c>
      <c r="AL37">
        <v>0</v>
      </c>
    </row>
    <row r="38" spans="2:38">
      <c r="B38" t="s">
        <v>209</v>
      </c>
      <c r="C38" t="s">
        <v>48</v>
      </c>
      <c r="D38" t="s">
        <v>200</v>
      </c>
      <c r="E38" t="s">
        <v>2</v>
      </c>
      <c r="F38" t="s">
        <v>84</v>
      </c>
      <c r="G38" s="45">
        <v>13.955650929899857</v>
      </c>
      <c r="H38">
        <v>125</v>
      </c>
      <c r="I38">
        <v>8</v>
      </c>
      <c r="J38">
        <v>8</v>
      </c>
      <c r="K38">
        <v>0</v>
      </c>
      <c r="L38">
        <v>0</v>
      </c>
      <c r="M38" t="s">
        <v>156</v>
      </c>
      <c r="N38">
        <v>0</v>
      </c>
      <c r="O38">
        <v>31.5</v>
      </c>
      <c r="P38">
        <v>2.5</v>
      </c>
      <c r="Q38" t="s">
        <v>156</v>
      </c>
      <c r="R38">
        <v>22.9</v>
      </c>
      <c r="S38">
        <v>2</v>
      </c>
      <c r="T38" t="s">
        <v>157</v>
      </c>
      <c r="U38">
        <v>0</v>
      </c>
      <c r="V38" t="s">
        <v>156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 t="s">
        <v>156</v>
      </c>
      <c r="AH38">
        <v>0</v>
      </c>
      <c r="AI38">
        <v>0</v>
      </c>
      <c r="AJ38">
        <v>0</v>
      </c>
      <c r="AK38">
        <v>2</v>
      </c>
      <c r="AL38">
        <v>0</v>
      </c>
    </row>
    <row r="39" spans="2:38">
      <c r="B39" t="s">
        <v>210</v>
      </c>
      <c r="C39" t="s">
        <v>48</v>
      </c>
      <c r="D39" t="s">
        <v>200</v>
      </c>
      <c r="E39" t="s">
        <v>2</v>
      </c>
      <c r="F39" t="s">
        <v>85</v>
      </c>
      <c r="G39" s="45">
        <v>10.21511111111111</v>
      </c>
      <c r="H39">
        <v>125</v>
      </c>
      <c r="I39">
        <v>8</v>
      </c>
      <c r="J39">
        <v>8</v>
      </c>
      <c r="K39">
        <v>0</v>
      </c>
      <c r="L39">
        <v>0</v>
      </c>
      <c r="M39" t="s">
        <v>156</v>
      </c>
      <c r="N39">
        <v>0</v>
      </c>
      <c r="O39">
        <v>31.5</v>
      </c>
      <c r="P39">
        <v>2.5</v>
      </c>
      <c r="Q39" t="s">
        <v>156</v>
      </c>
      <c r="R39">
        <v>22.9</v>
      </c>
      <c r="S39">
        <v>2</v>
      </c>
      <c r="T39" t="s">
        <v>157</v>
      </c>
      <c r="U39">
        <v>0</v>
      </c>
      <c r="V39" t="s">
        <v>156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 t="s">
        <v>156</v>
      </c>
      <c r="AH39">
        <v>0</v>
      </c>
      <c r="AI39">
        <v>0</v>
      </c>
      <c r="AJ39">
        <v>0</v>
      </c>
      <c r="AK39">
        <v>2</v>
      </c>
      <c r="AL39">
        <v>0</v>
      </c>
    </row>
    <row r="40" spans="2:38">
      <c r="B40" t="s">
        <v>211</v>
      </c>
      <c r="C40" t="s">
        <v>48</v>
      </c>
      <c r="D40" t="s">
        <v>200</v>
      </c>
      <c r="E40" t="s">
        <v>2</v>
      </c>
      <c r="F40" t="s">
        <v>86</v>
      </c>
      <c r="G40" s="45">
        <v>2.3825454545454541</v>
      </c>
      <c r="H40">
        <v>125</v>
      </c>
      <c r="I40">
        <v>8</v>
      </c>
      <c r="J40">
        <v>8</v>
      </c>
      <c r="K40">
        <v>0</v>
      </c>
      <c r="L40">
        <v>0</v>
      </c>
      <c r="M40" t="s">
        <v>156</v>
      </c>
      <c r="N40">
        <v>0</v>
      </c>
      <c r="O40">
        <v>31.5</v>
      </c>
      <c r="P40">
        <v>2.5</v>
      </c>
      <c r="Q40" t="s">
        <v>156</v>
      </c>
      <c r="R40">
        <v>22.9</v>
      </c>
      <c r="S40">
        <v>2</v>
      </c>
      <c r="T40" t="s">
        <v>157</v>
      </c>
      <c r="U40">
        <v>0</v>
      </c>
      <c r="V40" t="s">
        <v>156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 t="s">
        <v>156</v>
      </c>
      <c r="AH40">
        <v>0</v>
      </c>
      <c r="AI40">
        <v>0</v>
      </c>
      <c r="AJ40">
        <v>0</v>
      </c>
      <c r="AK40">
        <v>2</v>
      </c>
      <c r="AL40">
        <v>0</v>
      </c>
    </row>
    <row r="41" spans="2:38">
      <c r="B41" t="s">
        <v>212</v>
      </c>
      <c r="C41" t="s">
        <v>48</v>
      </c>
      <c r="D41" t="s">
        <v>200</v>
      </c>
      <c r="E41" t="s">
        <v>2</v>
      </c>
      <c r="F41" t="s">
        <v>87</v>
      </c>
      <c r="G41" s="45">
        <v>10.078784810126582</v>
      </c>
      <c r="H41">
        <v>125</v>
      </c>
      <c r="I41">
        <v>8</v>
      </c>
      <c r="J41">
        <v>8</v>
      </c>
      <c r="K41">
        <v>0</v>
      </c>
      <c r="L41">
        <v>0</v>
      </c>
      <c r="M41" t="s">
        <v>156</v>
      </c>
      <c r="N41">
        <v>0</v>
      </c>
      <c r="O41">
        <v>31.5</v>
      </c>
      <c r="P41">
        <v>2.5</v>
      </c>
      <c r="Q41" t="s">
        <v>156</v>
      </c>
      <c r="R41">
        <v>22.9</v>
      </c>
      <c r="S41">
        <v>2</v>
      </c>
      <c r="T41" t="s">
        <v>157</v>
      </c>
      <c r="U41">
        <v>0</v>
      </c>
      <c r="V41" t="s">
        <v>156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 t="s">
        <v>156</v>
      </c>
      <c r="AH41">
        <v>0</v>
      </c>
      <c r="AI41">
        <v>0</v>
      </c>
      <c r="AJ41">
        <v>0</v>
      </c>
      <c r="AK41">
        <v>2</v>
      </c>
      <c r="AL41">
        <v>0</v>
      </c>
    </row>
    <row r="42" spans="2:38">
      <c r="B42" t="s">
        <v>213</v>
      </c>
      <c r="C42" t="s">
        <v>48</v>
      </c>
      <c r="D42" t="s">
        <v>200</v>
      </c>
      <c r="E42" t="s">
        <v>2</v>
      </c>
      <c r="F42" t="s">
        <v>88</v>
      </c>
      <c r="G42" s="45">
        <v>23.433476394849784</v>
      </c>
      <c r="H42">
        <v>125</v>
      </c>
      <c r="I42">
        <v>8</v>
      </c>
      <c r="J42">
        <v>8</v>
      </c>
      <c r="K42">
        <v>0</v>
      </c>
      <c r="L42">
        <v>0</v>
      </c>
      <c r="M42" t="s">
        <v>156</v>
      </c>
      <c r="N42">
        <v>0</v>
      </c>
      <c r="O42">
        <v>31.5</v>
      </c>
      <c r="P42">
        <v>2.5</v>
      </c>
      <c r="Q42" t="s">
        <v>156</v>
      </c>
      <c r="R42">
        <v>22.9</v>
      </c>
      <c r="S42">
        <v>2</v>
      </c>
      <c r="T42" t="s">
        <v>157</v>
      </c>
      <c r="U42">
        <v>0</v>
      </c>
      <c r="V42" t="s">
        <v>156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 t="s">
        <v>156</v>
      </c>
      <c r="AH42">
        <v>0</v>
      </c>
      <c r="AI42">
        <v>0</v>
      </c>
      <c r="AJ42">
        <v>0</v>
      </c>
      <c r="AK42">
        <v>2</v>
      </c>
      <c r="AL42">
        <v>0</v>
      </c>
    </row>
    <row r="43" spans="2:38">
      <c r="B43" t="s">
        <v>214</v>
      </c>
      <c r="C43" t="s">
        <v>48</v>
      </c>
      <c r="D43" t="s">
        <v>200</v>
      </c>
      <c r="E43" t="s">
        <v>2</v>
      </c>
      <c r="F43" t="s">
        <v>89</v>
      </c>
      <c r="G43" s="45">
        <v>9.2786086956521743</v>
      </c>
      <c r="H43">
        <v>125</v>
      </c>
      <c r="I43">
        <v>8</v>
      </c>
      <c r="J43">
        <v>8</v>
      </c>
      <c r="K43">
        <v>0</v>
      </c>
      <c r="L43">
        <v>0</v>
      </c>
      <c r="M43" t="s">
        <v>156</v>
      </c>
      <c r="N43">
        <v>0</v>
      </c>
      <c r="O43">
        <v>31.5</v>
      </c>
      <c r="P43">
        <v>2.5</v>
      </c>
      <c r="Q43" t="s">
        <v>156</v>
      </c>
      <c r="R43">
        <v>22.9</v>
      </c>
      <c r="S43">
        <v>2</v>
      </c>
      <c r="T43" t="s">
        <v>157</v>
      </c>
      <c r="U43">
        <v>0</v>
      </c>
      <c r="V43" t="s">
        <v>156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 t="s">
        <v>156</v>
      </c>
      <c r="AH43">
        <v>0</v>
      </c>
      <c r="AI43">
        <v>0</v>
      </c>
      <c r="AJ43">
        <v>0</v>
      </c>
      <c r="AK43">
        <v>2</v>
      </c>
      <c r="AL43">
        <v>0</v>
      </c>
    </row>
    <row r="44" spans="2:38">
      <c r="B44" t="s">
        <v>215</v>
      </c>
      <c r="C44" t="s">
        <v>48</v>
      </c>
      <c r="D44" t="s">
        <v>200</v>
      </c>
      <c r="E44" t="s">
        <v>2</v>
      </c>
      <c r="F44" t="s">
        <v>90</v>
      </c>
      <c r="G44" s="45">
        <v>7.370264150943397</v>
      </c>
      <c r="H44">
        <v>125</v>
      </c>
      <c r="I44">
        <v>8</v>
      </c>
      <c r="J44">
        <v>8</v>
      </c>
      <c r="K44">
        <v>0</v>
      </c>
      <c r="L44">
        <v>0</v>
      </c>
      <c r="M44" t="s">
        <v>156</v>
      </c>
      <c r="N44">
        <v>0</v>
      </c>
      <c r="O44">
        <v>31.5</v>
      </c>
      <c r="P44">
        <v>2.5</v>
      </c>
      <c r="Q44" t="s">
        <v>156</v>
      </c>
      <c r="R44">
        <v>22.9</v>
      </c>
      <c r="S44">
        <v>2</v>
      </c>
      <c r="T44" t="s">
        <v>157</v>
      </c>
      <c r="U44">
        <v>0</v>
      </c>
      <c r="V44" t="s">
        <v>156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 t="s">
        <v>156</v>
      </c>
      <c r="AH44">
        <v>0</v>
      </c>
      <c r="AI44">
        <v>0</v>
      </c>
      <c r="AJ44">
        <v>0</v>
      </c>
      <c r="AK44">
        <v>2</v>
      </c>
      <c r="AL44">
        <v>0</v>
      </c>
    </row>
    <row r="45" spans="2:38">
      <c r="B45" t="s">
        <v>216</v>
      </c>
      <c r="C45" t="s">
        <v>48</v>
      </c>
      <c r="D45" t="s">
        <v>200</v>
      </c>
      <c r="E45" t="s">
        <v>2</v>
      </c>
      <c r="F45" t="s">
        <v>91</v>
      </c>
      <c r="G45" s="45">
        <v>6.6436139630390141</v>
      </c>
      <c r="H45">
        <v>125</v>
      </c>
      <c r="I45">
        <v>8</v>
      </c>
      <c r="J45">
        <v>8</v>
      </c>
      <c r="K45">
        <v>0</v>
      </c>
      <c r="L45">
        <v>0</v>
      </c>
      <c r="M45" t="s">
        <v>156</v>
      </c>
      <c r="N45">
        <v>0</v>
      </c>
      <c r="O45">
        <v>31.5</v>
      </c>
      <c r="P45">
        <v>2.5</v>
      </c>
      <c r="Q45" t="s">
        <v>156</v>
      </c>
      <c r="R45">
        <v>22.9</v>
      </c>
      <c r="S45">
        <v>2</v>
      </c>
      <c r="T45" t="s">
        <v>157</v>
      </c>
      <c r="U45">
        <v>0</v>
      </c>
      <c r="V45" t="s">
        <v>156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 t="s">
        <v>156</v>
      </c>
      <c r="AH45">
        <v>0</v>
      </c>
      <c r="AI45">
        <v>0</v>
      </c>
      <c r="AJ45">
        <v>0</v>
      </c>
      <c r="AK45">
        <v>2</v>
      </c>
      <c r="AL45">
        <v>0</v>
      </c>
    </row>
    <row r="46" spans="2:38">
      <c r="B46" t="s">
        <v>217</v>
      </c>
      <c r="C46" t="s">
        <v>48</v>
      </c>
      <c r="D46" t="s">
        <v>200</v>
      </c>
      <c r="E46" t="s">
        <v>2</v>
      </c>
      <c r="F46" t="s">
        <v>92</v>
      </c>
      <c r="G46" s="45">
        <v>22.360515021459229</v>
      </c>
      <c r="H46">
        <v>125</v>
      </c>
      <c r="I46">
        <v>8</v>
      </c>
      <c r="J46">
        <v>8</v>
      </c>
      <c r="K46">
        <v>0</v>
      </c>
      <c r="L46">
        <v>0</v>
      </c>
      <c r="M46" t="s">
        <v>156</v>
      </c>
      <c r="N46">
        <v>0</v>
      </c>
      <c r="O46">
        <v>31.5</v>
      </c>
      <c r="P46">
        <v>2.5</v>
      </c>
      <c r="Q46" t="s">
        <v>156</v>
      </c>
      <c r="R46">
        <v>22.9</v>
      </c>
      <c r="S46">
        <v>2</v>
      </c>
      <c r="T46" t="s">
        <v>157</v>
      </c>
      <c r="U46">
        <v>0</v>
      </c>
      <c r="V46" t="s">
        <v>156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 t="s">
        <v>156</v>
      </c>
      <c r="AH46">
        <v>0</v>
      </c>
      <c r="AI46">
        <v>0</v>
      </c>
      <c r="AJ46">
        <v>0</v>
      </c>
      <c r="AK46">
        <v>2</v>
      </c>
      <c r="AL46">
        <v>0</v>
      </c>
    </row>
    <row r="47" spans="2:38">
      <c r="B47" t="s">
        <v>218</v>
      </c>
      <c r="C47" t="s">
        <v>48</v>
      </c>
      <c r="D47" t="s">
        <v>200</v>
      </c>
      <c r="E47" t="s">
        <v>2</v>
      </c>
      <c r="F47" t="s">
        <v>93</v>
      </c>
      <c r="G47" s="45">
        <v>9.0899104477611949</v>
      </c>
      <c r="H47">
        <v>125</v>
      </c>
      <c r="I47">
        <v>8</v>
      </c>
      <c r="J47">
        <v>8</v>
      </c>
      <c r="K47">
        <v>0</v>
      </c>
      <c r="L47">
        <v>0</v>
      </c>
      <c r="M47" t="s">
        <v>156</v>
      </c>
      <c r="N47">
        <v>0</v>
      </c>
      <c r="O47">
        <v>31.5</v>
      </c>
      <c r="P47">
        <v>2.5</v>
      </c>
      <c r="Q47" t="s">
        <v>156</v>
      </c>
      <c r="R47">
        <v>22.9</v>
      </c>
      <c r="S47">
        <v>2</v>
      </c>
      <c r="T47" t="s">
        <v>157</v>
      </c>
      <c r="U47">
        <v>0</v>
      </c>
      <c r="V47" t="s">
        <v>156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 t="s">
        <v>156</v>
      </c>
      <c r="AH47">
        <v>0</v>
      </c>
      <c r="AI47">
        <v>0</v>
      </c>
      <c r="AJ47">
        <v>0</v>
      </c>
      <c r="AK47">
        <v>2</v>
      </c>
      <c r="AL47">
        <v>0</v>
      </c>
    </row>
    <row r="48" spans="2:38">
      <c r="B48" t="s">
        <v>219</v>
      </c>
      <c r="C48" t="s">
        <v>48</v>
      </c>
      <c r="D48" t="s">
        <v>200</v>
      </c>
      <c r="E48" t="s">
        <v>2</v>
      </c>
      <c r="F48" t="s">
        <v>94</v>
      </c>
      <c r="G48" s="45">
        <v>10.078784810126582</v>
      </c>
      <c r="H48">
        <v>125</v>
      </c>
      <c r="I48">
        <v>8</v>
      </c>
      <c r="J48">
        <v>8</v>
      </c>
      <c r="K48">
        <v>0</v>
      </c>
      <c r="L48">
        <v>0</v>
      </c>
      <c r="M48" t="s">
        <v>156</v>
      </c>
      <c r="N48">
        <v>0</v>
      </c>
      <c r="O48">
        <v>31.5</v>
      </c>
      <c r="P48">
        <v>2.5</v>
      </c>
      <c r="Q48" t="s">
        <v>156</v>
      </c>
      <c r="R48">
        <v>22.9</v>
      </c>
      <c r="S48">
        <v>2</v>
      </c>
      <c r="T48" t="s">
        <v>157</v>
      </c>
      <c r="U48">
        <v>0</v>
      </c>
      <c r="V48" t="s">
        <v>156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 t="s">
        <v>156</v>
      </c>
      <c r="AH48">
        <v>0</v>
      </c>
      <c r="AI48">
        <v>0</v>
      </c>
      <c r="AJ48">
        <v>0</v>
      </c>
      <c r="AK48">
        <v>2</v>
      </c>
      <c r="AL48">
        <v>0</v>
      </c>
    </row>
    <row r="49" spans="1:38">
      <c r="B49" t="s">
        <v>220</v>
      </c>
      <c r="C49" t="s">
        <v>48</v>
      </c>
      <c r="D49" t="s">
        <v>200</v>
      </c>
      <c r="E49" t="s">
        <v>2</v>
      </c>
      <c r="F49" t="s">
        <v>95</v>
      </c>
      <c r="G49" s="45">
        <v>13.597997138769671</v>
      </c>
      <c r="H49">
        <v>125</v>
      </c>
      <c r="I49">
        <v>8</v>
      </c>
      <c r="J49">
        <v>8</v>
      </c>
      <c r="K49">
        <v>0</v>
      </c>
      <c r="L49">
        <v>0</v>
      </c>
      <c r="M49" t="s">
        <v>156</v>
      </c>
      <c r="N49">
        <v>1</v>
      </c>
      <c r="O49">
        <v>31.5</v>
      </c>
      <c r="P49">
        <v>2.5</v>
      </c>
      <c r="Q49" t="s">
        <v>156</v>
      </c>
      <c r="R49">
        <v>22.9</v>
      </c>
      <c r="S49">
        <v>2</v>
      </c>
      <c r="T49" t="s">
        <v>157</v>
      </c>
      <c r="U49">
        <v>0</v>
      </c>
      <c r="V49" t="s">
        <v>156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 t="s">
        <v>156</v>
      </c>
      <c r="AH49">
        <v>0</v>
      </c>
      <c r="AI49">
        <v>0</v>
      </c>
      <c r="AJ49">
        <v>0</v>
      </c>
      <c r="AK49">
        <v>2</v>
      </c>
      <c r="AL49">
        <v>0</v>
      </c>
    </row>
    <row r="50" spans="1:38">
      <c r="A50" s="101"/>
      <c r="B50" t="s">
        <v>158</v>
      </c>
      <c r="C50" t="s">
        <v>3</v>
      </c>
      <c r="D50" t="s">
        <v>48</v>
      </c>
      <c r="E50" t="s">
        <v>2</v>
      </c>
      <c r="F50" t="s">
        <v>48</v>
      </c>
      <c r="G50" s="45">
        <v>5</v>
      </c>
      <c r="H50">
        <v>125</v>
      </c>
      <c r="I50">
        <v>8</v>
      </c>
      <c r="J50">
        <v>8</v>
      </c>
      <c r="K50">
        <v>0</v>
      </c>
      <c r="L50">
        <v>0</v>
      </c>
      <c r="M50" t="s">
        <v>156</v>
      </c>
      <c r="N50">
        <v>1</v>
      </c>
      <c r="O50">
        <v>22.4</v>
      </c>
      <c r="P50">
        <v>1.8</v>
      </c>
      <c r="Q50" t="s">
        <v>156</v>
      </c>
      <c r="R50">
        <v>22.9</v>
      </c>
      <c r="S50">
        <v>2</v>
      </c>
      <c r="T50" t="s">
        <v>157</v>
      </c>
      <c r="U50">
        <v>3</v>
      </c>
      <c r="V50" t="s">
        <v>156</v>
      </c>
      <c r="W50">
        <v>6</v>
      </c>
      <c r="X50">
        <v>10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 t="s">
        <v>156</v>
      </c>
      <c r="AH50">
        <v>0</v>
      </c>
      <c r="AI50">
        <v>0</v>
      </c>
      <c r="AJ50">
        <v>0</v>
      </c>
      <c r="AK50">
        <v>2</v>
      </c>
      <c r="AL50">
        <v>0</v>
      </c>
    </row>
    <row r="51" spans="1:38">
      <c r="A51" s="101"/>
      <c r="B51" t="s">
        <v>221</v>
      </c>
      <c r="C51" t="s">
        <v>3</v>
      </c>
      <c r="D51" t="s">
        <v>49</v>
      </c>
      <c r="E51" t="s">
        <v>2</v>
      </c>
      <c r="F51" t="s">
        <v>49</v>
      </c>
      <c r="G51" s="45">
        <v>5</v>
      </c>
      <c r="H51">
        <v>125</v>
      </c>
      <c r="I51">
        <v>8</v>
      </c>
      <c r="J51">
        <v>8</v>
      </c>
      <c r="K51">
        <v>0</v>
      </c>
      <c r="L51">
        <v>0</v>
      </c>
      <c r="M51" t="s">
        <v>156</v>
      </c>
      <c r="N51">
        <v>1</v>
      </c>
      <c r="O51">
        <v>22.4</v>
      </c>
      <c r="P51">
        <v>1.8</v>
      </c>
      <c r="Q51" t="s">
        <v>156</v>
      </c>
      <c r="R51">
        <v>22.9</v>
      </c>
      <c r="S51">
        <v>2</v>
      </c>
      <c r="T51" t="s">
        <v>157</v>
      </c>
      <c r="U51">
        <v>3</v>
      </c>
      <c r="V51" t="s">
        <v>156</v>
      </c>
      <c r="W51">
        <v>6</v>
      </c>
      <c r="X51">
        <v>10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 t="s">
        <v>156</v>
      </c>
      <c r="AH51">
        <v>0</v>
      </c>
      <c r="AI51">
        <v>0</v>
      </c>
      <c r="AJ51">
        <v>0</v>
      </c>
      <c r="AK51">
        <v>2</v>
      </c>
      <c r="AL51">
        <v>0</v>
      </c>
    </row>
    <row r="52" spans="1:38">
      <c r="A52" s="101"/>
      <c r="B52" t="s">
        <v>222</v>
      </c>
      <c r="C52" t="s">
        <v>3</v>
      </c>
      <c r="D52" t="s">
        <v>50</v>
      </c>
      <c r="E52" t="s">
        <v>2</v>
      </c>
      <c r="F52" t="s">
        <v>50</v>
      </c>
      <c r="G52" s="45">
        <v>5</v>
      </c>
      <c r="H52">
        <v>125</v>
      </c>
      <c r="I52">
        <v>8</v>
      </c>
      <c r="J52">
        <v>8</v>
      </c>
      <c r="K52">
        <v>0</v>
      </c>
      <c r="L52">
        <v>0</v>
      </c>
      <c r="M52" t="s">
        <v>156</v>
      </c>
      <c r="N52">
        <v>1</v>
      </c>
      <c r="O52">
        <v>22.4</v>
      </c>
      <c r="P52">
        <v>1.8</v>
      </c>
      <c r="Q52" t="s">
        <v>156</v>
      </c>
      <c r="R52">
        <v>22.9</v>
      </c>
      <c r="S52">
        <v>2</v>
      </c>
      <c r="T52" t="s">
        <v>157</v>
      </c>
      <c r="U52">
        <v>3</v>
      </c>
      <c r="V52" t="s">
        <v>156</v>
      </c>
      <c r="W52">
        <v>6</v>
      </c>
      <c r="X52">
        <v>10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 t="s">
        <v>156</v>
      </c>
      <c r="AH52">
        <v>0</v>
      </c>
      <c r="AI52">
        <v>0</v>
      </c>
      <c r="AJ52">
        <v>0</v>
      </c>
      <c r="AK52">
        <v>2</v>
      </c>
      <c r="AL52">
        <v>0</v>
      </c>
    </row>
    <row r="53" spans="1:38">
      <c r="A53" s="101"/>
      <c r="B53" t="s">
        <v>223</v>
      </c>
      <c r="C53" t="s">
        <v>3</v>
      </c>
      <c r="D53" t="s">
        <v>51</v>
      </c>
      <c r="E53" t="s">
        <v>2</v>
      </c>
      <c r="F53" t="s">
        <v>51</v>
      </c>
      <c r="G53" s="45">
        <v>5</v>
      </c>
      <c r="H53">
        <v>125</v>
      </c>
      <c r="I53">
        <v>8</v>
      </c>
      <c r="J53">
        <v>8</v>
      </c>
      <c r="K53">
        <v>0</v>
      </c>
      <c r="L53">
        <v>0</v>
      </c>
      <c r="M53" t="s">
        <v>156</v>
      </c>
      <c r="N53">
        <v>1</v>
      </c>
      <c r="O53">
        <v>22.4</v>
      </c>
      <c r="P53">
        <v>1.8</v>
      </c>
      <c r="Q53" t="s">
        <v>156</v>
      </c>
      <c r="R53">
        <v>22.9</v>
      </c>
      <c r="S53">
        <v>2</v>
      </c>
      <c r="T53" t="s">
        <v>157</v>
      </c>
      <c r="U53">
        <v>3</v>
      </c>
      <c r="V53" t="s">
        <v>156</v>
      </c>
      <c r="W53">
        <v>6</v>
      </c>
      <c r="X53">
        <v>10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 t="s">
        <v>156</v>
      </c>
      <c r="AH53">
        <v>0</v>
      </c>
      <c r="AI53">
        <v>0</v>
      </c>
      <c r="AJ53">
        <v>0</v>
      </c>
      <c r="AK53">
        <v>2</v>
      </c>
      <c r="AL53">
        <v>0</v>
      </c>
    </row>
    <row r="54" spans="1:38">
      <c r="A54" s="101"/>
      <c r="B54" t="s">
        <v>224</v>
      </c>
      <c r="C54" t="s">
        <v>3</v>
      </c>
      <c r="D54" t="s">
        <v>52</v>
      </c>
      <c r="E54" t="s">
        <v>2</v>
      </c>
      <c r="F54" t="s">
        <v>52</v>
      </c>
      <c r="G54" s="45">
        <v>5</v>
      </c>
      <c r="H54">
        <v>125</v>
      </c>
      <c r="I54">
        <v>8</v>
      </c>
      <c r="J54">
        <v>8</v>
      </c>
      <c r="K54">
        <v>0</v>
      </c>
      <c r="L54">
        <v>0</v>
      </c>
      <c r="M54" t="s">
        <v>156</v>
      </c>
      <c r="N54">
        <v>1</v>
      </c>
      <c r="O54">
        <v>22.4</v>
      </c>
      <c r="P54">
        <v>1.8</v>
      </c>
      <c r="Q54" t="s">
        <v>156</v>
      </c>
      <c r="R54">
        <v>22.9</v>
      </c>
      <c r="S54">
        <v>2</v>
      </c>
      <c r="T54" t="s">
        <v>157</v>
      </c>
      <c r="U54">
        <v>3</v>
      </c>
      <c r="V54" t="s">
        <v>156</v>
      </c>
      <c r="W54">
        <v>6</v>
      </c>
      <c r="X54">
        <v>10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 t="s">
        <v>156</v>
      </c>
      <c r="AH54">
        <v>0</v>
      </c>
      <c r="AI54">
        <v>0</v>
      </c>
      <c r="AJ54">
        <v>0</v>
      </c>
      <c r="AK54">
        <v>2</v>
      </c>
      <c r="AL54">
        <v>0</v>
      </c>
    </row>
    <row r="55" spans="1:38">
      <c r="A55" s="101"/>
      <c r="B55" t="s">
        <v>225</v>
      </c>
      <c r="C55" t="s">
        <v>3</v>
      </c>
      <c r="D55" t="s">
        <v>53</v>
      </c>
      <c r="E55" t="s">
        <v>2</v>
      </c>
      <c r="F55" t="s">
        <v>53</v>
      </c>
      <c r="G55" s="45">
        <v>5</v>
      </c>
      <c r="H55">
        <v>125</v>
      </c>
      <c r="I55">
        <v>8</v>
      </c>
      <c r="J55">
        <v>8</v>
      </c>
      <c r="K55">
        <v>0</v>
      </c>
      <c r="L55">
        <v>0</v>
      </c>
      <c r="M55" t="s">
        <v>156</v>
      </c>
      <c r="N55">
        <v>1</v>
      </c>
      <c r="O55">
        <v>22.4</v>
      </c>
      <c r="P55">
        <v>1.8</v>
      </c>
      <c r="Q55" t="s">
        <v>156</v>
      </c>
      <c r="R55">
        <v>22.9</v>
      </c>
      <c r="S55">
        <v>2</v>
      </c>
      <c r="T55" t="s">
        <v>157</v>
      </c>
      <c r="U55">
        <v>3</v>
      </c>
      <c r="V55" t="s">
        <v>156</v>
      </c>
      <c r="W55">
        <v>6</v>
      </c>
      <c r="X55">
        <v>10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 t="s">
        <v>156</v>
      </c>
      <c r="AH55">
        <v>0</v>
      </c>
      <c r="AI55">
        <v>0</v>
      </c>
      <c r="AJ55">
        <v>0</v>
      </c>
      <c r="AK55">
        <v>2</v>
      </c>
      <c r="AL55">
        <v>0</v>
      </c>
    </row>
    <row r="56" spans="1:38">
      <c r="A56" s="101"/>
      <c r="B56" t="s">
        <v>226</v>
      </c>
      <c r="C56" t="s">
        <v>3</v>
      </c>
      <c r="D56" t="s">
        <v>54</v>
      </c>
      <c r="E56" t="s">
        <v>2</v>
      </c>
      <c r="F56" t="s">
        <v>54</v>
      </c>
      <c r="G56" s="45">
        <v>5</v>
      </c>
      <c r="H56">
        <v>125</v>
      </c>
      <c r="I56">
        <v>8</v>
      </c>
      <c r="J56">
        <v>8</v>
      </c>
      <c r="K56">
        <v>0</v>
      </c>
      <c r="L56">
        <v>0</v>
      </c>
      <c r="M56" t="s">
        <v>156</v>
      </c>
      <c r="N56">
        <v>1</v>
      </c>
      <c r="O56">
        <v>22.4</v>
      </c>
      <c r="P56">
        <v>1.8</v>
      </c>
      <c r="Q56" t="s">
        <v>156</v>
      </c>
      <c r="R56">
        <v>22.9</v>
      </c>
      <c r="S56">
        <v>2</v>
      </c>
      <c r="T56" t="s">
        <v>157</v>
      </c>
      <c r="U56">
        <v>3</v>
      </c>
      <c r="V56" t="s">
        <v>156</v>
      </c>
      <c r="W56">
        <v>6</v>
      </c>
      <c r="X56">
        <v>10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 t="s">
        <v>156</v>
      </c>
      <c r="AH56">
        <v>0</v>
      </c>
      <c r="AI56">
        <v>0</v>
      </c>
      <c r="AJ56">
        <v>0</v>
      </c>
      <c r="AK56">
        <v>2</v>
      </c>
      <c r="AL56">
        <v>0</v>
      </c>
    </row>
    <row r="57" spans="1:38">
      <c r="A57" s="101"/>
      <c r="B57" t="s">
        <v>227</v>
      </c>
      <c r="C57" t="s">
        <v>3</v>
      </c>
      <c r="D57" t="s">
        <v>55</v>
      </c>
      <c r="E57" t="s">
        <v>2</v>
      </c>
      <c r="F57" t="s">
        <v>55</v>
      </c>
      <c r="G57" s="45">
        <v>5</v>
      </c>
      <c r="H57">
        <v>125</v>
      </c>
      <c r="I57">
        <v>8</v>
      </c>
      <c r="J57">
        <v>8</v>
      </c>
      <c r="K57">
        <v>0</v>
      </c>
      <c r="L57">
        <v>0</v>
      </c>
      <c r="M57" t="s">
        <v>156</v>
      </c>
      <c r="N57">
        <v>1</v>
      </c>
      <c r="O57">
        <v>22.4</v>
      </c>
      <c r="P57">
        <v>1.8</v>
      </c>
      <c r="Q57" t="s">
        <v>156</v>
      </c>
      <c r="R57">
        <v>22.9</v>
      </c>
      <c r="S57">
        <v>2</v>
      </c>
      <c r="T57" t="s">
        <v>157</v>
      </c>
      <c r="U57">
        <v>3</v>
      </c>
      <c r="V57" t="s">
        <v>156</v>
      </c>
      <c r="W57">
        <v>6</v>
      </c>
      <c r="X57">
        <v>10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 t="s">
        <v>156</v>
      </c>
      <c r="AH57">
        <v>0</v>
      </c>
      <c r="AI57">
        <v>0</v>
      </c>
      <c r="AJ57">
        <v>0</v>
      </c>
      <c r="AK57">
        <v>2</v>
      </c>
      <c r="AL57">
        <v>0</v>
      </c>
    </row>
    <row r="58" spans="1:38">
      <c r="A58" s="101"/>
      <c r="B58" t="s">
        <v>228</v>
      </c>
      <c r="C58" t="s">
        <v>3</v>
      </c>
      <c r="D58" t="s">
        <v>56</v>
      </c>
      <c r="E58" t="s">
        <v>2</v>
      </c>
      <c r="F58" t="s">
        <v>56</v>
      </c>
      <c r="G58" s="45">
        <v>11.183999999999999</v>
      </c>
      <c r="H58">
        <v>125</v>
      </c>
      <c r="I58">
        <v>8</v>
      </c>
      <c r="J58">
        <v>8</v>
      </c>
      <c r="K58">
        <v>0</v>
      </c>
      <c r="L58">
        <v>0</v>
      </c>
      <c r="M58" t="s">
        <v>156</v>
      </c>
      <c r="N58">
        <v>1</v>
      </c>
      <c r="O58">
        <v>22.4</v>
      </c>
      <c r="P58">
        <v>1.8</v>
      </c>
      <c r="Q58" t="s">
        <v>156</v>
      </c>
      <c r="R58">
        <v>22.9</v>
      </c>
      <c r="S58">
        <v>2</v>
      </c>
      <c r="T58" t="s">
        <v>157</v>
      </c>
      <c r="U58">
        <v>3</v>
      </c>
      <c r="V58" t="s">
        <v>156</v>
      </c>
      <c r="W58">
        <v>6</v>
      </c>
      <c r="X58">
        <v>10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 t="s">
        <v>156</v>
      </c>
      <c r="AH58">
        <v>0</v>
      </c>
      <c r="AI58">
        <v>0</v>
      </c>
      <c r="AJ58">
        <v>0</v>
      </c>
      <c r="AK58">
        <v>2</v>
      </c>
      <c r="AL58">
        <v>0</v>
      </c>
    </row>
    <row r="59" spans="1:38">
      <c r="A59" s="101"/>
      <c r="B59" t="s">
        <v>229</v>
      </c>
      <c r="C59" t="s">
        <v>3</v>
      </c>
      <c r="D59" t="s">
        <v>57</v>
      </c>
      <c r="E59" t="s">
        <v>2</v>
      </c>
      <c r="F59" t="s">
        <v>57</v>
      </c>
      <c r="G59" s="45">
        <v>5</v>
      </c>
      <c r="H59">
        <v>125</v>
      </c>
      <c r="I59">
        <v>8</v>
      </c>
      <c r="J59">
        <v>8</v>
      </c>
      <c r="K59">
        <v>0</v>
      </c>
      <c r="L59">
        <v>0</v>
      </c>
      <c r="M59" t="s">
        <v>156</v>
      </c>
      <c r="N59">
        <v>1</v>
      </c>
      <c r="O59">
        <v>22.4</v>
      </c>
      <c r="P59">
        <v>1.8</v>
      </c>
      <c r="Q59" t="s">
        <v>156</v>
      </c>
      <c r="R59">
        <v>22.9</v>
      </c>
      <c r="S59">
        <v>2</v>
      </c>
      <c r="T59" t="s">
        <v>157</v>
      </c>
      <c r="U59">
        <v>3</v>
      </c>
      <c r="V59" t="s">
        <v>156</v>
      </c>
      <c r="W59">
        <v>6</v>
      </c>
      <c r="X59">
        <v>10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 t="s">
        <v>156</v>
      </c>
      <c r="AH59">
        <v>0</v>
      </c>
      <c r="AI59">
        <v>0</v>
      </c>
      <c r="AJ59">
        <v>0</v>
      </c>
      <c r="AK59">
        <v>2</v>
      </c>
      <c r="AL59">
        <v>0</v>
      </c>
    </row>
    <row r="60" spans="1:38">
      <c r="A60" s="101"/>
      <c r="B60" t="s">
        <v>230</v>
      </c>
      <c r="C60" t="s">
        <v>3</v>
      </c>
      <c r="D60" t="s">
        <v>58</v>
      </c>
      <c r="E60" t="s">
        <v>2</v>
      </c>
      <c r="F60" t="s">
        <v>58</v>
      </c>
      <c r="G60" s="45">
        <v>5</v>
      </c>
      <c r="H60">
        <v>125</v>
      </c>
      <c r="I60">
        <v>8</v>
      </c>
      <c r="J60">
        <v>8</v>
      </c>
      <c r="K60">
        <v>0</v>
      </c>
      <c r="L60">
        <v>0</v>
      </c>
      <c r="M60" t="s">
        <v>156</v>
      </c>
      <c r="N60">
        <v>1</v>
      </c>
      <c r="O60">
        <v>22.4</v>
      </c>
      <c r="P60">
        <v>1.8</v>
      </c>
      <c r="Q60" t="s">
        <v>156</v>
      </c>
      <c r="R60">
        <v>22.9</v>
      </c>
      <c r="S60">
        <v>2</v>
      </c>
      <c r="T60" t="s">
        <v>157</v>
      </c>
      <c r="U60">
        <v>3</v>
      </c>
      <c r="V60" t="s">
        <v>156</v>
      </c>
      <c r="W60">
        <v>6</v>
      </c>
      <c r="X60">
        <v>10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 t="s">
        <v>156</v>
      </c>
      <c r="AH60">
        <v>0</v>
      </c>
      <c r="AI60">
        <v>0</v>
      </c>
      <c r="AJ60">
        <v>0</v>
      </c>
      <c r="AK60">
        <v>2</v>
      </c>
      <c r="AL60">
        <v>0</v>
      </c>
    </row>
    <row r="61" spans="1:38">
      <c r="A61" s="101"/>
      <c r="B61" t="s">
        <v>231</v>
      </c>
      <c r="C61" t="s">
        <v>3</v>
      </c>
      <c r="D61" t="s">
        <v>59</v>
      </c>
      <c r="E61" t="s">
        <v>2</v>
      </c>
      <c r="F61" t="s">
        <v>59</v>
      </c>
      <c r="G61" s="45">
        <v>5</v>
      </c>
      <c r="H61">
        <v>125</v>
      </c>
      <c r="I61">
        <v>8</v>
      </c>
      <c r="J61">
        <v>8</v>
      </c>
      <c r="K61">
        <v>0</v>
      </c>
      <c r="L61">
        <v>0</v>
      </c>
      <c r="M61" t="s">
        <v>156</v>
      </c>
      <c r="N61">
        <v>1</v>
      </c>
      <c r="O61">
        <v>22.4</v>
      </c>
      <c r="P61">
        <v>1.8</v>
      </c>
      <c r="Q61" t="s">
        <v>156</v>
      </c>
      <c r="R61">
        <v>22.9</v>
      </c>
      <c r="S61">
        <v>2</v>
      </c>
      <c r="T61" t="s">
        <v>157</v>
      </c>
      <c r="U61">
        <v>3</v>
      </c>
      <c r="V61" t="s">
        <v>156</v>
      </c>
      <c r="W61">
        <v>6</v>
      </c>
      <c r="X61">
        <v>10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 t="s">
        <v>156</v>
      </c>
      <c r="AH61">
        <v>0</v>
      </c>
      <c r="AI61">
        <v>0</v>
      </c>
      <c r="AJ61">
        <v>0</v>
      </c>
      <c r="AK61">
        <v>2</v>
      </c>
      <c r="AL61">
        <v>0</v>
      </c>
    </row>
    <row r="62" spans="1:38">
      <c r="A62" s="101"/>
      <c r="B62" t="s">
        <v>232</v>
      </c>
      <c r="C62" t="s">
        <v>3</v>
      </c>
      <c r="D62" t="s">
        <v>60</v>
      </c>
      <c r="E62" t="s">
        <v>2</v>
      </c>
      <c r="F62" t="s">
        <v>60</v>
      </c>
      <c r="G62" s="45">
        <v>5</v>
      </c>
      <c r="H62">
        <v>125</v>
      </c>
      <c r="I62">
        <v>8</v>
      </c>
      <c r="J62">
        <v>8</v>
      </c>
      <c r="K62">
        <v>5.3999999999999995</v>
      </c>
      <c r="L62">
        <v>0</v>
      </c>
      <c r="M62" t="s">
        <v>156</v>
      </c>
      <c r="N62">
        <v>1</v>
      </c>
      <c r="O62">
        <v>22.4</v>
      </c>
      <c r="P62">
        <v>1.8</v>
      </c>
      <c r="Q62" t="s">
        <v>156</v>
      </c>
      <c r="R62">
        <v>22.9</v>
      </c>
      <c r="S62">
        <v>2</v>
      </c>
      <c r="T62" t="s">
        <v>157</v>
      </c>
      <c r="U62">
        <v>3</v>
      </c>
      <c r="V62" t="s">
        <v>156</v>
      </c>
      <c r="W62">
        <v>6</v>
      </c>
      <c r="X62">
        <v>10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 t="s">
        <v>156</v>
      </c>
      <c r="AH62">
        <v>0</v>
      </c>
      <c r="AI62">
        <v>0</v>
      </c>
      <c r="AJ62">
        <v>0</v>
      </c>
      <c r="AK62">
        <v>2</v>
      </c>
      <c r="AL62">
        <v>0</v>
      </c>
    </row>
    <row r="63" spans="1:38">
      <c r="A63" s="101"/>
      <c r="B63" t="s">
        <v>232</v>
      </c>
      <c r="C63" t="s">
        <v>3</v>
      </c>
      <c r="D63" t="s">
        <v>60</v>
      </c>
      <c r="E63" t="s">
        <v>2</v>
      </c>
      <c r="F63" t="s">
        <v>61</v>
      </c>
      <c r="G63" s="45">
        <v>5</v>
      </c>
      <c r="H63">
        <v>125</v>
      </c>
      <c r="I63">
        <v>8</v>
      </c>
      <c r="J63">
        <v>8</v>
      </c>
      <c r="K63">
        <v>0</v>
      </c>
      <c r="L63">
        <v>0</v>
      </c>
      <c r="M63" t="s">
        <v>156</v>
      </c>
      <c r="N63">
        <v>1</v>
      </c>
      <c r="O63">
        <v>22.4</v>
      </c>
      <c r="P63">
        <v>1.8</v>
      </c>
      <c r="Q63" t="s">
        <v>156</v>
      </c>
      <c r="R63">
        <v>22.9</v>
      </c>
      <c r="S63">
        <v>2</v>
      </c>
      <c r="T63" t="s">
        <v>157</v>
      </c>
      <c r="U63">
        <v>3</v>
      </c>
      <c r="V63" t="s">
        <v>156</v>
      </c>
      <c r="W63">
        <v>6</v>
      </c>
      <c r="X63">
        <v>10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 t="s">
        <v>156</v>
      </c>
      <c r="AH63">
        <v>0</v>
      </c>
      <c r="AI63">
        <v>0</v>
      </c>
      <c r="AJ63">
        <v>0</v>
      </c>
      <c r="AK63">
        <v>2</v>
      </c>
      <c r="AL63">
        <v>0</v>
      </c>
    </row>
    <row r="64" spans="1:38">
      <c r="A64" s="101"/>
      <c r="B64" t="s">
        <v>233</v>
      </c>
      <c r="C64" t="s">
        <v>3</v>
      </c>
      <c r="D64" t="s">
        <v>61</v>
      </c>
      <c r="E64" t="s">
        <v>2</v>
      </c>
      <c r="F64" t="s">
        <v>62</v>
      </c>
      <c r="G64" s="45">
        <v>5</v>
      </c>
      <c r="H64">
        <v>125</v>
      </c>
      <c r="I64">
        <v>8</v>
      </c>
      <c r="J64">
        <v>8</v>
      </c>
      <c r="K64">
        <v>5.3999999999999995</v>
      </c>
      <c r="L64">
        <v>0</v>
      </c>
      <c r="M64" t="s">
        <v>156</v>
      </c>
      <c r="N64">
        <v>1</v>
      </c>
      <c r="O64">
        <v>22.4</v>
      </c>
      <c r="P64">
        <v>1.8</v>
      </c>
      <c r="Q64" t="s">
        <v>156</v>
      </c>
      <c r="R64">
        <v>22.9</v>
      </c>
      <c r="S64">
        <v>2</v>
      </c>
      <c r="T64" t="s">
        <v>157</v>
      </c>
      <c r="U64">
        <v>3</v>
      </c>
      <c r="V64" t="s">
        <v>156</v>
      </c>
      <c r="W64">
        <v>6</v>
      </c>
      <c r="X64">
        <v>10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 t="s">
        <v>156</v>
      </c>
      <c r="AH64">
        <v>0</v>
      </c>
      <c r="AI64">
        <v>0</v>
      </c>
      <c r="AJ64">
        <v>0</v>
      </c>
      <c r="AK64">
        <v>2</v>
      </c>
      <c r="AL64">
        <v>0</v>
      </c>
    </row>
    <row r="65" spans="1:38">
      <c r="A65" s="101"/>
      <c r="B65" t="s">
        <v>233</v>
      </c>
      <c r="C65" t="s">
        <v>3</v>
      </c>
      <c r="D65" t="s">
        <v>61</v>
      </c>
      <c r="E65" t="s">
        <v>2</v>
      </c>
      <c r="F65" t="s">
        <v>63</v>
      </c>
      <c r="G65" s="45">
        <v>5</v>
      </c>
      <c r="H65">
        <v>125</v>
      </c>
      <c r="I65">
        <v>8</v>
      </c>
      <c r="J65">
        <v>8</v>
      </c>
      <c r="K65">
        <v>0</v>
      </c>
      <c r="L65">
        <v>0</v>
      </c>
      <c r="M65" t="s">
        <v>156</v>
      </c>
      <c r="N65">
        <v>1</v>
      </c>
      <c r="O65">
        <v>22.4</v>
      </c>
      <c r="P65">
        <v>1.8</v>
      </c>
      <c r="Q65" t="s">
        <v>156</v>
      </c>
      <c r="R65">
        <v>22.9</v>
      </c>
      <c r="S65">
        <v>2</v>
      </c>
      <c r="T65" t="s">
        <v>157</v>
      </c>
      <c r="U65">
        <v>3</v>
      </c>
      <c r="V65" t="s">
        <v>156</v>
      </c>
      <c r="W65">
        <v>6</v>
      </c>
      <c r="X65">
        <v>10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 t="s">
        <v>156</v>
      </c>
      <c r="AH65">
        <v>0</v>
      </c>
      <c r="AI65">
        <v>0</v>
      </c>
      <c r="AJ65">
        <v>0</v>
      </c>
      <c r="AK65">
        <v>2</v>
      </c>
      <c r="AL65">
        <v>0</v>
      </c>
    </row>
    <row r="66" spans="1:38">
      <c r="A66" s="101"/>
      <c r="B66" t="s">
        <v>234</v>
      </c>
      <c r="C66" t="s">
        <v>3</v>
      </c>
      <c r="D66" t="s">
        <v>62</v>
      </c>
      <c r="E66" t="s">
        <v>2</v>
      </c>
      <c r="F66" t="s">
        <v>64</v>
      </c>
      <c r="G66" s="45">
        <v>5</v>
      </c>
      <c r="H66">
        <v>125</v>
      </c>
      <c r="I66">
        <v>8</v>
      </c>
      <c r="J66">
        <v>8</v>
      </c>
      <c r="K66">
        <v>5.3999999999999995</v>
      </c>
      <c r="L66">
        <v>0</v>
      </c>
      <c r="M66" t="s">
        <v>156</v>
      </c>
      <c r="N66">
        <v>1</v>
      </c>
      <c r="O66">
        <v>22.4</v>
      </c>
      <c r="P66">
        <v>1.8</v>
      </c>
      <c r="Q66" t="s">
        <v>156</v>
      </c>
      <c r="R66">
        <v>22.9</v>
      </c>
      <c r="S66">
        <v>2</v>
      </c>
      <c r="T66" t="s">
        <v>157</v>
      </c>
      <c r="U66">
        <v>3</v>
      </c>
      <c r="V66" t="s">
        <v>156</v>
      </c>
      <c r="W66">
        <v>6</v>
      </c>
      <c r="X66">
        <v>10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 t="s">
        <v>156</v>
      </c>
      <c r="AH66">
        <v>0</v>
      </c>
      <c r="AI66">
        <v>0</v>
      </c>
      <c r="AJ66">
        <v>0</v>
      </c>
      <c r="AK66">
        <v>2</v>
      </c>
      <c r="AL66">
        <v>0</v>
      </c>
    </row>
    <row r="67" spans="1:38">
      <c r="A67" s="101"/>
      <c r="B67" t="s">
        <v>234</v>
      </c>
      <c r="C67" t="s">
        <v>3</v>
      </c>
      <c r="D67" t="s">
        <v>62</v>
      </c>
      <c r="E67" t="s">
        <v>2</v>
      </c>
      <c r="F67" t="s">
        <v>65</v>
      </c>
      <c r="G67" s="45">
        <v>5</v>
      </c>
      <c r="H67">
        <v>125</v>
      </c>
      <c r="I67">
        <v>8</v>
      </c>
      <c r="J67">
        <v>8</v>
      </c>
      <c r="K67">
        <v>0</v>
      </c>
      <c r="L67">
        <v>0</v>
      </c>
      <c r="M67" t="s">
        <v>156</v>
      </c>
      <c r="N67">
        <v>1</v>
      </c>
      <c r="O67">
        <v>22.4</v>
      </c>
      <c r="P67">
        <v>1.8</v>
      </c>
      <c r="Q67" t="s">
        <v>156</v>
      </c>
      <c r="R67">
        <v>22.9</v>
      </c>
      <c r="S67">
        <v>2</v>
      </c>
      <c r="T67" t="s">
        <v>157</v>
      </c>
      <c r="U67">
        <v>3</v>
      </c>
      <c r="V67" t="s">
        <v>156</v>
      </c>
      <c r="W67">
        <v>6</v>
      </c>
      <c r="X67">
        <v>10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 t="s">
        <v>156</v>
      </c>
      <c r="AH67">
        <v>0</v>
      </c>
      <c r="AI67">
        <v>0</v>
      </c>
      <c r="AJ67">
        <v>0</v>
      </c>
      <c r="AK67">
        <v>2</v>
      </c>
      <c r="AL67">
        <v>0</v>
      </c>
    </row>
    <row r="68" spans="1:38">
      <c r="A68" s="101"/>
      <c r="B68" t="s">
        <v>235</v>
      </c>
      <c r="C68" t="s">
        <v>3</v>
      </c>
      <c r="D68" t="s">
        <v>63</v>
      </c>
      <c r="E68" t="s">
        <v>2</v>
      </c>
      <c r="F68" t="s">
        <v>66</v>
      </c>
      <c r="G68" s="45">
        <v>5</v>
      </c>
      <c r="H68">
        <v>125</v>
      </c>
      <c r="I68">
        <v>8</v>
      </c>
      <c r="J68">
        <v>8</v>
      </c>
      <c r="K68">
        <v>5.3999999999999995</v>
      </c>
      <c r="L68">
        <v>0</v>
      </c>
      <c r="M68" t="s">
        <v>156</v>
      </c>
      <c r="N68">
        <v>1</v>
      </c>
      <c r="O68">
        <v>22.4</v>
      </c>
      <c r="P68">
        <v>1.8</v>
      </c>
      <c r="Q68" t="s">
        <v>156</v>
      </c>
      <c r="R68">
        <v>22.9</v>
      </c>
      <c r="S68">
        <v>2</v>
      </c>
      <c r="T68" t="s">
        <v>157</v>
      </c>
      <c r="U68">
        <v>3</v>
      </c>
      <c r="V68" t="s">
        <v>156</v>
      </c>
      <c r="W68">
        <v>6</v>
      </c>
      <c r="X68">
        <v>10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 t="s">
        <v>156</v>
      </c>
      <c r="AH68">
        <v>0</v>
      </c>
      <c r="AI68">
        <v>0</v>
      </c>
      <c r="AJ68">
        <v>0</v>
      </c>
      <c r="AK68">
        <v>2</v>
      </c>
      <c r="AL68">
        <v>0</v>
      </c>
    </row>
    <row r="69" spans="1:38">
      <c r="A69" s="101"/>
      <c r="B69" t="s">
        <v>235</v>
      </c>
      <c r="C69" t="s">
        <v>3</v>
      </c>
      <c r="D69" t="s">
        <v>63</v>
      </c>
      <c r="E69" t="s">
        <v>2</v>
      </c>
      <c r="F69" t="s">
        <v>67</v>
      </c>
      <c r="G69" s="45">
        <v>5</v>
      </c>
      <c r="H69">
        <v>125</v>
      </c>
      <c r="I69">
        <v>8</v>
      </c>
      <c r="J69">
        <v>8</v>
      </c>
      <c r="K69">
        <v>0</v>
      </c>
      <c r="L69">
        <v>0</v>
      </c>
      <c r="M69" t="s">
        <v>156</v>
      </c>
      <c r="N69">
        <v>1</v>
      </c>
      <c r="O69">
        <v>22.4</v>
      </c>
      <c r="P69">
        <v>1.8</v>
      </c>
      <c r="Q69" t="s">
        <v>156</v>
      </c>
      <c r="R69">
        <v>22.9</v>
      </c>
      <c r="S69">
        <v>2</v>
      </c>
      <c r="T69" t="s">
        <v>157</v>
      </c>
      <c r="U69">
        <v>3</v>
      </c>
      <c r="V69" t="s">
        <v>156</v>
      </c>
      <c r="W69">
        <v>6</v>
      </c>
      <c r="X69">
        <v>10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 t="s">
        <v>156</v>
      </c>
      <c r="AH69">
        <v>0</v>
      </c>
      <c r="AI69">
        <v>0</v>
      </c>
      <c r="AJ69">
        <v>0</v>
      </c>
      <c r="AK69">
        <v>2</v>
      </c>
      <c r="AL69">
        <v>0</v>
      </c>
    </row>
    <row r="70" spans="1:38">
      <c r="A70" s="101"/>
      <c r="B70" t="s">
        <v>236</v>
      </c>
      <c r="C70" t="s">
        <v>3</v>
      </c>
      <c r="D70" t="s">
        <v>64</v>
      </c>
      <c r="E70" t="s">
        <v>2</v>
      </c>
      <c r="F70" t="s">
        <v>68</v>
      </c>
      <c r="G70" s="45">
        <v>5</v>
      </c>
      <c r="H70">
        <v>125</v>
      </c>
      <c r="I70">
        <v>8</v>
      </c>
      <c r="J70">
        <v>8</v>
      </c>
      <c r="K70">
        <v>5.3999999999999995</v>
      </c>
      <c r="L70">
        <v>0</v>
      </c>
      <c r="M70" t="s">
        <v>156</v>
      </c>
      <c r="N70">
        <v>1</v>
      </c>
      <c r="O70">
        <v>22.4</v>
      </c>
      <c r="P70">
        <v>1.8</v>
      </c>
      <c r="Q70" t="s">
        <v>156</v>
      </c>
      <c r="R70">
        <v>22.9</v>
      </c>
      <c r="S70">
        <v>2</v>
      </c>
      <c r="T70" t="s">
        <v>157</v>
      </c>
      <c r="U70">
        <v>3</v>
      </c>
      <c r="V70" t="s">
        <v>156</v>
      </c>
      <c r="W70">
        <v>6</v>
      </c>
      <c r="X70">
        <v>10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 t="s">
        <v>156</v>
      </c>
      <c r="AH70">
        <v>0</v>
      </c>
      <c r="AI70">
        <v>0</v>
      </c>
      <c r="AJ70">
        <v>0</v>
      </c>
      <c r="AK70">
        <v>2</v>
      </c>
      <c r="AL70">
        <v>0</v>
      </c>
    </row>
    <row r="71" spans="1:38">
      <c r="B71" t="s">
        <v>236</v>
      </c>
      <c r="C71" t="s">
        <v>3</v>
      </c>
      <c r="D71" t="s">
        <v>64</v>
      </c>
      <c r="E71" t="s">
        <v>2</v>
      </c>
      <c r="F71" t="s">
        <v>69</v>
      </c>
      <c r="G71" s="45">
        <v>5</v>
      </c>
      <c r="H71">
        <v>125</v>
      </c>
      <c r="I71">
        <v>8</v>
      </c>
      <c r="J71">
        <v>8</v>
      </c>
      <c r="K71">
        <v>0</v>
      </c>
      <c r="L71">
        <v>0</v>
      </c>
      <c r="M71" t="s">
        <v>156</v>
      </c>
      <c r="N71">
        <v>1</v>
      </c>
      <c r="O71">
        <v>22.4</v>
      </c>
      <c r="P71">
        <v>1.8</v>
      </c>
      <c r="Q71" t="s">
        <v>156</v>
      </c>
      <c r="R71">
        <v>22.9</v>
      </c>
      <c r="S71">
        <v>2</v>
      </c>
      <c r="T71" t="s">
        <v>157</v>
      </c>
      <c r="U71">
        <v>3</v>
      </c>
      <c r="V71" t="s">
        <v>156</v>
      </c>
      <c r="W71">
        <v>6</v>
      </c>
      <c r="X71">
        <v>10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 t="s">
        <v>156</v>
      </c>
      <c r="AH71">
        <v>0</v>
      </c>
      <c r="AI71">
        <v>0</v>
      </c>
      <c r="AJ71">
        <v>0</v>
      </c>
      <c r="AK71">
        <v>2</v>
      </c>
      <c r="AL71">
        <v>0</v>
      </c>
    </row>
    <row r="72" spans="1:38">
      <c r="B72" t="s">
        <v>237</v>
      </c>
      <c r="C72" t="s">
        <v>3</v>
      </c>
      <c r="D72" t="s">
        <v>65</v>
      </c>
      <c r="E72" t="s">
        <v>2</v>
      </c>
      <c r="F72" t="s">
        <v>70</v>
      </c>
      <c r="G72" s="45">
        <v>5</v>
      </c>
      <c r="H72">
        <v>125</v>
      </c>
      <c r="I72">
        <v>8</v>
      </c>
      <c r="J72">
        <v>8</v>
      </c>
      <c r="K72">
        <v>5.3999999999999995</v>
      </c>
      <c r="L72">
        <v>0</v>
      </c>
      <c r="M72" t="s">
        <v>156</v>
      </c>
      <c r="N72">
        <v>1</v>
      </c>
      <c r="O72">
        <v>22.4</v>
      </c>
      <c r="P72">
        <v>1.8</v>
      </c>
      <c r="Q72" t="s">
        <v>156</v>
      </c>
      <c r="R72">
        <v>22.9</v>
      </c>
      <c r="S72">
        <v>2</v>
      </c>
      <c r="T72" t="s">
        <v>157</v>
      </c>
      <c r="U72">
        <v>3</v>
      </c>
      <c r="V72" t="s">
        <v>156</v>
      </c>
      <c r="W72">
        <v>6</v>
      </c>
      <c r="X72">
        <v>10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 t="s">
        <v>156</v>
      </c>
      <c r="AH72">
        <v>0</v>
      </c>
      <c r="AI72">
        <v>0</v>
      </c>
      <c r="AJ72">
        <v>0</v>
      </c>
      <c r="AK72">
        <v>2</v>
      </c>
      <c r="AL72">
        <v>0</v>
      </c>
    </row>
    <row r="73" spans="1:38">
      <c r="B73" t="s">
        <v>237</v>
      </c>
      <c r="C73" t="s">
        <v>3</v>
      </c>
      <c r="D73" t="s">
        <v>65</v>
      </c>
      <c r="E73" t="s">
        <v>2</v>
      </c>
      <c r="F73" t="s">
        <v>71</v>
      </c>
      <c r="G73" s="45">
        <v>5</v>
      </c>
      <c r="H73">
        <v>125</v>
      </c>
      <c r="I73">
        <v>8</v>
      </c>
      <c r="J73">
        <v>8</v>
      </c>
      <c r="K73">
        <v>0</v>
      </c>
      <c r="L73">
        <v>0</v>
      </c>
      <c r="M73" t="s">
        <v>156</v>
      </c>
      <c r="N73">
        <v>1</v>
      </c>
      <c r="O73">
        <v>22.4</v>
      </c>
      <c r="P73">
        <v>1.8</v>
      </c>
      <c r="Q73" t="s">
        <v>156</v>
      </c>
      <c r="R73">
        <v>22.9</v>
      </c>
      <c r="S73">
        <v>2</v>
      </c>
      <c r="T73" t="s">
        <v>157</v>
      </c>
      <c r="U73">
        <v>3</v>
      </c>
      <c r="V73" t="s">
        <v>156</v>
      </c>
      <c r="W73">
        <v>6</v>
      </c>
      <c r="X73">
        <v>10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 t="s">
        <v>156</v>
      </c>
      <c r="AH73">
        <v>0</v>
      </c>
      <c r="AI73">
        <v>0</v>
      </c>
      <c r="AJ73">
        <v>0</v>
      </c>
      <c r="AK73">
        <v>2</v>
      </c>
      <c r="AL73">
        <v>0</v>
      </c>
    </row>
    <row r="74" spans="1:38">
      <c r="B74" t="s">
        <v>238</v>
      </c>
      <c r="C74" t="s">
        <v>3</v>
      </c>
      <c r="D74" t="s">
        <v>66</v>
      </c>
      <c r="E74" t="s">
        <v>2</v>
      </c>
      <c r="F74" t="s">
        <v>72</v>
      </c>
      <c r="G74" s="45">
        <v>5</v>
      </c>
      <c r="H74">
        <v>125</v>
      </c>
      <c r="I74">
        <v>8</v>
      </c>
      <c r="J74">
        <v>8</v>
      </c>
      <c r="K74">
        <v>5.3999999999999995</v>
      </c>
      <c r="L74">
        <v>0</v>
      </c>
      <c r="M74" t="s">
        <v>156</v>
      </c>
      <c r="N74">
        <v>1</v>
      </c>
      <c r="O74">
        <v>22.4</v>
      </c>
      <c r="P74">
        <v>1.8</v>
      </c>
      <c r="Q74" t="s">
        <v>156</v>
      </c>
      <c r="R74">
        <v>22.9</v>
      </c>
      <c r="S74">
        <v>2</v>
      </c>
      <c r="T74" t="s">
        <v>157</v>
      </c>
      <c r="U74">
        <v>3</v>
      </c>
      <c r="V74" t="s">
        <v>156</v>
      </c>
      <c r="W74">
        <v>6</v>
      </c>
      <c r="X74">
        <v>10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 t="s">
        <v>156</v>
      </c>
      <c r="AH74">
        <v>0</v>
      </c>
      <c r="AI74">
        <v>0</v>
      </c>
      <c r="AJ74">
        <v>0</v>
      </c>
      <c r="AK74">
        <v>2</v>
      </c>
      <c r="AL74">
        <v>0</v>
      </c>
    </row>
    <row r="75" spans="1:38">
      <c r="B75" t="s">
        <v>238</v>
      </c>
      <c r="C75" t="s">
        <v>3</v>
      </c>
      <c r="D75" t="s">
        <v>66</v>
      </c>
      <c r="E75" t="s">
        <v>2</v>
      </c>
      <c r="F75" t="s">
        <v>73</v>
      </c>
      <c r="G75" s="45">
        <v>5</v>
      </c>
      <c r="H75">
        <v>125</v>
      </c>
      <c r="I75">
        <v>8</v>
      </c>
      <c r="J75">
        <v>8</v>
      </c>
      <c r="K75">
        <v>0</v>
      </c>
      <c r="L75">
        <v>0</v>
      </c>
      <c r="M75" t="s">
        <v>156</v>
      </c>
      <c r="N75">
        <v>1</v>
      </c>
      <c r="O75">
        <v>22.4</v>
      </c>
      <c r="P75">
        <v>1.8</v>
      </c>
      <c r="Q75" t="s">
        <v>156</v>
      </c>
      <c r="R75">
        <v>22.9</v>
      </c>
      <c r="S75">
        <v>2</v>
      </c>
      <c r="T75" t="s">
        <v>157</v>
      </c>
      <c r="U75">
        <v>3</v>
      </c>
      <c r="V75" t="s">
        <v>156</v>
      </c>
      <c r="W75">
        <v>6</v>
      </c>
      <c r="X75">
        <v>10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 t="s">
        <v>156</v>
      </c>
      <c r="AH75">
        <v>0</v>
      </c>
      <c r="AI75">
        <v>0</v>
      </c>
      <c r="AJ75">
        <v>0</v>
      </c>
      <c r="AK75">
        <v>2</v>
      </c>
      <c r="AL75">
        <v>0</v>
      </c>
    </row>
    <row r="76" spans="1:38">
      <c r="B76" t="s">
        <v>239</v>
      </c>
      <c r="C76" t="s">
        <v>3</v>
      </c>
      <c r="D76" t="s">
        <v>67</v>
      </c>
      <c r="E76" t="s">
        <v>2</v>
      </c>
      <c r="F76" t="s">
        <v>74</v>
      </c>
      <c r="G76" s="45">
        <v>5</v>
      </c>
      <c r="H76">
        <v>125</v>
      </c>
      <c r="I76">
        <v>8</v>
      </c>
      <c r="J76">
        <v>8</v>
      </c>
      <c r="K76">
        <v>5.3999999999999995</v>
      </c>
      <c r="L76">
        <v>0</v>
      </c>
      <c r="M76" t="s">
        <v>156</v>
      </c>
      <c r="N76">
        <v>1</v>
      </c>
      <c r="O76">
        <v>22.4</v>
      </c>
      <c r="P76">
        <v>1.8</v>
      </c>
      <c r="Q76" t="s">
        <v>156</v>
      </c>
      <c r="R76">
        <v>22.9</v>
      </c>
      <c r="S76">
        <v>2</v>
      </c>
      <c r="T76" t="s">
        <v>157</v>
      </c>
      <c r="U76">
        <v>3</v>
      </c>
      <c r="V76" t="s">
        <v>156</v>
      </c>
      <c r="W76">
        <v>6</v>
      </c>
      <c r="X76">
        <v>10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 t="s">
        <v>156</v>
      </c>
      <c r="AH76">
        <v>0</v>
      </c>
      <c r="AI76">
        <v>0</v>
      </c>
      <c r="AJ76">
        <v>0</v>
      </c>
      <c r="AK76">
        <v>2</v>
      </c>
      <c r="AL76">
        <v>0</v>
      </c>
    </row>
    <row r="77" spans="1:38">
      <c r="B77" t="s">
        <v>239</v>
      </c>
      <c r="C77" t="s">
        <v>3</v>
      </c>
      <c r="D77" t="s">
        <v>67</v>
      </c>
      <c r="E77" t="s">
        <v>2</v>
      </c>
      <c r="F77" t="s">
        <v>75</v>
      </c>
      <c r="G77" s="45">
        <v>5</v>
      </c>
      <c r="H77">
        <v>125</v>
      </c>
      <c r="I77">
        <v>8</v>
      </c>
      <c r="J77">
        <v>8</v>
      </c>
      <c r="K77">
        <v>0</v>
      </c>
      <c r="L77">
        <v>0</v>
      </c>
      <c r="M77" t="s">
        <v>156</v>
      </c>
      <c r="N77">
        <v>1</v>
      </c>
      <c r="O77">
        <v>22.4</v>
      </c>
      <c r="P77">
        <v>1.8</v>
      </c>
      <c r="Q77" t="s">
        <v>156</v>
      </c>
      <c r="R77">
        <v>22.9</v>
      </c>
      <c r="S77">
        <v>2</v>
      </c>
      <c r="T77" t="s">
        <v>157</v>
      </c>
      <c r="U77">
        <v>3</v>
      </c>
      <c r="V77" t="s">
        <v>156</v>
      </c>
      <c r="W77">
        <v>6</v>
      </c>
      <c r="X77">
        <v>10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 t="s">
        <v>156</v>
      </c>
      <c r="AH77">
        <v>0</v>
      </c>
      <c r="AI77">
        <v>0</v>
      </c>
      <c r="AJ77">
        <v>0</v>
      </c>
      <c r="AK77">
        <v>2</v>
      </c>
      <c r="AL77">
        <v>0</v>
      </c>
    </row>
    <row r="78" spans="1:38">
      <c r="B78" t="s">
        <v>240</v>
      </c>
      <c r="C78" t="s">
        <v>3</v>
      </c>
      <c r="D78" t="s">
        <v>68</v>
      </c>
      <c r="E78" t="s">
        <v>2</v>
      </c>
      <c r="F78" t="s">
        <v>76</v>
      </c>
      <c r="G78" s="45">
        <v>5</v>
      </c>
      <c r="H78">
        <v>125</v>
      </c>
      <c r="I78">
        <v>8</v>
      </c>
      <c r="J78">
        <v>8</v>
      </c>
      <c r="K78">
        <v>5.3999999999999995</v>
      </c>
      <c r="L78">
        <v>0</v>
      </c>
      <c r="M78" t="s">
        <v>156</v>
      </c>
      <c r="N78">
        <v>1</v>
      </c>
      <c r="O78">
        <v>22.4</v>
      </c>
      <c r="P78">
        <v>1.8</v>
      </c>
      <c r="Q78" t="s">
        <v>156</v>
      </c>
      <c r="R78">
        <v>22.9</v>
      </c>
      <c r="S78">
        <v>2</v>
      </c>
      <c r="T78" t="s">
        <v>157</v>
      </c>
      <c r="U78">
        <v>3</v>
      </c>
      <c r="V78" t="s">
        <v>156</v>
      </c>
      <c r="W78">
        <v>6</v>
      </c>
      <c r="X78">
        <v>10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 t="s">
        <v>156</v>
      </c>
      <c r="AH78">
        <v>0</v>
      </c>
      <c r="AI78">
        <v>0</v>
      </c>
      <c r="AJ78">
        <v>0</v>
      </c>
      <c r="AK78">
        <v>2</v>
      </c>
      <c r="AL78">
        <v>0</v>
      </c>
    </row>
    <row r="79" spans="1:38">
      <c r="B79" t="s">
        <v>240</v>
      </c>
      <c r="C79" t="s">
        <v>3</v>
      </c>
      <c r="D79" t="s">
        <v>68</v>
      </c>
      <c r="E79" t="s">
        <v>2</v>
      </c>
      <c r="F79" t="s">
        <v>77</v>
      </c>
      <c r="G79" s="45">
        <v>5</v>
      </c>
      <c r="H79">
        <v>125</v>
      </c>
      <c r="I79">
        <v>8</v>
      </c>
      <c r="J79">
        <v>8</v>
      </c>
      <c r="K79">
        <v>0</v>
      </c>
      <c r="L79">
        <v>0</v>
      </c>
      <c r="M79" t="s">
        <v>156</v>
      </c>
      <c r="N79">
        <v>1</v>
      </c>
      <c r="O79">
        <v>22.4</v>
      </c>
      <c r="P79">
        <v>1.8</v>
      </c>
      <c r="Q79" t="s">
        <v>156</v>
      </c>
      <c r="R79">
        <v>22.9</v>
      </c>
      <c r="S79">
        <v>2</v>
      </c>
      <c r="T79" t="s">
        <v>157</v>
      </c>
      <c r="U79">
        <v>3</v>
      </c>
      <c r="V79" t="s">
        <v>156</v>
      </c>
      <c r="W79">
        <v>6</v>
      </c>
      <c r="X79">
        <v>10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 t="s">
        <v>156</v>
      </c>
      <c r="AH79">
        <v>0</v>
      </c>
      <c r="AI79">
        <v>0</v>
      </c>
      <c r="AJ79">
        <v>0</v>
      </c>
      <c r="AK79">
        <v>2</v>
      </c>
      <c r="AL79">
        <v>0</v>
      </c>
    </row>
    <row r="80" spans="1:38">
      <c r="B80" t="s">
        <v>241</v>
      </c>
      <c r="C80" t="s">
        <v>3</v>
      </c>
      <c r="D80" t="s">
        <v>69</v>
      </c>
      <c r="E80" t="s">
        <v>2</v>
      </c>
      <c r="F80" t="s">
        <v>78</v>
      </c>
      <c r="G80" s="45">
        <v>5</v>
      </c>
      <c r="H80">
        <v>125</v>
      </c>
      <c r="I80">
        <v>8</v>
      </c>
      <c r="J80">
        <v>8</v>
      </c>
      <c r="K80">
        <v>5.3999999999999995</v>
      </c>
      <c r="L80">
        <v>0</v>
      </c>
      <c r="M80" t="s">
        <v>156</v>
      </c>
      <c r="N80">
        <v>1</v>
      </c>
      <c r="O80">
        <v>22.4</v>
      </c>
      <c r="P80">
        <v>1.8</v>
      </c>
      <c r="Q80" t="s">
        <v>156</v>
      </c>
      <c r="R80">
        <v>22.9</v>
      </c>
      <c r="S80">
        <v>2</v>
      </c>
      <c r="T80" t="s">
        <v>157</v>
      </c>
      <c r="U80">
        <v>3</v>
      </c>
      <c r="V80" t="s">
        <v>156</v>
      </c>
      <c r="W80">
        <v>6</v>
      </c>
      <c r="X80">
        <v>10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 t="s">
        <v>156</v>
      </c>
      <c r="AH80">
        <v>0</v>
      </c>
      <c r="AI80">
        <v>0</v>
      </c>
      <c r="AJ80">
        <v>0</v>
      </c>
      <c r="AK80">
        <v>2</v>
      </c>
      <c r="AL80">
        <v>0</v>
      </c>
    </row>
    <row r="81" spans="2:38">
      <c r="B81" t="s">
        <v>241</v>
      </c>
      <c r="C81" t="s">
        <v>3</v>
      </c>
      <c r="D81" t="s">
        <v>69</v>
      </c>
      <c r="E81" t="s">
        <v>2</v>
      </c>
      <c r="F81" t="s">
        <v>79</v>
      </c>
      <c r="G81" s="45">
        <v>5</v>
      </c>
      <c r="H81">
        <v>125</v>
      </c>
      <c r="I81">
        <v>8</v>
      </c>
      <c r="J81">
        <v>8</v>
      </c>
      <c r="K81">
        <v>0</v>
      </c>
      <c r="L81">
        <v>0</v>
      </c>
      <c r="M81" t="s">
        <v>156</v>
      </c>
      <c r="N81">
        <v>1</v>
      </c>
      <c r="O81">
        <v>22.4</v>
      </c>
      <c r="P81">
        <v>1.8</v>
      </c>
      <c r="Q81" t="s">
        <v>156</v>
      </c>
      <c r="R81">
        <v>22.9</v>
      </c>
      <c r="S81">
        <v>2</v>
      </c>
      <c r="T81" t="s">
        <v>157</v>
      </c>
      <c r="U81">
        <v>3</v>
      </c>
      <c r="V81" t="s">
        <v>156</v>
      </c>
      <c r="W81">
        <v>6</v>
      </c>
      <c r="X81">
        <v>10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 t="s">
        <v>156</v>
      </c>
      <c r="AH81">
        <v>0</v>
      </c>
      <c r="AI81">
        <v>0</v>
      </c>
      <c r="AJ81">
        <v>0</v>
      </c>
      <c r="AK81">
        <v>2</v>
      </c>
      <c r="AL81">
        <v>0</v>
      </c>
    </row>
    <row r="82" spans="2:38">
      <c r="B82" t="s">
        <v>242</v>
      </c>
      <c r="C82" t="s">
        <v>3</v>
      </c>
      <c r="D82" t="s">
        <v>70</v>
      </c>
      <c r="E82" t="s">
        <v>2</v>
      </c>
      <c r="F82" t="s">
        <v>80</v>
      </c>
      <c r="G82" s="45">
        <v>5</v>
      </c>
      <c r="H82">
        <v>125</v>
      </c>
      <c r="I82">
        <v>8</v>
      </c>
      <c r="J82">
        <v>8</v>
      </c>
      <c r="K82">
        <v>5.3999999999999995</v>
      </c>
      <c r="L82">
        <v>0</v>
      </c>
      <c r="M82" t="s">
        <v>156</v>
      </c>
      <c r="N82">
        <v>1</v>
      </c>
      <c r="O82">
        <v>22.4</v>
      </c>
      <c r="P82">
        <v>1.8</v>
      </c>
      <c r="Q82" t="s">
        <v>156</v>
      </c>
      <c r="R82">
        <v>22.9</v>
      </c>
      <c r="S82">
        <v>2</v>
      </c>
      <c r="T82" t="s">
        <v>157</v>
      </c>
      <c r="U82">
        <v>3</v>
      </c>
      <c r="V82" t="s">
        <v>156</v>
      </c>
      <c r="W82">
        <v>6</v>
      </c>
      <c r="X82">
        <v>10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 t="s">
        <v>156</v>
      </c>
      <c r="AH82">
        <v>0</v>
      </c>
      <c r="AI82">
        <v>0</v>
      </c>
      <c r="AJ82">
        <v>0</v>
      </c>
      <c r="AK82">
        <v>2</v>
      </c>
      <c r="AL82">
        <v>0</v>
      </c>
    </row>
    <row r="83" spans="2:38">
      <c r="B83" t="s">
        <v>242</v>
      </c>
      <c r="C83" t="s">
        <v>3</v>
      </c>
      <c r="D83" t="s">
        <v>70</v>
      </c>
      <c r="E83" t="s">
        <v>2</v>
      </c>
      <c r="F83" t="s">
        <v>81</v>
      </c>
      <c r="G83" s="45">
        <v>5</v>
      </c>
      <c r="H83">
        <v>125</v>
      </c>
      <c r="I83">
        <v>8</v>
      </c>
      <c r="J83">
        <v>8</v>
      </c>
      <c r="K83">
        <v>0</v>
      </c>
      <c r="L83">
        <v>0</v>
      </c>
      <c r="M83" t="s">
        <v>156</v>
      </c>
      <c r="N83">
        <v>1</v>
      </c>
      <c r="O83">
        <v>22.4</v>
      </c>
      <c r="P83">
        <v>1.8</v>
      </c>
      <c r="Q83" t="s">
        <v>156</v>
      </c>
      <c r="R83">
        <v>22.9</v>
      </c>
      <c r="S83">
        <v>2</v>
      </c>
      <c r="T83" t="s">
        <v>157</v>
      </c>
      <c r="U83">
        <v>3</v>
      </c>
      <c r="V83" t="s">
        <v>156</v>
      </c>
      <c r="W83">
        <v>6</v>
      </c>
      <c r="X83">
        <v>10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 t="s">
        <v>156</v>
      </c>
      <c r="AH83">
        <v>0</v>
      </c>
      <c r="AI83">
        <v>0</v>
      </c>
      <c r="AJ83">
        <v>0</v>
      </c>
      <c r="AK83">
        <v>2</v>
      </c>
      <c r="AL83">
        <v>0</v>
      </c>
    </row>
    <row r="84" spans="2:38">
      <c r="B84" t="s">
        <v>243</v>
      </c>
      <c r="C84" t="s">
        <v>3</v>
      </c>
      <c r="D84" t="s">
        <v>71</v>
      </c>
      <c r="E84" t="s">
        <v>2</v>
      </c>
      <c r="F84" t="s">
        <v>82</v>
      </c>
      <c r="G84" s="45">
        <v>5</v>
      </c>
      <c r="H84">
        <v>125</v>
      </c>
      <c r="I84">
        <v>8</v>
      </c>
      <c r="J84">
        <v>8</v>
      </c>
      <c r="K84">
        <v>5.3999999999999995</v>
      </c>
      <c r="L84">
        <v>0</v>
      </c>
      <c r="M84" t="s">
        <v>156</v>
      </c>
      <c r="N84">
        <v>1</v>
      </c>
      <c r="O84">
        <v>22.4</v>
      </c>
      <c r="P84">
        <v>1.8</v>
      </c>
      <c r="Q84" t="s">
        <v>156</v>
      </c>
      <c r="R84">
        <v>22.9</v>
      </c>
      <c r="S84">
        <v>2</v>
      </c>
      <c r="T84" t="s">
        <v>157</v>
      </c>
      <c r="U84">
        <v>3</v>
      </c>
      <c r="V84" t="s">
        <v>156</v>
      </c>
      <c r="W84">
        <v>6</v>
      </c>
      <c r="X84">
        <v>10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 t="s">
        <v>156</v>
      </c>
      <c r="AH84">
        <v>0</v>
      </c>
      <c r="AI84">
        <v>0</v>
      </c>
      <c r="AJ84">
        <v>0</v>
      </c>
      <c r="AK84">
        <v>2</v>
      </c>
      <c r="AL84">
        <v>0</v>
      </c>
    </row>
    <row r="85" spans="2:38">
      <c r="B85" t="s">
        <v>243</v>
      </c>
      <c r="C85" t="s">
        <v>3</v>
      </c>
      <c r="D85" t="s">
        <v>71</v>
      </c>
      <c r="E85" t="s">
        <v>2</v>
      </c>
      <c r="F85" t="s">
        <v>83</v>
      </c>
      <c r="G85" s="45">
        <v>5</v>
      </c>
      <c r="H85">
        <v>125</v>
      </c>
      <c r="I85">
        <v>8</v>
      </c>
      <c r="J85">
        <v>8</v>
      </c>
      <c r="K85">
        <v>0</v>
      </c>
      <c r="L85">
        <v>0</v>
      </c>
      <c r="M85" t="s">
        <v>156</v>
      </c>
      <c r="N85">
        <v>1</v>
      </c>
      <c r="O85">
        <v>22.4</v>
      </c>
      <c r="P85">
        <v>1.8</v>
      </c>
      <c r="Q85" t="s">
        <v>156</v>
      </c>
      <c r="R85">
        <v>22.9</v>
      </c>
      <c r="S85">
        <v>2</v>
      </c>
      <c r="T85" t="s">
        <v>157</v>
      </c>
      <c r="U85">
        <v>3</v>
      </c>
      <c r="V85" t="s">
        <v>156</v>
      </c>
      <c r="W85">
        <v>6</v>
      </c>
      <c r="X85">
        <v>10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 t="s">
        <v>156</v>
      </c>
      <c r="AH85">
        <v>0</v>
      </c>
      <c r="AI85">
        <v>0</v>
      </c>
      <c r="AJ85">
        <v>0</v>
      </c>
      <c r="AK85">
        <v>2</v>
      </c>
      <c r="AL85">
        <v>0</v>
      </c>
    </row>
    <row r="86" spans="2:38">
      <c r="B86" t="s">
        <v>244</v>
      </c>
      <c r="C86" t="s">
        <v>3</v>
      </c>
      <c r="D86" t="s">
        <v>72</v>
      </c>
      <c r="E86" t="s">
        <v>2</v>
      </c>
      <c r="F86" t="s">
        <v>84</v>
      </c>
      <c r="G86" s="45">
        <v>5</v>
      </c>
      <c r="H86">
        <v>125</v>
      </c>
      <c r="I86">
        <v>8</v>
      </c>
      <c r="J86">
        <v>8</v>
      </c>
      <c r="K86">
        <v>0</v>
      </c>
      <c r="L86">
        <v>0</v>
      </c>
      <c r="M86" t="s">
        <v>156</v>
      </c>
      <c r="N86">
        <v>1</v>
      </c>
      <c r="O86">
        <v>22.4</v>
      </c>
      <c r="P86">
        <v>1.8</v>
      </c>
      <c r="Q86" t="s">
        <v>156</v>
      </c>
      <c r="R86">
        <v>22.9</v>
      </c>
      <c r="S86">
        <v>2</v>
      </c>
      <c r="T86" t="s">
        <v>157</v>
      </c>
      <c r="U86">
        <v>3</v>
      </c>
      <c r="V86" t="s">
        <v>156</v>
      </c>
      <c r="W86">
        <v>6</v>
      </c>
      <c r="X86">
        <v>10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 t="s">
        <v>156</v>
      </c>
      <c r="AH86">
        <v>0</v>
      </c>
      <c r="AI86">
        <v>0</v>
      </c>
      <c r="AJ86">
        <v>0</v>
      </c>
      <c r="AK86">
        <v>2</v>
      </c>
      <c r="AL86">
        <v>0</v>
      </c>
    </row>
    <row r="87" spans="2:38">
      <c r="B87" t="s">
        <v>245</v>
      </c>
      <c r="C87" t="s">
        <v>3</v>
      </c>
      <c r="D87" t="s">
        <v>73</v>
      </c>
      <c r="E87" t="s">
        <v>2</v>
      </c>
      <c r="F87" t="s">
        <v>85</v>
      </c>
      <c r="G87" s="45">
        <v>5.3848888888888888</v>
      </c>
      <c r="H87">
        <v>125</v>
      </c>
      <c r="I87">
        <v>8</v>
      </c>
      <c r="J87">
        <v>8</v>
      </c>
      <c r="K87">
        <v>0</v>
      </c>
      <c r="L87">
        <v>0</v>
      </c>
      <c r="M87" t="s">
        <v>156</v>
      </c>
      <c r="N87">
        <v>1</v>
      </c>
      <c r="O87">
        <v>22.4</v>
      </c>
      <c r="P87">
        <v>1.8</v>
      </c>
      <c r="Q87" t="s">
        <v>156</v>
      </c>
      <c r="R87">
        <v>22.9</v>
      </c>
      <c r="S87">
        <v>2</v>
      </c>
      <c r="T87" t="s">
        <v>157</v>
      </c>
      <c r="U87">
        <v>3</v>
      </c>
      <c r="V87" t="s">
        <v>156</v>
      </c>
      <c r="W87">
        <v>6</v>
      </c>
      <c r="X87">
        <v>10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 t="s">
        <v>156</v>
      </c>
      <c r="AH87">
        <v>0</v>
      </c>
      <c r="AI87">
        <v>0</v>
      </c>
      <c r="AJ87">
        <v>0</v>
      </c>
      <c r="AK87">
        <v>2</v>
      </c>
      <c r="AL87">
        <v>0</v>
      </c>
    </row>
    <row r="88" spans="2:38">
      <c r="B88" t="s">
        <v>246</v>
      </c>
      <c r="C88" t="s">
        <v>3</v>
      </c>
      <c r="D88" t="s">
        <v>74</v>
      </c>
      <c r="E88" t="s">
        <v>2</v>
      </c>
      <c r="F88" t="s">
        <v>86</v>
      </c>
      <c r="G88" s="45">
        <v>13.217454545454546</v>
      </c>
      <c r="H88">
        <v>125</v>
      </c>
      <c r="I88">
        <v>8</v>
      </c>
      <c r="J88">
        <v>8</v>
      </c>
      <c r="K88">
        <v>0</v>
      </c>
      <c r="L88">
        <v>0</v>
      </c>
      <c r="M88" t="s">
        <v>156</v>
      </c>
      <c r="N88">
        <v>1</v>
      </c>
      <c r="O88">
        <v>22.4</v>
      </c>
      <c r="P88">
        <v>1.8</v>
      </c>
      <c r="Q88" t="s">
        <v>156</v>
      </c>
      <c r="R88">
        <v>22.9</v>
      </c>
      <c r="S88">
        <v>2</v>
      </c>
      <c r="T88" t="s">
        <v>157</v>
      </c>
      <c r="U88">
        <v>3</v>
      </c>
      <c r="V88" t="s">
        <v>156</v>
      </c>
      <c r="W88">
        <v>6</v>
      </c>
      <c r="X88">
        <v>10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 t="s">
        <v>156</v>
      </c>
      <c r="AH88">
        <v>0</v>
      </c>
      <c r="AI88">
        <v>0</v>
      </c>
      <c r="AJ88">
        <v>0</v>
      </c>
      <c r="AK88">
        <v>2</v>
      </c>
      <c r="AL88">
        <v>0</v>
      </c>
    </row>
    <row r="89" spans="2:38">
      <c r="B89" t="s">
        <v>247</v>
      </c>
      <c r="C89" t="s">
        <v>3</v>
      </c>
      <c r="D89" t="s">
        <v>75</v>
      </c>
      <c r="E89" t="s">
        <v>2</v>
      </c>
      <c r="F89" t="s">
        <v>87</v>
      </c>
      <c r="G89" s="45">
        <v>5.5212151898734172</v>
      </c>
      <c r="H89">
        <v>125</v>
      </c>
      <c r="I89">
        <v>8</v>
      </c>
      <c r="J89">
        <v>8</v>
      </c>
      <c r="K89">
        <v>0</v>
      </c>
      <c r="L89">
        <v>0</v>
      </c>
      <c r="M89" t="s">
        <v>156</v>
      </c>
      <c r="N89">
        <v>1</v>
      </c>
      <c r="O89">
        <v>22.4</v>
      </c>
      <c r="P89">
        <v>1.8</v>
      </c>
      <c r="Q89" t="s">
        <v>156</v>
      </c>
      <c r="R89">
        <v>22.9</v>
      </c>
      <c r="S89">
        <v>2</v>
      </c>
      <c r="T89" t="s">
        <v>157</v>
      </c>
      <c r="U89">
        <v>3</v>
      </c>
      <c r="V89" t="s">
        <v>156</v>
      </c>
      <c r="W89">
        <v>6</v>
      </c>
      <c r="X89">
        <v>10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 t="s">
        <v>156</v>
      </c>
      <c r="AH89">
        <v>0</v>
      </c>
      <c r="AI89">
        <v>0</v>
      </c>
      <c r="AJ89">
        <v>0</v>
      </c>
      <c r="AK89">
        <v>2</v>
      </c>
      <c r="AL89">
        <v>0</v>
      </c>
    </row>
    <row r="90" spans="2:38">
      <c r="B90" t="s">
        <v>248</v>
      </c>
      <c r="C90" t="s">
        <v>3</v>
      </c>
      <c r="D90" t="s">
        <v>76</v>
      </c>
      <c r="E90" t="s">
        <v>2</v>
      </c>
      <c r="F90" t="s">
        <v>88</v>
      </c>
      <c r="G90" s="45">
        <v>5</v>
      </c>
      <c r="H90">
        <v>125</v>
      </c>
      <c r="I90">
        <v>8</v>
      </c>
      <c r="J90">
        <v>8</v>
      </c>
      <c r="K90">
        <v>0</v>
      </c>
      <c r="L90">
        <v>0</v>
      </c>
      <c r="M90" t="s">
        <v>156</v>
      </c>
      <c r="N90">
        <v>1</v>
      </c>
      <c r="O90">
        <v>22.4</v>
      </c>
      <c r="P90">
        <v>1.8</v>
      </c>
      <c r="Q90" t="s">
        <v>156</v>
      </c>
      <c r="R90">
        <v>22.9</v>
      </c>
      <c r="S90">
        <v>2</v>
      </c>
      <c r="T90" t="s">
        <v>157</v>
      </c>
      <c r="U90">
        <v>3</v>
      </c>
      <c r="V90" t="s">
        <v>156</v>
      </c>
      <c r="W90">
        <v>6</v>
      </c>
      <c r="X90">
        <v>10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 t="s">
        <v>156</v>
      </c>
      <c r="AH90">
        <v>0</v>
      </c>
      <c r="AI90">
        <v>0</v>
      </c>
      <c r="AJ90">
        <v>0</v>
      </c>
      <c r="AK90">
        <v>2</v>
      </c>
      <c r="AL90">
        <v>0</v>
      </c>
    </row>
    <row r="91" spans="2:38">
      <c r="B91" t="s">
        <v>249</v>
      </c>
      <c r="C91" t="s">
        <v>3</v>
      </c>
      <c r="D91" t="s">
        <v>77</v>
      </c>
      <c r="E91" t="s">
        <v>2</v>
      </c>
      <c r="F91" t="s">
        <v>89</v>
      </c>
      <c r="G91" s="45">
        <v>6.3213913043478263</v>
      </c>
      <c r="H91">
        <v>125</v>
      </c>
      <c r="I91">
        <v>8</v>
      </c>
      <c r="J91">
        <v>8</v>
      </c>
      <c r="K91">
        <v>0</v>
      </c>
      <c r="L91">
        <v>0</v>
      </c>
      <c r="M91" t="s">
        <v>156</v>
      </c>
      <c r="N91">
        <v>1</v>
      </c>
      <c r="O91">
        <v>22.4</v>
      </c>
      <c r="P91">
        <v>1.8</v>
      </c>
      <c r="Q91" t="s">
        <v>156</v>
      </c>
      <c r="R91">
        <v>22.9</v>
      </c>
      <c r="S91">
        <v>2</v>
      </c>
      <c r="T91" t="s">
        <v>157</v>
      </c>
      <c r="U91">
        <v>3</v>
      </c>
      <c r="V91" t="s">
        <v>156</v>
      </c>
      <c r="W91">
        <v>6</v>
      </c>
      <c r="X91">
        <v>10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 t="s">
        <v>156</v>
      </c>
      <c r="AH91">
        <v>0</v>
      </c>
      <c r="AI91">
        <v>0</v>
      </c>
      <c r="AJ91">
        <v>0</v>
      </c>
      <c r="AK91">
        <v>2</v>
      </c>
      <c r="AL91">
        <v>0</v>
      </c>
    </row>
    <row r="92" spans="2:38">
      <c r="B92" t="s">
        <v>250</v>
      </c>
      <c r="C92" t="s">
        <v>3</v>
      </c>
      <c r="D92" t="s">
        <v>78</v>
      </c>
      <c r="E92" t="s">
        <v>2</v>
      </c>
      <c r="F92" t="s">
        <v>90</v>
      </c>
      <c r="G92" s="45">
        <v>8.2297358490566044</v>
      </c>
      <c r="H92">
        <v>125</v>
      </c>
      <c r="I92">
        <v>8</v>
      </c>
      <c r="J92">
        <v>8</v>
      </c>
      <c r="K92">
        <v>0</v>
      </c>
      <c r="L92">
        <v>0</v>
      </c>
      <c r="M92" t="s">
        <v>156</v>
      </c>
      <c r="N92">
        <v>1</v>
      </c>
      <c r="O92">
        <v>22.4</v>
      </c>
      <c r="P92">
        <v>1.8</v>
      </c>
      <c r="Q92" t="s">
        <v>156</v>
      </c>
      <c r="R92">
        <v>22.9</v>
      </c>
      <c r="S92">
        <v>2</v>
      </c>
      <c r="T92" t="s">
        <v>157</v>
      </c>
      <c r="U92">
        <v>3</v>
      </c>
      <c r="V92" t="s">
        <v>156</v>
      </c>
      <c r="W92">
        <v>6</v>
      </c>
      <c r="X92">
        <v>10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 t="s">
        <v>156</v>
      </c>
      <c r="AH92">
        <v>0</v>
      </c>
      <c r="AI92">
        <v>0</v>
      </c>
      <c r="AJ92">
        <v>0</v>
      </c>
      <c r="AK92">
        <v>2</v>
      </c>
      <c r="AL92">
        <v>0</v>
      </c>
    </row>
    <row r="93" spans="2:38">
      <c r="B93" t="s">
        <v>251</v>
      </c>
      <c r="C93" t="s">
        <v>3</v>
      </c>
      <c r="D93" t="s">
        <v>79</v>
      </c>
      <c r="E93" t="s">
        <v>2</v>
      </c>
      <c r="F93" t="s">
        <v>91</v>
      </c>
      <c r="G93" s="45">
        <v>8.9563860369609856</v>
      </c>
      <c r="H93">
        <v>125</v>
      </c>
      <c r="I93">
        <v>8</v>
      </c>
      <c r="J93">
        <v>8</v>
      </c>
      <c r="K93">
        <v>0</v>
      </c>
      <c r="L93">
        <v>0</v>
      </c>
      <c r="M93" t="s">
        <v>156</v>
      </c>
      <c r="N93">
        <v>1</v>
      </c>
      <c r="O93">
        <v>22.4</v>
      </c>
      <c r="P93">
        <v>1.8</v>
      </c>
      <c r="Q93" t="s">
        <v>156</v>
      </c>
      <c r="R93">
        <v>22.9</v>
      </c>
      <c r="S93">
        <v>2</v>
      </c>
      <c r="T93" t="s">
        <v>157</v>
      </c>
      <c r="U93">
        <v>3</v>
      </c>
      <c r="V93" t="s">
        <v>156</v>
      </c>
      <c r="W93">
        <v>6</v>
      </c>
      <c r="X93">
        <v>10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 t="s">
        <v>156</v>
      </c>
      <c r="AH93">
        <v>0</v>
      </c>
      <c r="AI93">
        <v>0</v>
      </c>
      <c r="AJ93">
        <v>0</v>
      </c>
      <c r="AK93">
        <v>2</v>
      </c>
      <c r="AL93">
        <v>0</v>
      </c>
    </row>
    <row r="94" spans="2:38">
      <c r="B94" t="s">
        <v>252</v>
      </c>
      <c r="C94" t="s">
        <v>3</v>
      </c>
      <c r="D94" t="s">
        <v>80</v>
      </c>
      <c r="E94" t="s">
        <v>2</v>
      </c>
      <c r="F94" t="s">
        <v>92</v>
      </c>
      <c r="G94" s="45">
        <v>5</v>
      </c>
      <c r="H94">
        <v>125</v>
      </c>
      <c r="I94">
        <v>8</v>
      </c>
      <c r="J94">
        <v>8</v>
      </c>
      <c r="K94">
        <v>0</v>
      </c>
      <c r="L94">
        <v>0</v>
      </c>
      <c r="M94" t="s">
        <v>156</v>
      </c>
      <c r="N94">
        <v>1</v>
      </c>
      <c r="O94">
        <v>22.4</v>
      </c>
      <c r="P94">
        <v>1.8</v>
      </c>
      <c r="Q94" t="s">
        <v>156</v>
      </c>
      <c r="R94">
        <v>22.9</v>
      </c>
      <c r="S94">
        <v>2</v>
      </c>
      <c r="T94" t="s">
        <v>157</v>
      </c>
      <c r="U94">
        <v>3</v>
      </c>
      <c r="V94" t="s">
        <v>156</v>
      </c>
      <c r="W94">
        <v>6</v>
      </c>
      <c r="X94">
        <v>10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 t="s">
        <v>156</v>
      </c>
      <c r="AH94">
        <v>0</v>
      </c>
      <c r="AI94">
        <v>0</v>
      </c>
      <c r="AJ94">
        <v>0</v>
      </c>
      <c r="AK94">
        <v>2</v>
      </c>
      <c r="AL94">
        <v>0</v>
      </c>
    </row>
    <row r="95" spans="2:38">
      <c r="B95" t="s">
        <v>253</v>
      </c>
      <c r="C95" t="s">
        <v>3</v>
      </c>
      <c r="D95" t="s">
        <v>81</v>
      </c>
      <c r="E95" t="s">
        <v>2</v>
      </c>
      <c r="F95" t="s">
        <v>93</v>
      </c>
      <c r="G95" s="45">
        <v>6.5100895522388056</v>
      </c>
      <c r="H95">
        <v>125</v>
      </c>
      <c r="I95">
        <v>8</v>
      </c>
      <c r="J95">
        <v>8</v>
      </c>
      <c r="K95">
        <v>0</v>
      </c>
      <c r="L95">
        <v>0</v>
      </c>
      <c r="M95" t="s">
        <v>156</v>
      </c>
      <c r="N95">
        <v>1</v>
      </c>
      <c r="O95">
        <v>22.4</v>
      </c>
      <c r="P95">
        <v>1.8</v>
      </c>
      <c r="Q95" t="s">
        <v>156</v>
      </c>
      <c r="R95">
        <v>22.9</v>
      </c>
      <c r="S95">
        <v>2</v>
      </c>
      <c r="T95" t="s">
        <v>157</v>
      </c>
      <c r="U95">
        <v>3</v>
      </c>
      <c r="V95" t="s">
        <v>156</v>
      </c>
      <c r="W95">
        <v>6</v>
      </c>
      <c r="X95">
        <v>10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 t="s">
        <v>156</v>
      </c>
      <c r="AH95">
        <v>0</v>
      </c>
      <c r="AI95">
        <v>0</v>
      </c>
      <c r="AJ95">
        <v>0</v>
      </c>
      <c r="AK95">
        <v>2</v>
      </c>
      <c r="AL95">
        <v>0</v>
      </c>
    </row>
    <row r="96" spans="2:38">
      <c r="B96" t="s">
        <v>254</v>
      </c>
      <c r="C96" t="s">
        <v>3</v>
      </c>
      <c r="D96" t="s">
        <v>82</v>
      </c>
      <c r="E96" t="s">
        <v>2</v>
      </c>
      <c r="F96" t="s">
        <v>94</v>
      </c>
      <c r="G96" s="45">
        <v>5.5212151898734172</v>
      </c>
      <c r="H96">
        <v>125</v>
      </c>
      <c r="I96">
        <v>8</v>
      </c>
      <c r="J96">
        <v>8</v>
      </c>
      <c r="K96">
        <v>0</v>
      </c>
      <c r="L96">
        <v>0</v>
      </c>
      <c r="M96" t="s">
        <v>156</v>
      </c>
      <c r="N96">
        <v>1</v>
      </c>
      <c r="O96">
        <v>22.4</v>
      </c>
      <c r="P96">
        <v>1.8</v>
      </c>
      <c r="Q96" t="s">
        <v>156</v>
      </c>
      <c r="R96">
        <v>22.9</v>
      </c>
      <c r="S96">
        <v>2</v>
      </c>
      <c r="T96" t="s">
        <v>157</v>
      </c>
      <c r="U96">
        <v>3</v>
      </c>
      <c r="V96" t="s">
        <v>156</v>
      </c>
      <c r="W96">
        <v>6</v>
      </c>
      <c r="X96">
        <v>10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 t="s">
        <v>156</v>
      </c>
      <c r="AH96">
        <v>0</v>
      </c>
      <c r="AI96">
        <v>0</v>
      </c>
      <c r="AJ96">
        <v>0</v>
      </c>
      <c r="AK96">
        <v>2</v>
      </c>
      <c r="AL96">
        <v>0</v>
      </c>
    </row>
    <row r="97" spans="2:38">
      <c r="B97" t="s">
        <v>255</v>
      </c>
      <c r="C97" t="s">
        <v>3</v>
      </c>
      <c r="D97" t="s">
        <v>83</v>
      </c>
      <c r="E97" t="s">
        <v>2</v>
      </c>
      <c r="F97" t="s">
        <v>95</v>
      </c>
      <c r="G97" s="45">
        <v>5</v>
      </c>
      <c r="H97">
        <v>125</v>
      </c>
      <c r="I97">
        <v>8</v>
      </c>
      <c r="J97">
        <v>8</v>
      </c>
      <c r="K97">
        <v>0</v>
      </c>
      <c r="L97">
        <v>0</v>
      </c>
      <c r="M97" t="s">
        <v>156</v>
      </c>
      <c r="N97">
        <v>1</v>
      </c>
      <c r="O97">
        <v>22.4</v>
      </c>
      <c r="P97">
        <v>1.8</v>
      </c>
      <c r="Q97" t="s">
        <v>156</v>
      </c>
      <c r="R97">
        <v>22.9</v>
      </c>
      <c r="S97">
        <v>2</v>
      </c>
      <c r="T97" t="s">
        <v>157</v>
      </c>
      <c r="U97">
        <v>3</v>
      </c>
      <c r="V97" t="s">
        <v>156</v>
      </c>
      <c r="W97">
        <v>6</v>
      </c>
      <c r="X97">
        <v>10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 t="s">
        <v>156</v>
      </c>
      <c r="AH97">
        <v>0</v>
      </c>
      <c r="AI97">
        <v>0</v>
      </c>
      <c r="AJ97">
        <v>0</v>
      </c>
      <c r="AK97">
        <v>2</v>
      </c>
      <c r="AL97">
        <v>0</v>
      </c>
    </row>
  </sheetData>
  <protectedRanges>
    <protectedRange sqref="B1:AL1048576" name="Range1"/>
  </protectedRange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C2F7-BE68-482E-9E90-86DAC29D786D}">
  <sheetPr codeName="Sheet2">
    <pageSetUpPr fitToPage="1"/>
  </sheetPr>
  <dimension ref="A2:S71"/>
  <sheetViews>
    <sheetView showGridLines="0" topLeftCell="A3" zoomScale="74" zoomScaleNormal="74" zoomScalePageLayoutView="90" workbookViewId="0">
      <selection sqref="A1:P60"/>
    </sheetView>
  </sheetViews>
  <sheetFormatPr defaultColWidth="8.81640625" defaultRowHeight="16"/>
  <cols>
    <col min="1" max="1" width="13.453125" style="1" customWidth="1"/>
    <col min="2" max="13" width="8.81640625" style="1"/>
    <col min="14" max="14" width="8.81640625" style="1" customWidth="1"/>
    <col min="15" max="15" width="8.81640625" style="1"/>
    <col min="16" max="16" width="18.453125" style="44" bestFit="1" customWidth="1"/>
    <col min="17" max="17" width="22.453125" style="44" bestFit="1" customWidth="1"/>
    <col min="18" max="18" width="14.26953125" style="44" bestFit="1" customWidth="1"/>
    <col min="19" max="19" width="26.7265625" style="44" bestFit="1" customWidth="1"/>
    <col min="20" max="16384" width="8.81640625" style="1"/>
  </cols>
  <sheetData>
    <row r="2" spans="1:19" s="9" customFormat="1" ht="42" customHeight="1">
      <c r="A2" s="25" t="s">
        <v>33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P2" s="49"/>
      <c r="Q2" s="49"/>
      <c r="R2" s="49"/>
      <c r="S2" s="49"/>
    </row>
    <row r="3" spans="1:19" s="9" customFormat="1" ht="17.5" customHeight="1">
      <c r="A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P3" s="49"/>
      <c r="Q3" s="49"/>
      <c r="R3" s="49"/>
      <c r="S3" s="49"/>
    </row>
    <row r="4" spans="1:19" s="9" customFormat="1" ht="17.5">
      <c r="A4" s="10"/>
      <c r="B4" s="11" t="s">
        <v>16</v>
      </c>
      <c r="P4" s="49"/>
      <c r="Q4" s="49"/>
      <c r="R4" s="49"/>
      <c r="S4" s="49"/>
    </row>
    <row r="5" spans="1:19" s="9" customFormat="1" ht="17.5" customHeight="1">
      <c r="A5" s="26"/>
      <c r="B5" s="12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P5" s="49"/>
      <c r="Q5" s="49"/>
      <c r="R5" s="49"/>
      <c r="S5" s="49"/>
    </row>
    <row r="6" spans="1:19" s="9" customFormat="1" ht="17.5" customHeight="1">
      <c r="A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P6" s="49"/>
      <c r="Q6" s="49"/>
      <c r="R6" s="49"/>
      <c r="S6" s="49"/>
    </row>
    <row r="7" spans="1:19" s="9" customFormat="1" ht="20">
      <c r="A7" s="27" t="s">
        <v>34</v>
      </c>
      <c r="P7" s="49"/>
      <c r="Q7" s="49"/>
      <c r="R7" s="49"/>
      <c r="S7" s="49"/>
    </row>
    <row r="8" spans="1:19" ht="17.5" customHeight="1"/>
    <row r="9" spans="1:19" ht="17.5">
      <c r="C9" s="28">
        <v>1</v>
      </c>
      <c r="D9" s="28">
        <f>C9+1</f>
        <v>2</v>
      </c>
      <c r="E9" s="28">
        <f t="shared" ref="E9:N9" si="0">D9+1</f>
        <v>3</v>
      </c>
      <c r="F9" s="28">
        <f t="shared" si="0"/>
        <v>4</v>
      </c>
      <c r="G9" s="28">
        <f t="shared" si="0"/>
        <v>5</v>
      </c>
      <c r="H9" s="28">
        <f t="shared" si="0"/>
        <v>6</v>
      </c>
      <c r="I9" s="28">
        <f t="shared" si="0"/>
        <v>7</v>
      </c>
      <c r="J9" s="28">
        <f t="shared" si="0"/>
        <v>8</v>
      </c>
      <c r="K9" s="28">
        <f t="shared" si="0"/>
        <v>9</v>
      </c>
      <c r="L9" s="28">
        <f t="shared" si="0"/>
        <v>10</v>
      </c>
      <c r="M9" s="28">
        <f>L9+1</f>
        <v>11</v>
      </c>
      <c r="N9" s="28">
        <f t="shared" si="0"/>
        <v>12</v>
      </c>
      <c r="P9" s="100" t="s">
        <v>5</v>
      </c>
      <c r="Q9" s="100" t="s">
        <v>0</v>
      </c>
      <c r="R9" s="100" t="s">
        <v>7</v>
      </c>
      <c r="S9" s="100" t="s">
        <v>6</v>
      </c>
    </row>
    <row r="10" spans="1:19" ht="17.5">
      <c r="B10" s="28" t="s">
        <v>1</v>
      </c>
      <c r="C10" s="52">
        <f>Q10</f>
        <v>1</v>
      </c>
      <c r="D10" s="53">
        <f>Q11</f>
        <v>2</v>
      </c>
      <c r="E10" s="53">
        <f ca="1">Q12</f>
        <v>3</v>
      </c>
      <c r="F10" s="53">
        <f ca="1">Q13</f>
        <v>4</v>
      </c>
      <c r="G10" s="53">
        <f ca="1">Q14</f>
        <v>5</v>
      </c>
      <c r="H10" s="53">
        <f ca="1">Q15</f>
        <v>6</v>
      </c>
      <c r="I10" s="53">
        <f ca="1">Q16</f>
        <v>7</v>
      </c>
      <c r="J10" s="53">
        <f ca="1">Q17</f>
        <v>8</v>
      </c>
      <c r="K10" s="53">
        <f ca="1">Q18</f>
        <v>9</v>
      </c>
      <c r="L10" s="53">
        <f ca="1">Q19</f>
        <v>10</v>
      </c>
      <c r="M10" s="53">
        <f ca="1">Q20</f>
        <v>11</v>
      </c>
      <c r="N10" s="54">
        <f ca="1">Q21</f>
        <v>12</v>
      </c>
      <c r="P10" s="100">
        <v>1</v>
      </c>
      <c r="Q10" s="100">
        <f>1</f>
        <v>1</v>
      </c>
      <c r="R10" s="100">
        <f>'Sample Loading Table'!E29</f>
        <v>1</v>
      </c>
      <c r="S10" s="100">
        <f>COUNTIF($Q$10:Q10,Q10)</f>
        <v>1</v>
      </c>
    </row>
    <row r="11" spans="1:19" ht="17.5">
      <c r="B11" s="28" t="s">
        <v>2</v>
      </c>
      <c r="C11" s="55">
        <f ca="1">Q22</f>
        <v>13</v>
      </c>
      <c r="D11" s="31">
        <f ca="1">Q23</f>
        <v>13</v>
      </c>
      <c r="E11" s="31">
        <f ca="1">Q24</f>
        <v>14</v>
      </c>
      <c r="F11" s="31">
        <f ca="1">Q25</f>
        <v>14</v>
      </c>
      <c r="G11" s="31">
        <f ca="1">Q26</f>
        <v>15</v>
      </c>
      <c r="H11" s="31">
        <f ca="1">Q27</f>
        <v>15</v>
      </c>
      <c r="I11" s="31">
        <f ca="1">Q28</f>
        <v>16</v>
      </c>
      <c r="J11" s="31">
        <f ca="1">Q29</f>
        <v>16</v>
      </c>
      <c r="K11" s="31">
        <f ca="1">Q30</f>
        <v>17</v>
      </c>
      <c r="L11" s="31">
        <f ca="1">Q31</f>
        <v>17</v>
      </c>
      <c r="M11" s="31">
        <f ca="1">Q32</f>
        <v>18</v>
      </c>
      <c r="N11" s="56">
        <f ca="1">Q33</f>
        <v>18</v>
      </c>
      <c r="P11" s="100">
        <f>P10+1</f>
        <v>2</v>
      </c>
      <c r="Q11" s="100">
        <f>IF(R10=S10,Q10+1,Q10)</f>
        <v>2</v>
      </c>
      <c r="R11" s="100">
        <f ca="1">IF(R10=S10,OFFSET('Sample Loading Table'!$E$28,Q11,0),R10)</f>
        <v>1</v>
      </c>
      <c r="S11" s="100">
        <f>COUNTIF($Q$10:Q11,Q11)</f>
        <v>1</v>
      </c>
    </row>
    <row r="12" spans="1:19" ht="17.5">
      <c r="B12" s="28" t="s">
        <v>3</v>
      </c>
      <c r="C12" s="55">
        <f ca="1">Q34</f>
        <v>19</v>
      </c>
      <c r="D12" s="31">
        <f ca="1">Q35</f>
        <v>19</v>
      </c>
      <c r="E12" s="31">
        <f ca="1">Q36</f>
        <v>20</v>
      </c>
      <c r="F12" s="31">
        <f ca="1">Q37</f>
        <v>20</v>
      </c>
      <c r="G12" s="31">
        <f ca="1">Q38</f>
        <v>21</v>
      </c>
      <c r="H12" s="31">
        <f ca="1">Q39</f>
        <v>21</v>
      </c>
      <c r="I12" s="31">
        <f ca="1">Q40</f>
        <v>22</v>
      </c>
      <c r="J12" s="31">
        <f ca="1">Q41</f>
        <v>22</v>
      </c>
      <c r="K12" s="31">
        <f ca="1">Q42</f>
        <v>23</v>
      </c>
      <c r="L12" s="31">
        <f ca="1">Q43</f>
        <v>23</v>
      </c>
      <c r="M12" s="31">
        <f ca="1">Q44</f>
        <v>24</v>
      </c>
      <c r="N12" s="56">
        <f ca="1">Q45</f>
        <v>24</v>
      </c>
      <c r="P12" s="100">
        <f t="shared" ref="P12:P59" si="1">P11+1</f>
        <v>3</v>
      </c>
      <c r="Q12" s="100">
        <f t="shared" ref="Q12:Q22" ca="1" si="2">IF(R11=S11,Q11+1,Q11)</f>
        <v>3</v>
      </c>
      <c r="R12" s="100">
        <f ca="1">IF(R11=S11,OFFSET('Sample Loading Table'!$E$28,Q12,0),R11)</f>
        <v>1</v>
      </c>
      <c r="S12" s="100">
        <f ca="1">COUNTIF($Q$10:Q12,Q12)</f>
        <v>1</v>
      </c>
    </row>
    <row r="13" spans="1:19" ht="18" thickBot="1">
      <c r="B13" s="28" t="s">
        <v>4</v>
      </c>
      <c r="C13" s="57">
        <f ca="1">Q46</f>
        <v>25</v>
      </c>
      <c r="D13" s="58">
        <f ca="1">Q47</f>
        <v>26</v>
      </c>
      <c r="E13" s="58">
        <f ca="1">Q48</f>
        <v>27</v>
      </c>
      <c r="F13" s="58">
        <f ca="1">Q49</f>
        <v>28</v>
      </c>
      <c r="G13" s="58">
        <f ca="1">Q50</f>
        <v>29</v>
      </c>
      <c r="H13" s="58">
        <f ca="1">Q51</f>
        <v>30</v>
      </c>
      <c r="I13" s="58">
        <f ca="1">Q52</f>
        <v>31</v>
      </c>
      <c r="J13" s="58">
        <f ca="1">Q53</f>
        <v>32</v>
      </c>
      <c r="K13" s="58">
        <f ca="1">Q54</f>
        <v>33</v>
      </c>
      <c r="L13" s="58">
        <f ca="1">Q55</f>
        <v>34</v>
      </c>
      <c r="M13" s="58">
        <f ca="1">Q56</f>
        <v>35</v>
      </c>
      <c r="N13" s="59">
        <f ca="1">Q57</f>
        <v>36</v>
      </c>
      <c r="P13" s="100">
        <f t="shared" si="1"/>
        <v>4</v>
      </c>
      <c r="Q13" s="100">
        <f t="shared" ca="1" si="2"/>
        <v>4</v>
      </c>
      <c r="R13" s="100">
        <f ca="1">IF(R12=S12,OFFSET('Sample Loading Table'!$E$28,Q13,0),R12)</f>
        <v>1</v>
      </c>
      <c r="S13" s="100">
        <f ca="1">COUNTIF($Q$10:Q13,Q13)</f>
        <v>1</v>
      </c>
    </row>
    <row r="14" spans="1:19" ht="17.5">
      <c r="B14" s="28" t="s">
        <v>8</v>
      </c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2"/>
      <c r="P14" s="100">
        <f t="shared" si="1"/>
        <v>5</v>
      </c>
      <c r="Q14" s="100">
        <f t="shared" ca="1" si="2"/>
        <v>5</v>
      </c>
      <c r="R14" s="100">
        <f ca="1">IF(R13=S13,OFFSET('Sample Loading Table'!$E$28,Q14,0),R13)</f>
        <v>1</v>
      </c>
      <c r="S14" s="100">
        <f ca="1">COUNTIF($Q$10:Q14,Q14)</f>
        <v>1</v>
      </c>
    </row>
    <row r="15" spans="1:19" ht="17.5">
      <c r="B15" s="28" t="s">
        <v>9</v>
      </c>
      <c r="C15" s="60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2"/>
      <c r="P15" s="100">
        <f t="shared" si="1"/>
        <v>6</v>
      </c>
      <c r="Q15" s="100">
        <f t="shared" ca="1" si="2"/>
        <v>6</v>
      </c>
      <c r="R15" s="100">
        <f ca="1">IF(R14=S14,OFFSET('Sample Loading Table'!$E$28,Q15,0),R14)</f>
        <v>1</v>
      </c>
      <c r="S15" s="100">
        <f ca="1">COUNTIF($Q$10:Q15,Q15)</f>
        <v>1</v>
      </c>
    </row>
    <row r="16" spans="1:19" ht="17.5">
      <c r="B16" s="28" t="s">
        <v>10</v>
      </c>
      <c r="C16" s="60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2"/>
      <c r="P16" s="100">
        <f t="shared" si="1"/>
        <v>7</v>
      </c>
      <c r="Q16" s="100">
        <f t="shared" ca="1" si="2"/>
        <v>7</v>
      </c>
      <c r="R16" s="100">
        <f ca="1">IF(R15=S15,OFFSET('Sample Loading Table'!$E$28,Q16,0),R15)</f>
        <v>1</v>
      </c>
      <c r="S16" s="100">
        <f ca="1">COUNTIF($Q$10:Q16,Q16)</f>
        <v>1</v>
      </c>
    </row>
    <row r="17" spans="2:19" ht="17.5">
      <c r="B17" s="28" t="s">
        <v>11</v>
      </c>
      <c r="C17" s="63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5"/>
      <c r="P17" s="100">
        <f t="shared" si="1"/>
        <v>8</v>
      </c>
      <c r="Q17" s="100">
        <f ca="1">IF(R16=S16,Q16+1,Q16)</f>
        <v>8</v>
      </c>
      <c r="R17" s="100">
        <f ca="1">IF(R16=S16,OFFSET('Sample Loading Table'!$E$28,Q17,0),R16)</f>
        <v>1</v>
      </c>
      <c r="S17" s="100">
        <f ca="1">COUNTIF($Q$10:Q17,Q17)</f>
        <v>1</v>
      </c>
    </row>
    <row r="18" spans="2:19" ht="17.5">
      <c r="P18" s="100">
        <f t="shared" si="1"/>
        <v>9</v>
      </c>
      <c r="Q18" s="100">
        <f t="shared" ca="1" si="2"/>
        <v>9</v>
      </c>
      <c r="R18" s="100">
        <f ca="1">IF(R17=S17,OFFSET('Sample Loading Table'!$E$28,Q18,0),R17)</f>
        <v>1</v>
      </c>
      <c r="S18" s="100">
        <f ca="1">COUNTIF($Q$10:Q18,Q18)</f>
        <v>1</v>
      </c>
    </row>
    <row r="19" spans="2:19" ht="17.5">
      <c r="C19" s="154">
        <v>0</v>
      </c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P19" s="100">
        <f t="shared" si="1"/>
        <v>10</v>
      </c>
      <c r="Q19" s="100">
        <f t="shared" ca="1" si="2"/>
        <v>10</v>
      </c>
      <c r="R19" s="100">
        <f ca="1">IF(R18=S18,OFFSET('Sample Loading Table'!$E$28,Q19,0),R18)</f>
        <v>1</v>
      </c>
      <c r="S19" s="100">
        <f ca="1">COUNTIF($Q$10:Q19,Q19)</f>
        <v>1</v>
      </c>
    </row>
    <row r="20" spans="2:19" ht="18.649999999999999" customHeight="1">
      <c r="C20" s="152" t="str">
        <f>'Sample Loading Table'!F26</f>
        <v xml:space="preserve">Diluent volumes too high.  Extra Sample Dilution Tubes Required. </v>
      </c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P20" s="100">
        <f t="shared" si="1"/>
        <v>11</v>
      </c>
      <c r="Q20" s="100">
        <f t="shared" ca="1" si="2"/>
        <v>11</v>
      </c>
      <c r="R20" s="100">
        <f ca="1">IF(R19=S19,OFFSET('Sample Loading Table'!$E$28,Q20,0),R19)</f>
        <v>1</v>
      </c>
      <c r="S20" s="100">
        <f ca="1">COUNTIF($Q$10:Q20,Q20)</f>
        <v>1</v>
      </c>
    </row>
    <row r="21" spans="2:19" ht="18.649999999999999" customHeight="1">
      <c r="C21" s="152" t="str">
        <f>(IF(C19=0,"","Please address the warning message on the Sample Loading Table to avoid experimental error"))</f>
        <v/>
      </c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P21" s="100">
        <f>P20+1</f>
        <v>12</v>
      </c>
      <c r="Q21" s="100">
        <f ca="1">IF(R20=S20,Q20+1,Q20)</f>
        <v>12</v>
      </c>
      <c r="R21" s="100">
        <f ca="1">IF(R20=S20,OFFSET('Sample Loading Table'!$E$28,Q21,0),R20)</f>
        <v>1</v>
      </c>
      <c r="S21" s="100">
        <f ca="1">COUNTIF($Q$10:Q21,Q21)</f>
        <v>1</v>
      </c>
    </row>
    <row r="22" spans="2:19" ht="17.5">
      <c r="P22" s="100">
        <f t="shared" si="1"/>
        <v>13</v>
      </c>
      <c r="Q22" s="100">
        <f t="shared" ca="1" si="2"/>
        <v>13</v>
      </c>
      <c r="R22" s="100">
        <f ca="1">IF(R21=S21,OFFSET('Sample Loading Table'!$E$28,Q22,0),R21)</f>
        <v>2</v>
      </c>
      <c r="S22" s="100">
        <f ca="1">COUNTIF($Q$10:Q22,Q22)</f>
        <v>1</v>
      </c>
    </row>
    <row r="23" spans="2:19" ht="22" customHeight="1">
      <c r="C23" s="155" t="s">
        <v>0</v>
      </c>
      <c r="D23" s="155"/>
      <c r="E23" s="155" t="s">
        <v>12</v>
      </c>
      <c r="F23" s="155"/>
      <c r="G23" s="155"/>
      <c r="H23" s="155" t="s">
        <v>14</v>
      </c>
      <c r="I23" s="155"/>
      <c r="J23" s="155"/>
      <c r="P23" s="100">
        <f t="shared" si="1"/>
        <v>14</v>
      </c>
      <c r="Q23" s="100">
        <f ca="1">IF(R22=S22,Q22+1,Q22)</f>
        <v>13</v>
      </c>
      <c r="R23" s="100">
        <f ca="1">IF(R22=S22,OFFSET('Sample Loading Table'!$E$28,Q23,0),R22)</f>
        <v>2</v>
      </c>
      <c r="S23" s="100">
        <f ca="1">COUNTIF($Q$10:Q23,Q23)</f>
        <v>2</v>
      </c>
    </row>
    <row r="24" spans="2:19" ht="17.5">
      <c r="C24" s="151">
        <f>IF(OR((H24=0),(ISBLANK(H24))),"",'Sample Loading Table'!A29)</f>
        <v>1</v>
      </c>
      <c r="D24" s="151"/>
      <c r="E24" s="152" t="str">
        <f>IF(OR((H24=0),(ISBLANK(H24))),"",'Sample Loading Table'!B29)</f>
        <v>V26</v>
      </c>
      <c r="F24" s="152"/>
      <c r="G24" s="152"/>
      <c r="H24" s="153">
        <f>'Sample Loading Table'!C29</f>
        <v>2.7E-2</v>
      </c>
      <c r="I24" s="153"/>
      <c r="J24" s="153"/>
      <c r="P24" s="100">
        <f t="shared" si="1"/>
        <v>15</v>
      </c>
      <c r="Q24" s="100">
        <f t="shared" ref="Q24:Q27" ca="1" si="3">IF(R23=S23,Q23+1,Q23)</f>
        <v>14</v>
      </c>
      <c r="R24" s="100">
        <f ca="1">IF(R23=S23,OFFSET('Sample Loading Table'!$E$28,Q24,0),R23)</f>
        <v>2</v>
      </c>
      <c r="S24" s="100">
        <f ca="1">COUNTIF($Q$10:Q24,Q24)</f>
        <v>1</v>
      </c>
    </row>
    <row r="25" spans="2:19" ht="17.5">
      <c r="C25" s="151">
        <f>IF(OR((H25=0),(ISBLANK(H25))),"",'Sample Loading Table'!A30)</f>
        <v>2</v>
      </c>
      <c r="D25" s="151"/>
      <c r="E25" s="152" t="str">
        <f>IF(OR((H25=0),(ISBLANK(H25))),"",'Sample Loading Table'!B30)</f>
        <v>U1</v>
      </c>
      <c r="F25" s="152"/>
      <c r="G25" s="152"/>
      <c r="H25" s="153">
        <f>'Sample Loading Table'!C30</f>
        <v>2.7E-2</v>
      </c>
      <c r="I25" s="153"/>
      <c r="J25" s="153"/>
      <c r="P25" s="100">
        <f t="shared" si="1"/>
        <v>16</v>
      </c>
      <c r="Q25" s="100">
        <f t="shared" ca="1" si="3"/>
        <v>14</v>
      </c>
      <c r="R25" s="100">
        <f ca="1">IF(R24=S24,OFFSET('Sample Loading Table'!$E$28,Q25,0),R24)</f>
        <v>2</v>
      </c>
      <c r="S25" s="100">
        <f ca="1">COUNTIF($Q$10:Q25,Q25)</f>
        <v>2</v>
      </c>
    </row>
    <row r="26" spans="2:19" ht="17.5">
      <c r="C26" s="151">
        <f>IF(OR((H26=0),(ISBLANK(H26))),"",'Sample Loading Table'!A31)</f>
        <v>3</v>
      </c>
      <c r="D26" s="151"/>
      <c r="E26" s="152" t="str">
        <f>IF(OR((H26=0),(ISBLANK(H26))),"",'Sample Loading Table'!B31)</f>
        <v>U2</v>
      </c>
      <c r="F26" s="152"/>
      <c r="G26" s="152"/>
      <c r="H26" s="153">
        <f>'Sample Loading Table'!C31</f>
        <v>2.7E-2</v>
      </c>
      <c r="I26" s="153"/>
      <c r="J26" s="153"/>
      <c r="P26" s="100">
        <f t="shared" si="1"/>
        <v>17</v>
      </c>
      <c r="Q26" s="100">
        <f t="shared" ca="1" si="3"/>
        <v>15</v>
      </c>
      <c r="R26" s="100">
        <f ca="1">IF(R25=S25,OFFSET('Sample Loading Table'!$E$28,Q26,0),R25)</f>
        <v>2</v>
      </c>
      <c r="S26" s="100">
        <f ca="1">COUNTIF($Q$10:Q26,Q26)</f>
        <v>1</v>
      </c>
    </row>
    <row r="27" spans="2:19" ht="17.5">
      <c r="C27" s="151">
        <f>IF(OR((H27=0),(ISBLANK(H27))),"",'Sample Loading Table'!A32)</f>
        <v>4</v>
      </c>
      <c r="D27" s="151"/>
      <c r="E27" s="152" t="str">
        <f>IF(OR((H27=0),(ISBLANK(H27))),"",'Sample Loading Table'!B32)</f>
        <v>U3</v>
      </c>
      <c r="F27" s="152"/>
      <c r="G27" s="152"/>
      <c r="H27" s="153">
        <f>'Sample Loading Table'!C32</f>
        <v>2.7E-2</v>
      </c>
      <c r="I27" s="153"/>
      <c r="J27" s="153"/>
      <c r="P27" s="100">
        <f t="shared" si="1"/>
        <v>18</v>
      </c>
      <c r="Q27" s="100">
        <f t="shared" ca="1" si="3"/>
        <v>15</v>
      </c>
      <c r="R27" s="100">
        <f ca="1">IF(R26=S26,OFFSET('Sample Loading Table'!$E$28,Q27,0),R26)</f>
        <v>2</v>
      </c>
      <c r="S27" s="100">
        <f ca="1">COUNTIF($Q$10:Q27,Q27)</f>
        <v>2</v>
      </c>
    </row>
    <row r="28" spans="2:19" ht="17.5">
      <c r="C28" s="151">
        <f>IF(OR((H28=0),(ISBLANK(H28))),"",'Sample Loading Table'!A33)</f>
        <v>5</v>
      </c>
      <c r="D28" s="151"/>
      <c r="E28" s="152" t="str">
        <f>IF(OR((H28=0),(ISBLANK(H28))),"",'Sample Loading Table'!B33)</f>
        <v>V31</v>
      </c>
      <c r="F28" s="152"/>
      <c r="G28" s="152"/>
      <c r="H28" s="153">
        <f>'Sample Loading Table'!C33</f>
        <v>2.7E-2</v>
      </c>
      <c r="I28" s="153"/>
      <c r="J28" s="153"/>
      <c r="P28" s="100">
        <f>P27+1</f>
        <v>19</v>
      </c>
      <c r="Q28" s="100">
        <f ca="1">IF(R27=S27,Q27+1,Q27)</f>
        <v>16</v>
      </c>
      <c r="R28" s="100">
        <f ca="1">IF(R27=S27,OFFSET('Sample Loading Table'!$E$28,Q28,0),R27)</f>
        <v>2</v>
      </c>
      <c r="S28" s="100">
        <f ca="1">COUNTIF($Q$10:Q28,Q28)</f>
        <v>1</v>
      </c>
    </row>
    <row r="29" spans="2:19" ht="17.5">
      <c r="C29" s="151">
        <f>IF(OR((H29=0),(ISBLANK(H29))),"",'Sample Loading Table'!A34)</f>
        <v>6</v>
      </c>
      <c r="D29" s="151"/>
      <c r="E29" s="152" t="str">
        <f>IF(OR((H29=0),(ISBLANK(H29))),"",'Sample Loading Table'!B34)</f>
        <v>V9</v>
      </c>
      <c r="F29" s="152"/>
      <c r="G29" s="152"/>
      <c r="H29" s="153">
        <f>'Sample Loading Table'!C34</f>
        <v>2.7E-2</v>
      </c>
      <c r="I29" s="153"/>
      <c r="J29" s="153"/>
      <c r="P29" s="100">
        <f t="shared" si="1"/>
        <v>20</v>
      </c>
      <c r="Q29" s="100">
        <f t="shared" ref="Q29:Q33" ca="1" si="4">IF(R28=S28,Q28+1,Q28)</f>
        <v>16</v>
      </c>
      <c r="R29" s="100">
        <f ca="1">IF(R28=S28,OFFSET('Sample Loading Table'!$E$28,Q29,0),R28)</f>
        <v>2</v>
      </c>
      <c r="S29" s="100">
        <f ca="1">COUNTIF($Q$10:Q29,Q29)</f>
        <v>2</v>
      </c>
    </row>
    <row r="30" spans="2:19" ht="17.5">
      <c r="C30" s="151">
        <f>IF(OR((H30=0),(ISBLANK(H30))),"",'Sample Loading Table'!A35)</f>
        <v>7</v>
      </c>
      <c r="D30" s="151"/>
      <c r="E30" s="152" t="str">
        <f>IF(OR((H30=0),(ISBLANK(H30))),"",'Sample Loading Table'!B35)</f>
        <v>V5</v>
      </c>
      <c r="F30" s="152"/>
      <c r="G30" s="152"/>
      <c r="H30" s="153">
        <f>'Sample Loading Table'!C35</f>
        <v>2.7E-2</v>
      </c>
      <c r="I30" s="153"/>
      <c r="J30" s="153"/>
      <c r="P30" s="100">
        <f t="shared" si="1"/>
        <v>21</v>
      </c>
      <c r="Q30" s="100">
        <f t="shared" ca="1" si="4"/>
        <v>17</v>
      </c>
      <c r="R30" s="100">
        <f ca="1">IF(R29=S29,OFFSET('Sample Loading Table'!$E$28,Q30,0),R29)</f>
        <v>2</v>
      </c>
      <c r="S30" s="100">
        <f ca="1">COUNTIF($Q$10:Q30,Q30)</f>
        <v>1</v>
      </c>
    </row>
    <row r="31" spans="2:19" ht="17.5">
      <c r="C31" s="151">
        <f>IF(OR((H31=0),(ISBLANK(H31))),"",'Sample Loading Table'!A36)</f>
        <v>8</v>
      </c>
      <c r="D31" s="151"/>
      <c r="E31" s="152" t="str">
        <f>IF(OR((H31=0),(ISBLANK(H31))),"",'Sample Loading Table'!B36)</f>
        <v>V17</v>
      </c>
      <c r="F31" s="152"/>
      <c r="G31" s="152"/>
      <c r="H31" s="153">
        <f>'Sample Loading Table'!C36</f>
        <v>2.7E-2</v>
      </c>
      <c r="I31" s="153"/>
      <c r="J31" s="153"/>
      <c r="P31" s="100">
        <f t="shared" si="1"/>
        <v>22</v>
      </c>
      <c r="Q31" s="100">
        <f t="shared" ca="1" si="4"/>
        <v>17</v>
      </c>
      <c r="R31" s="100">
        <f ca="1">IF(R30=S30,OFFSET('Sample Loading Table'!$E$28,Q31,0),R30)</f>
        <v>2</v>
      </c>
      <c r="S31" s="100">
        <f ca="1">COUNTIF($Q$10:Q31,Q31)</f>
        <v>2</v>
      </c>
    </row>
    <row r="32" spans="2:19" ht="17.5">
      <c r="C32" s="151">
        <f>IF(OR((H32=0),(ISBLANK(H32))),"",'Sample Loading Table'!A37)</f>
        <v>9</v>
      </c>
      <c r="D32" s="151"/>
      <c r="E32" s="152" t="str">
        <f>IF(OR((H32=0),(ISBLANK(H32))),"",'Sample Loading Table'!B37)</f>
        <v>V23</v>
      </c>
      <c r="F32" s="152"/>
      <c r="G32" s="152"/>
      <c r="H32" s="153">
        <f>'Sample Loading Table'!C37</f>
        <v>2.8000000000000001E-2</v>
      </c>
      <c r="I32" s="153"/>
      <c r="J32" s="153"/>
      <c r="P32" s="100">
        <f t="shared" si="1"/>
        <v>23</v>
      </c>
      <c r="Q32" s="100">
        <f t="shared" ca="1" si="4"/>
        <v>18</v>
      </c>
      <c r="R32" s="100">
        <f ca="1">IF(R31=S31,OFFSET('Sample Loading Table'!$E$28,Q32,0),R31)</f>
        <v>2</v>
      </c>
      <c r="S32" s="100">
        <f ca="1">COUNTIF($Q$10:Q32,Q32)</f>
        <v>1</v>
      </c>
    </row>
    <row r="33" spans="3:19" ht="17.5">
      <c r="C33" s="151">
        <f>IF(OR((H33=0),(ISBLANK(H33))),"",'Sample Loading Table'!A38)</f>
        <v>10</v>
      </c>
      <c r="D33" s="151"/>
      <c r="E33" s="152" t="str">
        <f>IF(OR((H33=0),(ISBLANK(H33))),"",'Sample Loading Table'!B38)</f>
        <v>V33</v>
      </c>
      <c r="F33" s="152"/>
      <c r="G33" s="152"/>
      <c r="H33" s="153">
        <f>'Sample Loading Table'!C38</f>
        <v>2.8000000000000001E-2</v>
      </c>
      <c r="I33" s="153"/>
      <c r="J33" s="153"/>
      <c r="P33" s="100">
        <f>P32+1</f>
        <v>24</v>
      </c>
      <c r="Q33" s="100">
        <f t="shared" ca="1" si="4"/>
        <v>18</v>
      </c>
      <c r="R33" s="100">
        <f ca="1">IF(R32=S32,OFFSET('Sample Loading Table'!$E$28,Q33,0),R32)</f>
        <v>2</v>
      </c>
      <c r="S33" s="100">
        <f ca="1">COUNTIF($Q$10:Q33,Q33)</f>
        <v>2</v>
      </c>
    </row>
    <row r="34" spans="3:19" ht="17.5">
      <c r="C34" s="151">
        <f>IF(OR((H34=0),(ISBLANK(H34))),"",'Sample Loading Table'!A39)</f>
        <v>11</v>
      </c>
      <c r="D34" s="151"/>
      <c r="E34" s="152" t="str">
        <f>IF(OR((H34=0),(ISBLANK(H34))),"",'Sample Loading Table'!B39)</f>
        <v>U4</v>
      </c>
      <c r="F34" s="152"/>
      <c r="G34" s="152"/>
      <c r="H34" s="153">
        <f>'Sample Loading Table'!C39</f>
        <v>2.8000000000000001E-2</v>
      </c>
      <c r="I34" s="153"/>
      <c r="J34" s="153"/>
      <c r="P34" s="100">
        <f t="shared" si="1"/>
        <v>25</v>
      </c>
      <c r="Q34" s="100">
        <f ca="1">IF(R33=S33,Q33+1,Q33)</f>
        <v>19</v>
      </c>
      <c r="R34" s="100">
        <f ca="1">IF(R33=S33,OFFSET('Sample Loading Table'!$E$28,Q34,0),R33)</f>
        <v>2</v>
      </c>
      <c r="S34" s="100">
        <f ca="1">COUNTIF($Q$10:Q34,Q34)</f>
        <v>1</v>
      </c>
    </row>
    <row r="35" spans="3:19" ht="17.5">
      <c r="C35" s="151">
        <f>IF(OR((H35=0),(ISBLANK(H35))),"",'Sample Loading Table'!A40)</f>
        <v>12</v>
      </c>
      <c r="D35" s="151"/>
      <c r="E35" s="152" t="str">
        <f>IF(OR((H35=0),(ISBLANK(H35))),"",'Sample Loading Table'!B40)</f>
        <v>U5</v>
      </c>
      <c r="F35" s="152"/>
      <c r="G35" s="152"/>
      <c r="H35" s="153">
        <f>'Sample Loading Table'!C40</f>
        <v>2.8000000000000001E-2</v>
      </c>
      <c r="I35" s="153"/>
      <c r="J35" s="153"/>
      <c r="P35" s="100">
        <f t="shared" si="1"/>
        <v>26</v>
      </c>
      <c r="Q35" s="100">
        <f t="shared" ref="Q35:Q43" ca="1" si="5">IF(R34=S34,Q34+1,Q34)</f>
        <v>19</v>
      </c>
      <c r="R35" s="100">
        <f ca="1">IF(R34=S34,OFFSET('Sample Loading Table'!$E$28,Q35,0),R34)</f>
        <v>2</v>
      </c>
      <c r="S35" s="100">
        <f ca="1">COUNTIF($Q$10:Q35,Q35)</f>
        <v>2</v>
      </c>
    </row>
    <row r="36" spans="3:19" ht="17.5">
      <c r="C36" s="151">
        <f>IF(OR((H36=0),(ISBLANK(H36))),"",'Sample Loading Table'!A41)</f>
        <v>13</v>
      </c>
      <c r="D36" s="151"/>
      <c r="E36" s="152" t="str">
        <f>IF(OR((H36=0),(ISBLANK(H36))),"",'Sample Loading Table'!B41)</f>
        <v>U6</v>
      </c>
      <c r="F36" s="152"/>
      <c r="G36" s="152"/>
      <c r="H36" s="153">
        <f>'Sample Loading Table'!C41</f>
        <v>2.8000000000000001E-2</v>
      </c>
      <c r="I36" s="153"/>
      <c r="J36" s="153"/>
      <c r="P36" s="100">
        <f t="shared" si="1"/>
        <v>27</v>
      </c>
      <c r="Q36" s="100">
        <f t="shared" ca="1" si="5"/>
        <v>20</v>
      </c>
      <c r="R36" s="100">
        <f ca="1">IF(R35=S35,OFFSET('Sample Loading Table'!$E$28,Q36,0),R35)</f>
        <v>2</v>
      </c>
      <c r="S36" s="100">
        <f ca="1">COUNTIF($Q$10:Q36,Q36)</f>
        <v>1</v>
      </c>
    </row>
    <row r="37" spans="3:19" ht="17.5">
      <c r="C37" s="151">
        <f>IF(OR((H37=0),(ISBLANK(H37))),"",'Sample Loading Table'!A42)</f>
        <v>14</v>
      </c>
      <c r="D37" s="151"/>
      <c r="E37" s="152" t="str">
        <f>IF(OR((H37=0),(ISBLANK(H37))),"",'Sample Loading Table'!B42)</f>
        <v>U7</v>
      </c>
      <c r="F37" s="152"/>
      <c r="G37" s="152"/>
      <c r="H37" s="153">
        <f>'Sample Loading Table'!C42</f>
        <v>2.8000000000000001E-2</v>
      </c>
      <c r="I37" s="153"/>
      <c r="J37" s="153"/>
      <c r="P37" s="100">
        <f t="shared" si="1"/>
        <v>28</v>
      </c>
      <c r="Q37" s="100">
        <f t="shared" ca="1" si="5"/>
        <v>20</v>
      </c>
      <c r="R37" s="100">
        <f ca="1">IF(R36=S36,OFFSET('Sample Loading Table'!$E$28,Q37,0),R36)</f>
        <v>2</v>
      </c>
      <c r="S37" s="100">
        <f ca="1">COUNTIF($Q$10:Q37,Q37)</f>
        <v>2</v>
      </c>
    </row>
    <row r="38" spans="3:19" ht="17.5">
      <c r="C38" s="151">
        <f>IF(OR((H38=0),(ISBLANK(H38))),"",'Sample Loading Table'!A43)</f>
        <v>15</v>
      </c>
      <c r="D38" s="151"/>
      <c r="E38" s="152" t="str">
        <f>IF(OR((H38=0),(ISBLANK(H38))),"",'Sample Loading Table'!B43)</f>
        <v>U9</v>
      </c>
      <c r="F38" s="152"/>
      <c r="G38" s="152"/>
      <c r="H38" s="153">
        <f>'Sample Loading Table'!C43</f>
        <v>2.8000000000000001E-2</v>
      </c>
      <c r="I38" s="153"/>
      <c r="J38" s="153"/>
      <c r="P38" s="100">
        <f t="shared" si="1"/>
        <v>29</v>
      </c>
      <c r="Q38" s="100">
        <f t="shared" ca="1" si="5"/>
        <v>21</v>
      </c>
      <c r="R38" s="100">
        <f ca="1">IF(R37=S37,OFFSET('Sample Loading Table'!$E$28,Q38,0),R37)</f>
        <v>2</v>
      </c>
      <c r="S38" s="100">
        <f ca="1">COUNTIF($Q$10:Q38,Q38)</f>
        <v>1</v>
      </c>
    </row>
    <row r="39" spans="3:19" ht="17.5">
      <c r="C39" s="151">
        <f>IF(OR((H39=0),(ISBLANK(H39))),"",'Sample Loading Table'!A44)</f>
        <v>16</v>
      </c>
      <c r="D39" s="151"/>
      <c r="E39" s="152" t="str">
        <f>IF(OR((H39=0),(ISBLANK(H39))),"",'Sample Loading Table'!B44)</f>
        <v>V2</v>
      </c>
      <c r="F39" s="152"/>
      <c r="G39" s="152"/>
      <c r="H39" s="153">
        <f>'Sample Loading Table'!C44</f>
        <v>2.8000000000000001E-2</v>
      </c>
      <c r="I39" s="153"/>
      <c r="J39" s="153"/>
      <c r="P39" s="100">
        <f t="shared" si="1"/>
        <v>30</v>
      </c>
      <c r="Q39" s="100">
        <f t="shared" ca="1" si="5"/>
        <v>21</v>
      </c>
      <c r="R39" s="100">
        <f ca="1">IF(R38=S38,OFFSET('Sample Loading Table'!$E$28,Q39,0),R38)</f>
        <v>2</v>
      </c>
      <c r="S39" s="100">
        <f ca="1">COUNTIF($Q$10:Q39,Q39)</f>
        <v>2</v>
      </c>
    </row>
    <row r="40" spans="3:19" ht="17.5">
      <c r="C40" s="151">
        <f>IF(OR((H40=0),(ISBLANK(H40))),"",'Sample Loading Table'!A45)</f>
        <v>17</v>
      </c>
      <c r="D40" s="151"/>
      <c r="E40" s="152" t="str">
        <f>IF(OR((H40=0),(ISBLANK(H40))),"",'Sample Loading Table'!B45)</f>
        <v>P1</v>
      </c>
      <c r="F40" s="152"/>
      <c r="G40" s="152"/>
      <c r="H40" s="153">
        <f>'Sample Loading Table'!C45</f>
        <v>2.8000000000000001E-2</v>
      </c>
      <c r="I40" s="153"/>
      <c r="J40" s="153"/>
      <c r="P40" s="100">
        <f t="shared" si="1"/>
        <v>31</v>
      </c>
      <c r="Q40" s="100">
        <f t="shared" ca="1" si="5"/>
        <v>22</v>
      </c>
      <c r="R40" s="100">
        <f ca="1">IF(R39=S39,OFFSET('Sample Loading Table'!$E$28,Q40,0),R39)</f>
        <v>2</v>
      </c>
      <c r="S40" s="100">
        <f ca="1">COUNTIF($Q$10:Q40,Q40)</f>
        <v>1</v>
      </c>
    </row>
    <row r="41" spans="3:19" ht="17.5">
      <c r="C41" s="151">
        <f>IF(OR((H41=0),(ISBLANK(H41))),"",'Sample Loading Table'!A46)</f>
        <v>18</v>
      </c>
      <c r="D41" s="151"/>
      <c r="E41" s="152" t="str">
        <f>IF(OR((H41=0),(ISBLANK(H41))),"",'Sample Loading Table'!B46)</f>
        <v>P2</v>
      </c>
      <c r="F41" s="152"/>
      <c r="G41" s="152"/>
      <c r="H41" s="153">
        <f>'Sample Loading Table'!C46</f>
        <v>2.8000000000000001E-2</v>
      </c>
      <c r="I41" s="153"/>
      <c r="J41" s="153"/>
      <c r="P41" s="100">
        <f>P40+1</f>
        <v>32</v>
      </c>
      <c r="Q41" s="100">
        <f t="shared" ca="1" si="5"/>
        <v>22</v>
      </c>
      <c r="R41" s="100">
        <f ca="1">IF(R40=S40,OFFSET('Sample Loading Table'!$E$28,Q41,0),R40)</f>
        <v>2</v>
      </c>
      <c r="S41" s="100">
        <f ca="1">COUNTIF($Q$10:Q41,Q41)</f>
        <v>2</v>
      </c>
    </row>
    <row r="42" spans="3:19" ht="17.5">
      <c r="C42" s="151">
        <f>IF(OR((H42=0),(ISBLANK(H42))),"",'Sample Loading Table'!A47)</f>
        <v>19</v>
      </c>
      <c r="D42" s="151"/>
      <c r="E42" s="152" t="str">
        <f>IF(OR((H42=0),(ISBLANK(H42))),"",'Sample Loading Table'!B47)</f>
        <v>C5</v>
      </c>
      <c r="F42" s="152"/>
      <c r="G42" s="152"/>
      <c r="H42" s="153">
        <f>'Sample Loading Table'!C47</f>
        <v>2.8000000000000001E-2</v>
      </c>
      <c r="I42" s="153"/>
      <c r="J42" s="153"/>
      <c r="P42" s="100">
        <f t="shared" si="1"/>
        <v>33</v>
      </c>
      <c r="Q42" s="100">
        <f t="shared" ca="1" si="5"/>
        <v>23</v>
      </c>
      <c r="R42" s="100">
        <f ca="1">IF(R41=S41,OFFSET('Sample Loading Table'!$E$28,Q42,0),R41)</f>
        <v>2</v>
      </c>
      <c r="S42" s="100">
        <f ca="1">COUNTIF($Q$10:Q42,Q42)</f>
        <v>1</v>
      </c>
    </row>
    <row r="43" spans="3:19" ht="17.5">
      <c r="C43" s="151">
        <f>IF(OR((H43=0),(ISBLANK(H43))),"",'Sample Loading Table'!A48)</f>
        <v>20</v>
      </c>
      <c r="D43" s="151"/>
      <c r="E43" s="152" t="str">
        <f>IF(OR((H43=0),(ISBLANK(H43))),"",'Sample Loading Table'!B48)</f>
        <v>C6</v>
      </c>
      <c r="F43" s="152"/>
      <c r="G43" s="152"/>
      <c r="H43" s="153">
        <f>'Sample Loading Table'!C48</f>
        <v>2.8000000000000001E-2</v>
      </c>
      <c r="I43" s="153"/>
      <c r="J43" s="153"/>
      <c r="P43" s="100">
        <f t="shared" si="1"/>
        <v>34</v>
      </c>
      <c r="Q43" s="100">
        <f t="shared" ca="1" si="5"/>
        <v>23</v>
      </c>
      <c r="R43" s="100">
        <f ca="1">IF(R42=S42,OFFSET('Sample Loading Table'!$E$28,Q43,0),R42)</f>
        <v>2</v>
      </c>
      <c r="S43" s="100">
        <f ca="1">COUNTIF($Q$10:Q43,Q43)</f>
        <v>2</v>
      </c>
    </row>
    <row r="44" spans="3:19" ht="17.5">
      <c r="C44" s="151">
        <f>IF(OR((H44=0),(ISBLANK(H44))),"",'Sample Loading Table'!A49)</f>
        <v>21</v>
      </c>
      <c r="D44" s="151"/>
      <c r="E44" s="152" t="str">
        <f>IF(OR((H44=0),(ISBLANK(H44))),"",'Sample Loading Table'!B49)</f>
        <v>C9</v>
      </c>
      <c r="F44" s="152"/>
      <c r="G44" s="152"/>
      <c r="H44" s="153">
        <f>'Sample Loading Table'!C49</f>
        <v>2.8000000000000001E-2</v>
      </c>
      <c r="I44" s="153"/>
      <c r="J44" s="153"/>
      <c r="P44" s="100">
        <f t="shared" si="1"/>
        <v>35</v>
      </c>
      <c r="Q44" s="100">
        <f ca="1">IF(R43=S43,Q43+1,Q43)</f>
        <v>24</v>
      </c>
      <c r="R44" s="100">
        <f ca="1">IF(R43=S43,OFFSET('Sample Loading Table'!$E$28,Q44,0),R43)</f>
        <v>2</v>
      </c>
      <c r="S44" s="100">
        <f ca="1">COUNTIF($Q$10:Q44,Q44)</f>
        <v>1</v>
      </c>
    </row>
    <row r="45" spans="3:19" ht="17.5">
      <c r="C45" s="151">
        <f>IF(OR((H45=0),(ISBLANK(H45))),"",'Sample Loading Table'!A50)</f>
        <v>22</v>
      </c>
      <c r="D45" s="151"/>
      <c r="E45" s="152" t="str">
        <f>IF(OR((H45=0),(ISBLANK(H45))),"",'Sample Loading Table'!B50)</f>
        <v>C7</v>
      </c>
      <c r="F45" s="152"/>
      <c r="G45" s="152"/>
      <c r="H45" s="153">
        <f>'Sample Loading Table'!C50</f>
        <v>2.8000000000000001E-2</v>
      </c>
      <c r="I45" s="153"/>
      <c r="J45" s="153"/>
      <c r="P45" s="100">
        <f t="shared" si="1"/>
        <v>36</v>
      </c>
      <c r="Q45" s="100">
        <f t="shared" ref="Q45:Q51" ca="1" si="6">IF(R44=S44,Q44+1,Q44)</f>
        <v>24</v>
      </c>
      <c r="R45" s="100">
        <f ca="1">IF(R44=S44,OFFSET('Sample Loading Table'!$E$28,Q45,0),R44)</f>
        <v>2</v>
      </c>
      <c r="S45" s="100">
        <f ca="1">COUNTIF($Q$10:Q45,Q45)</f>
        <v>2</v>
      </c>
    </row>
    <row r="46" spans="3:19" ht="17.5">
      <c r="C46" s="151">
        <f>IF(OR((H46=0),(ISBLANK(H46))),"",'Sample Loading Table'!A51)</f>
        <v>23</v>
      </c>
      <c r="D46" s="151"/>
      <c r="E46" s="152" t="str">
        <f>IF(OR((H46=0),(ISBLANK(H46))),"",'Sample Loading Table'!B51)</f>
        <v>C8</v>
      </c>
      <c r="F46" s="152"/>
      <c r="G46" s="152"/>
      <c r="H46" s="153">
        <f>'Sample Loading Table'!C51</f>
        <v>2.8000000000000001E-2</v>
      </c>
      <c r="I46" s="153"/>
      <c r="J46" s="153"/>
      <c r="P46" s="100">
        <f t="shared" si="1"/>
        <v>37</v>
      </c>
      <c r="Q46" s="100">
        <f t="shared" ca="1" si="6"/>
        <v>25</v>
      </c>
      <c r="R46" s="100">
        <f ca="1">IF(R45=S45,OFFSET('Sample Loading Table'!$E$28,Q46,0),R45)</f>
        <v>1</v>
      </c>
      <c r="S46" s="100">
        <f ca="1">COUNTIF($Q$10:Q46,Q46)</f>
        <v>1</v>
      </c>
    </row>
    <row r="47" spans="3:19" ht="17.5">
      <c r="C47" s="151">
        <f>IF(OR((H47=0),(ISBLANK(H47))),"",'Sample Loading Table'!A52)</f>
        <v>24</v>
      </c>
      <c r="D47" s="151"/>
      <c r="E47" s="152" t="str">
        <f>IF(OR((H47=0),(ISBLANK(H47))),"",'Sample Loading Table'!B52)</f>
        <v>C10</v>
      </c>
      <c r="F47" s="152"/>
      <c r="G47" s="152"/>
      <c r="H47" s="153">
        <f>'Sample Loading Table'!C52</f>
        <v>2.8000000000000001E-2</v>
      </c>
      <c r="I47" s="153"/>
      <c r="J47" s="153"/>
      <c r="P47" s="100">
        <f t="shared" si="1"/>
        <v>38</v>
      </c>
      <c r="Q47" s="100">
        <f t="shared" ca="1" si="6"/>
        <v>26</v>
      </c>
      <c r="R47" s="100">
        <f ca="1">IF(R46=S46,OFFSET('Sample Loading Table'!$E$28,Q47,0),R46)</f>
        <v>1</v>
      </c>
      <c r="S47" s="100">
        <f ca="1">COUNTIF($Q$10:Q47,Q47)</f>
        <v>1</v>
      </c>
    </row>
    <row r="48" spans="3:19" ht="17.5">
      <c r="C48" s="151">
        <f>IF(OR((H48=0),(ISBLANK(H48))),"",'Sample Loading Table'!A53)</f>
        <v>25</v>
      </c>
      <c r="D48" s="151"/>
      <c r="E48" s="152" t="str">
        <f>IF(OR((H48=0),(ISBLANK(H48))),"",'Sample Loading Table'!B53)</f>
        <v>C12</v>
      </c>
      <c r="F48" s="152"/>
      <c r="G48" s="152"/>
      <c r="H48" s="153">
        <f>'Sample Loading Table'!C53</f>
        <v>2.8000000000000001E-2</v>
      </c>
      <c r="I48" s="153"/>
      <c r="J48" s="153"/>
      <c r="P48" s="100">
        <f t="shared" si="1"/>
        <v>39</v>
      </c>
      <c r="Q48" s="100">
        <f t="shared" ca="1" si="6"/>
        <v>27</v>
      </c>
      <c r="R48" s="100">
        <f ca="1">IF(R47=S47,OFFSET('Sample Loading Table'!$E$28,Q48,0),R47)</f>
        <v>1</v>
      </c>
      <c r="S48" s="100">
        <f ca="1">COUNTIF($Q$10:Q48,Q48)</f>
        <v>1</v>
      </c>
    </row>
    <row r="49" spans="3:19" ht="17.5">
      <c r="C49" s="151">
        <f>IF(OR((H49=0),(ISBLANK(H49))),"",'Sample Loading Table'!A54)</f>
        <v>26</v>
      </c>
      <c r="D49" s="151"/>
      <c r="E49" s="152" t="str">
        <f>IF(OR((H49=0),(ISBLANK(H49))),"",'Sample Loading Table'!B54)</f>
        <v>C13</v>
      </c>
      <c r="F49" s="152"/>
      <c r="G49" s="152"/>
      <c r="H49" s="153">
        <f>'Sample Loading Table'!C54</f>
        <v>2.8000000000000001E-2</v>
      </c>
      <c r="I49" s="153"/>
      <c r="J49" s="153"/>
      <c r="P49" s="100">
        <f t="shared" si="1"/>
        <v>40</v>
      </c>
      <c r="Q49" s="100">
        <f t="shared" ca="1" si="6"/>
        <v>28</v>
      </c>
      <c r="R49" s="100">
        <f ca="1">IF(R48=S48,OFFSET('Sample Loading Table'!$E$28,Q49,0),R48)</f>
        <v>1</v>
      </c>
      <c r="S49" s="100">
        <f ca="1">COUNTIF($Q$10:Q49,Q49)</f>
        <v>1</v>
      </c>
    </row>
    <row r="50" spans="3:19" ht="17.5">
      <c r="C50" s="151">
        <f>IF(OR((H50=0),(ISBLANK(H50))),"",'Sample Loading Table'!A55)</f>
        <v>27</v>
      </c>
      <c r="D50" s="151"/>
      <c r="E50" s="152" t="str">
        <f>IF(OR((H50=0),(ISBLANK(H50))),"",'Sample Loading Table'!B55)</f>
        <v>P4</v>
      </c>
      <c r="F50" s="152"/>
      <c r="G50" s="152"/>
      <c r="H50" s="153">
        <f>'Sample Loading Table'!C55</f>
        <v>2.8000000000000001E-2</v>
      </c>
      <c r="I50" s="153"/>
      <c r="J50" s="153"/>
      <c r="P50" s="100">
        <f t="shared" si="1"/>
        <v>41</v>
      </c>
      <c r="Q50" s="100">
        <f t="shared" ca="1" si="6"/>
        <v>29</v>
      </c>
      <c r="R50" s="100">
        <f ca="1">IF(R49=S49,OFFSET('Sample Loading Table'!$E$28,Q50,0),R49)</f>
        <v>1</v>
      </c>
      <c r="S50" s="100">
        <f ca="1">COUNTIF($Q$10:Q50,Q50)</f>
        <v>1</v>
      </c>
    </row>
    <row r="51" spans="3:19" ht="17.5">
      <c r="C51" s="151">
        <f>IF(OR((H51=0),(ISBLANK(H51))),"",'Sample Loading Table'!A56)</f>
        <v>28</v>
      </c>
      <c r="D51" s="151"/>
      <c r="E51" s="152" t="str">
        <f>IF(OR((H51=0),(ISBLANK(H51))),"",'Sample Loading Table'!B56)</f>
        <v>P5</v>
      </c>
      <c r="F51" s="152"/>
      <c r="G51" s="152"/>
      <c r="H51" s="153">
        <f>'Sample Loading Table'!C56</f>
        <v>2.8000000000000001E-2</v>
      </c>
      <c r="I51" s="153"/>
      <c r="J51" s="153"/>
      <c r="P51" s="100">
        <f>P50+1</f>
        <v>42</v>
      </c>
      <c r="Q51" s="100">
        <f t="shared" ca="1" si="6"/>
        <v>30</v>
      </c>
      <c r="R51" s="100">
        <f ca="1">IF(R50=S50,OFFSET('Sample Loading Table'!$E$28,Q51,0),R50)</f>
        <v>1</v>
      </c>
      <c r="S51" s="100">
        <f ca="1">COUNTIF($Q$10:Q51,Q51)</f>
        <v>1</v>
      </c>
    </row>
    <row r="52" spans="3:19" ht="17.5">
      <c r="C52" s="151">
        <f>IF(OR((H52=0),(ISBLANK(H52))),"",'Sample Loading Table'!A57)</f>
        <v>29</v>
      </c>
      <c r="D52" s="151"/>
      <c r="E52" s="152" t="str">
        <f>IF(OR((H52=0),(ISBLANK(H52))),"",'Sample Loading Table'!B57)</f>
        <v>P6</v>
      </c>
      <c r="F52" s="152"/>
      <c r="G52" s="152"/>
      <c r="H52" s="153">
        <f>'Sample Loading Table'!C57</f>
        <v>2.8000000000000001E-2</v>
      </c>
      <c r="I52" s="153"/>
      <c r="J52" s="153"/>
      <c r="P52" s="100">
        <f t="shared" si="1"/>
        <v>43</v>
      </c>
      <c r="Q52" s="100">
        <f ca="1">IF(R51=S51,Q51+1,Q51)</f>
        <v>31</v>
      </c>
      <c r="R52" s="100">
        <f ca="1">IF(R51=S51,OFFSET('Sample Loading Table'!$E$28,Q52,0),R51)</f>
        <v>1</v>
      </c>
      <c r="S52" s="100">
        <f ca="1">COUNTIF($Q$10:Q52,Q52)</f>
        <v>1</v>
      </c>
    </row>
    <row r="53" spans="3:19" ht="17.5">
      <c r="C53" s="151">
        <f>IF(OR((H53=0),(ISBLANK(H53))),"",'Sample Loading Table'!A58)</f>
        <v>30</v>
      </c>
      <c r="D53" s="151"/>
      <c r="E53" s="152" t="str">
        <f>IF(OR((H53=0),(ISBLANK(H53))),"",'Sample Loading Table'!B58)</f>
        <v>P7</v>
      </c>
      <c r="F53" s="152"/>
      <c r="G53" s="152"/>
      <c r="H53" s="153">
        <f>'Sample Loading Table'!C58</f>
        <v>2.8000000000000001E-2</v>
      </c>
      <c r="I53" s="153"/>
      <c r="J53" s="153"/>
      <c r="P53" s="100">
        <f t="shared" si="1"/>
        <v>44</v>
      </c>
      <c r="Q53" s="100">
        <f t="shared" ref="Q53:Q59" ca="1" si="7">IF(R52=S52,Q52+1,Q52)</f>
        <v>32</v>
      </c>
      <c r="R53" s="100">
        <f ca="1">IF(R52=S52,OFFSET('Sample Loading Table'!$E$28,Q53,0),R52)</f>
        <v>1</v>
      </c>
      <c r="S53" s="100">
        <f ca="1">COUNTIF($Q$10:Q53,Q53)</f>
        <v>1</v>
      </c>
    </row>
    <row r="54" spans="3:19" ht="17.5">
      <c r="C54" s="151">
        <f>IF(OR((H54=0),(ISBLANK(H54))),"",'Sample Loading Table'!A59)</f>
        <v>31</v>
      </c>
      <c r="D54" s="151"/>
      <c r="E54" s="152" t="str">
        <f>IF(OR((H54=0),(ISBLANK(H54))),"",'Sample Loading Table'!B59)</f>
        <v>F1</v>
      </c>
      <c r="F54" s="152"/>
      <c r="G54" s="152"/>
      <c r="H54" s="153">
        <f>'Sample Loading Table'!C59</f>
        <v>2.8000000000000001E-2</v>
      </c>
      <c r="I54" s="153"/>
      <c r="J54" s="153"/>
      <c r="P54" s="100">
        <f t="shared" si="1"/>
        <v>45</v>
      </c>
      <c r="Q54" s="100">
        <f t="shared" ca="1" si="7"/>
        <v>33</v>
      </c>
      <c r="R54" s="100">
        <f ca="1">IF(R53=S53,OFFSET('Sample Loading Table'!$E$28,Q54,0),R53)</f>
        <v>1</v>
      </c>
      <c r="S54" s="100">
        <f ca="1">COUNTIF($Q$10:Q54,Q54)</f>
        <v>1</v>
      </c>
    </row>
    <row r="55" spans="3:19" ht="17.5">
      <c r="C55" s="151">
        <f>IF(OR((H55=0),(ISBLANK(H55))),"",'Sample Loading Table'!A60)</f>
        <v>32</v>
      </c>
      <c r="D55" s="151"/>
      <c r="E55" s="152" t="str">
        <f>IF(OR((H55=0),(ISBLANK(H55))),"",'Sample Loading Table'!B60)</f>
        <v>F2</v>
      </c>
      <c r="F55" s="152"/>
      <c r="G55" s="152"/>
      <c r="H55" s="153">
        <f>'Sample Loading Table'!C60</f>
        <v>2.8000000000000001E-2</v>
      </c>
      <c r="I55" s="153"/>
      <c r="J55" s="153"/>
      <c r="P55" s="100">
        <f>P54+1</f>
        <v>46</v>
      </c>
      <c r="Q55" s="100">
        <f t="shared" ca="1" si="7"/>
        <v>34</v>
      </c>
      <c r="R55" s="100">
        <f ca="1">IF(R54=S54,OFFSET('Sample Loading Table'!$E$28,Q55,0),R54)</f>
        <v>1</v>
      </c>
      <c r="S55" s="100">
        <f ca="1">COUNTIF($Q$10:Q55,Q55)</f>
        <v>1</v>
      </c>
    </row>
    <row r="56" spans="3:19" ht="17.5">
      <c r="C56" s="151">
        <f>IF(OR((H56=0),(ISBLANK(H56))),"",'Sample Loading Table'!A61)</f>
        <v>33</v>
      </c>
      <c r="D56" s="151"/>
      <c r="E56" s="152" t="str">
        <f>IF(OR((H56=0),(ISBLANK(H56))),"",'Sample Loading Table'!B61)</f>
        <v>C14</v>
      </c>
      <c r="F56" s="152"/>
      <c r="G56" s="152"/>
      <c r="H56" s="153">
        <f>'Sample Loading Table'!C61</f>
        <v>2.8000000000000001E-2</v>
      </c>
      <c r="I56" s="153"/>
      <c r="J56" s="153"/>
      <c r="P56" s="100">
        <f t="shared" si="1"/>
        <v>47</v>
      </c>
      <c r="Q56" s="100">
        <f t="shared" ca="1" si="7"/>
        <v>35</v>
      </c>
      <c r="R56" s="100">
        <f ca="1">IF(R55=S55,OFFSET('Sample Loading Table'!$E$28,Q56,0),R55)</f>
        <v>1</v>
      </c>
      <c r="S56" s="100">
        <f ca="1">COUNTIF($Q$10:Q56,Q56)</f>
        <v>1</v>
      </c>
    </row>
    <row r="57" spans="3:19" ht="17.5">
      <c r="C57" s="151">
        <f>IF(OR((H57=0),(ISBLANK(H57))),"",'Sample Loading Table'!A62)</f>
        <v>34</v>
      </c>
      <c r="D57" s="151"/>
      <c r="E57" s="152" t="str">
        <f>IF(OR((H57=0),(ISBLANK(H57))),"",'Sample Loading Table'!B62)</f>
        <v>C15</v>
      </c>
      <c r="F57" s="152"/>
      <c r="G57" s="152"/>
      <c r="H57" s="153">
        <f>'Sample Loading Table'!C62</f>
        <v>2.8000000000000001E-2</v>
      </c>
      <c r="I57" s="153"/>
      <c r="J57" s="153"/>
      <c r="P57" s="100">
        <f t="shared" si="1"/>
        <v>48</v>
      </c>
      <c r="Q57" s="100">
        <f t="shared" ca="1" si="7"/>
        <v>36</v>
      </c>
      <c r="R57" s="100">
        <f ca="1">IF(R56=S56,OFFSET('Sample Loading Table'!$E$28,Q57,0),R56)</f>
        <v>1</v>
      </c>
      <c r="S57" s="100">
        <f ca="1">COUNTIF($Q$10:Q57,Q57)</f>
        <v>1</v>
      </c>
    </row>
    <row r="58" spans="3:19" ht="17.5">
      <c r="C58" s="151">
        <f>IF(OR((H58=0),(ISBLANK(H58))),"",'Sample Loading Table'!A63)</f>
        <v>35</v>
      </c>
      <c r="D58" s="151"/>
      <c r="E58" s="152" t="str">
        <f>IF(OR((H58=0),(ISBLANK(H58))),"",'Sample Loading Table'!B63)</f>
        <v>P3</v>
      </c>
      <c r="F58" s="152"/>
      <c r="G58" s="152"/>
      <c r="H58" s="153">
        <f>'Sample Loading Table'!C63</f>
        <v>2.8000000000000001E-2</v>
      </c>
      <c r="I58" s="153"/>
      <c r="J58" s="153"/>
      <c r="P58" s="44">
        <f t="shared" si="1"/>
        <v>49</v>
      </c>
      <c r="Q58" s="44">
        <f t="shared" ca="1" si="7"/>
        <v>37</v>
      </c>
      <c r="R58" s="100"/>
      <c r="S58" s="44">
        <f ca="1">COUNTIF($Q$10:Q58,Q58)</f>
        <v>1</v>
      </c>
    </row>
    <row r="59" spans="3:19" ht="17.5">
      <c r="C59" s="151">
        <f>IF(OR((H59=0),(ISBLANK(H59))),"",'Sample Loading Table'!A64)</f>
        <v>36</v>
      </c>
      <c r="D59" s="151"/>
      <c r="E59" s="152" t="str">
        <f>IF(OR((H59=0),(ISBLANK(H59))),"",'Sample Loading Table'!B64)</f>
        <v>C11</v>
      </c>
      <c r="F59" s="152"/>
      <c r="G59" s="152"/>
      <c r="H59" s="153">
        <f>'Sample Loading Table'!C64</f>
        <v>2.8000000000000001E-2</v>
      </c>
      <c r="I59" s="153"/>
      <c r="J59" s="153"/>
      <c r="P59" s="44">
        <f t="shared" si="1"/>
        <v>50</v>
      </c>
      <c r="Q59" s="44">
        <f t="shared" ca="1" si="7"/>
        <v>37</v>
      </c>
      <c r="R59" s="100"/>
      <c r="S59" s="44">
        <f ca="1">COUNTIF($Q$10:Q59,Q59)</f>
        <v>2</v>
      </c>
    </row>
    <row r="60" spans="3:19">
      <c r="C60" s="151" t="str">
        <f>IF(OR((H60=0),(ISBLANK(H60))),"",'Sample Loading Table'!A65)</f>
        <v/>
      </c>
      <c r="D60" s="151"/>
      <c r="E60" s="152" t="str">
        <f>IF(OR((H60=0),(ISBLANK(H60))),"",'Sample Loading Table'!B65)</f>
        <v/>
      </c>
      <c r="F60" s="152"/>
      <c r="G60" s="152"/>
      <c r="H60" s="153">
        <f>'Sample Loading Table'!C65</f>
        <v>0</v>
      </c>
      <c r="I60" s="153"/>
      <c r="J60" s="153"/>
    </row>
    <row r="61" spans="3:19">
      <c r="C61" s="151" t="str">
        <f>IF(OR((H61=0),(ISBLANK(H61))),"",'Sample Loading Table'!A66)</f>
        <v/>
      </c>
      <c r="D61" s="151"/>
      <c r="E61" s="152" t="str">
        <f>IF(OR((H61=0),(ISBLANK(H61))),"",'Sample Loading Table'!B66)</f>
        <v/>
      </c>
      <c r="F61" s="152"/>
      <c r="G61" s="152"/>
      <c r="H61" s="153">
        <f>'Sample Loading Table'!C66</f>
        <v>0</v>
      </c>
      <c r="I61" s="153"/>
      <c r="J61" s="153"/>
    </row>
    <row r="62" spans="3:19">
      <c r="C62" s="151" t="str">
        <f>IF(OR((H62=0),(ISBLANK(H62))),"",'Sample Loading Table'!A67)</f>
        <v/>
      </c>
      <c r="D62" s="151"/>
      <c r="E62" s="152" t="str">
        <f>IF(OR((H62=0),(ISBLANK(H62))),"",'Sample Loading Table'!B67)</f>
        <v/>
      </c>
      <c r="F62" s="152"/>
      <c r="G62" s="152"/>
      <c r="H62" s="153">
        <f>'Sample Loading Table'!C67</f>
        <v>0</v>
      </c>
      <c r="I62" s="153"/>
      <c r="J62" s="153"/>
    </row>
    <row r="63" spans="3:19">
      <c r="C63" s="151" t="str">
        <f>IF(OR((H63=0),(ISBLANK(H63))),"",'Sample Loading Table'!A68)</f>
        <v/>
      </c>
      <c r="D63" s="151"/>
      <c r="E63" s="152" t="str">
        <f>IF(OR((H63=0),(ISBLANK(H63))),"",'Sample Loading Table'!B68)</f>
        <v/>
      </c>
      <c r="F63" s="152"/>
      <c r="G63" s="152"/>
      <c r="H63" s="153">
        <f>'Sample Loading Table'!C68</f>
        <v>0</v>
      </c>
      <c r="I63" s="153"/>
      <c r="J63" s="153"/>
    </row>
    <row r="64" spans="3:19">
      <c r="C64" s="151" t="str">
        <f>IF(OR((H64=0),(ISBLANK(H64))),"",'Sample Loading Table'!A69)</f>
        <v/>
      </c>
      <c r="D64" s="151"/>
      <c r="E64" s="152" t="str">
        <f>IF(OR((H64=0),(ISBLANK(H64))),"",'Sample Loading Table'!B69)</f>
        <v/>
      </c>
      <c r="F64" s="152"/>
      <c r="G64" s="152"/>
      <c r="H64" s="153">
        <f>'Sample Loading Table'!C69</f>
        <v>0</v>
      </c>
      <c r="I64" s="153"/>
      <c r="J64" s="153"/>
    </row>
    <row r="65" spans="3:10">
      <c r="C65" s="151" t="str">
        <f>IF(OR((H65=0),(ISBLANK(H65))),"",'Sample Loading Table'!A70)</f>
        <v/>
      </c>
      <c r="D65" s="151"/>
      <c r="E65" s="152" t="str">
        <f>IF(OR((H65=0),(ISBLANK(H65))),"",'Sample Loading Table'!B70)</f>
        <v/>
      </c>
      <c r="F65" s="152"/>
      <c r="G65" s="152"/>
      <c r="H65" s="153">
        <f>'Sample Loading Table'!C70</f>
        <v>0</v>
      </c>
      <c r="I65" s="153"/>
      <c r="J65" s="153"/>
    </row>
    <row r="66" spans="3:10">
      <c r="C66" s="151" t="str">
        <f>IF(OR((H66=0),(ISBLANK(H66))),"",'Sample Loading Table'!A71)</f>
        <v/>
      </c>
      <c r="D66" s="151"/>
      <c r="E66" s="152" t="str">
        <f>IF(OR((H66=0),(ISBLANK(H66))),"",'Sample Loading Table'!B71)</f>
        <v/>
      </c>
      <c r="F66" s="152"/>
      <c r="G66" s="152"/>
      <c r="H66" s="153">
        <f>'Sample Loading Table'!C71</f>
        <v>0</v>
      </c>
      <c r="I66" s="153"/>
      <c r="J66" s="153"/>
    </row>
    <row r="67" spans="3:10">
      <c r="C67" s="151" t="str">
        <f>IF(OR((H67=0),(ISBLANK(H67))),"",'Sample Loading Table'!A72)</f>
        <v/>
      </c>
      <c r="D67" s="151"/>
      <c r="E67" s="152" t="str">
        <f>IF(OR((H67=0),(ISBLANK(H67))),"",'Sample Loading Table'!B72)</f>
        <v/>
      </c>
      <c r="F67" s="152"/>
      <c r="G67" s="152"/>
      <c r="H67" s="153">
        <f>'Sample Loading Table'!C72</f>
        <v>0</v>
      </c>
      <c r="I67" s="153"/>
      <c r="J67" s="153"/>
    </row>
    <row r="68" spans="3:10">
      <c r="C68" s="151" t="str">
        <f>IF(OR((H68=0),(ISBLANK(H68))),"",'Sample Loading Table'!A73)</f>
        <v/>
      </c>
      <c r="D68" s="151"/>
      <c r="E68" s="152" t="str">
        <f>IF(OR((H68=0),(ISBLANK(H68))),"",'Sample Loading Table'!B73)</f>
        <v/>
      </c>
      <c r="F68" s="152"/>
      <c r="G68" s="152"/>
      <c r="H68" s="153">
        <f>'Sample Loading Table'!C73</f>
        <v>0</v>
      </c>
      <c r="I68" s="153"/>
      <c r="J68" s="153"/>
    </row>
    <row r="69" spans="3:10">
      <c r="C69" s="151" t="str">
        <f>IF(OR((H69=0),(ISBLANK(H69))),"",'Sample Loading Table'!A74)</f>
        <v/>
      </c>
      <c r="D69" s="151"/>
      <c r="E69" s="152" t="str">
        <f>IF(OR((H69=0),(ISBLANK(H69))),"",'Sample Loading Table'!B74)</f>
        <v/>
      </c>
      <c r="F69" s="152"/>
      <c r="G69" s="152"/>
      <c r="H69" s="153">
        <f>'Sample Loading Table'!C74</f>
        <v>0</v>
      </c>
      <c r="I69" s="153"/>
      <c r="J69" s="153"/>
    </row>
    <row r="70" spans="3:10">
      <c r="C70" s="151" t="str">
        <f>IF(OR((H70=0),(ISBLANK(H70))),"",'Sample Loading Table'!A75)</f>
        <v/>
      </c>
      <c r="D70" s="151"/>
      <c r="E70" s="152" t="str">
        <f>IF(OR((H70=0),(ISBLANK(H70))),"",'Sample Loading Table'!B75)</f>
        <v/>
      </c>
      <c r="F70" s="152"/>
      <c r="G70" s="152"/>
      <c r="H70" s="153">
        <v>0</v>
      </c>
      <c r="I70" s="153"/>
      <c r="J70" s="153"/>
    </row>
    <row r="71" spans="3:10">
      <c r="C71" s="151" t="str">
        <f>IF(OR((H71=0),(ISBLANK(H71))),"",'Sample Loading Table'!A76)</f>
        <v/>
      </c>
      <c r="D71" s="151"/>
      <c r="E71" s="152" t="s">
        <v>147</v>
      </c>
      <c r="F71" s="152"/>
      <c r="G71" s="152"/>
      <c r="H71" s="153">
        <v>0</v>
      </c>
      <c r="I71" s="153"/>
      <c r="J71" s="153"/>
    </row>
  </sheetData>
  <sheetProtection sheet="1" autoFilter="0"/>
  <mergeCells count="150">
    <mergeCell ref="C19:N19"/>
    <mergeCell ref="C20:N20"/>
    <mergeCell ref="C21:N21"/>
    <mergeCell ref="C23:D23"/>
    <mergeCell ref="E23:G23"/>
    <mergeCell ref="H23:J23"/>
    <mergeCell ref="C26:D26"/>
    <mergeCell ref="E26:G26"/>
    <mergeCell ref="H26:J26"/>
    <mergeCell ref="C27:D27"/>
    <mergeCell ref="E27:G27"/>
    <mergeCell ref="H27:J27"/>
    <mergeCell ref="C24:D24"/>
    <mergeCell ref="E24:G24"/>
    <mergeCell ref="H24:J24"/>
    <mergeCell ref="C25:D25"/>
    <mergeCell ref="E25:G25"/>
    <mergeCell ref="H25:J25"/>
    <mergeCell ref="C30:D30"/>
    <mergeCell ref="E30:G30"/>
    <mergeCell ref="H30:J30"/>
    <mergeCell ref="C31:D31"/>
    <mergeCell ref="E31:G31"/>
    <mergeCell ref="H31:J31"/>
    <mergeCell ref="C28:D28"/>
    <mergeCell ref="E28:G28"/>
    <mergeCell ref="H28:J28"/>
    <mergeCell ref="C29:D29"/>
    <mergeCell ref="E29:G29"/>
    <mergeCell ref="H29:J29"/>
    <mergeCell ref="C34:D34"/>
    <mergeCell ref="E34:G34"/>
    <mergeCell ref="H34:J34"/>
    <mergeCell ref="C35:D35"/>
    <mergeCell ref="E35:G35"/>
    <mergeCell ref="H35:J35"/>
    <mergeCell ref="C32:D32"/>
    <mergeCell ref="E32:G32"/>
    <mergeCell ref="H32:J32"/>
    <mergeCell ref="C33:D33"/>
    <mergeCell ref="E33:G33"/>
    <mergeCell ref="H33:J33"/>
    <mergeCell ref="C38:D38"/>
    <mergeCell ref="E38:G38"/>
    <mergeCell ref="H38:J38"/>
    <mergeCell ref="C39:D39"/>
    <mergeCell ref="E39:G39"/>
    <mergeCell ref="H39:J39"/>
    <mergeCell ref="C36:D36"/>
    <mergeCell ref="E36:G36"/>
    <mergeCell ref="H36:J36"/>
    <mergeCell ref="C37:D37"/>
    <mergeCell ref="E37:G37"/>
    <mergeCell ref="H37:J37"/>
    <mergeCell ref="C42:D42"/>
    <mergeCell ref="E42:G42"/>
    <mergeCell ref="H42:J42"/>
    <mergeCell ref="C43:D43"/>
    <mergeCell ref="E43:G43"/>
    <mergeCell ref="H43:J43"/>
    <mergeCell ref="C40:D40"/>
    <mergeCell ref="E40:G40"/>
    <mergeCell ref="H40:J40"/>
    <mergeCell ref="C41:D41"/>
    <mergeCell ref="E41:G41"/>
    <mergeCell ref="H41:J41"/>
    <mergeCell ref="C46:D46"/>
    <mergeCell ref="E46:G46"/>
    <mergeCell ref="H46:J46"/>
    <mergeCell ref="C47:D47"/>
    <mergeCell ref="E47:G47"/>
    <mergeCell ref="H47:J47"/>
    <mergeCell ref="C44:D44"/>
    <mergeCell ref="E44:G44"/>
    <mergeCell ref="H44:J44"/>
    <mergeCell ref="C45:D45"/>
    <mergeCell ref="E45:G45"/>
    <mergeCell ref="H45:J45"/>
    <mergeCell ref="C50:D50"/>
    <mergeCell ref="E50:G50"/>
    <mergeCell ref="H50:J50"/>
    <mergeCell ref="C51:D51"/>
    <mergeCell ref="E51:G51"/>
    <mergeCell ref="H51:J51"/>
    <mergeCell ref="C48:D48"/>
    <mergeCell ref="E48:G48"/>
    <mergeCell ref="H48:J48"/>
    <mergeCell ref="C49:D49"/>
    <mergeCell ref="E49:G49"/>
    <mergeCell ref="H49:J49"/>
    <mergeCell ref="C54:D54"/>
    <mergeCell ref="E54:G54"/>
    <mergeCell ref="H54:J54"/>
    <mergeCell ref="C55:D55"/>
    <mergeCell ref="E55:G55"/>
    <mergeCell ref="H55:J55"/>
    <mergeCell ref="C52:D52"/>
    <mergeCell ref="E52:G52"/>
    <mergeCell ref="H52:J52"/>
    <mergeCell ref="C53:D53"/>
    <mergeCell ref="E53:G53"/>
    <mergeCell ref="H53:J53"/>
    <mergeCell ref="C58:D58"/>
    <mergeCell ref="E58:G58"/>
    <mergeCell ref="H58:J58"/>
    <mergeCell ref="C59:D59"/>
    <mergeCell ref="E59:G59"/>
    <mergeCell ref="H59:J59"/>
    <mergeCell ref="C56:D56"/>
    <mergeCell ref="E56:G56"/>
    <mergeCell ref="H56:J56"/>
    <mergeCell ref="C57:D57"/>
    <mergeCell ref="E57:G57"/>
    <mergeCell ref="H57:J57"/>
    <mergeCell ref="C62:D62"/>
    <mergeCell ref="E62:G62"/>
    <mergeCell ref="H62:J62"/>
    <mergeCell ref="C63:D63"/>
    <mergeCell ref="E63:G63"/>
    <mergeCell ref="H63:J63"/>
    <mergeCell ref="C60:D60"/>
    <mergeCell ref="E60:G60"/>
    <mergeCell ref="H60:J60"/>
    <mergeCell ref="C61:D61"/>
    <mergeCell ref="E61:G61"/>
    <mergeCell ref="H61:J61"/>
    <mergeCell ref="C66:D66"/>
    <mergeCell ref="E66:G66"/>
    <mergeCell ref="H66:J66"/>
    <mergeCell ref="C67:D67"/>
    <mergeCell ref="E67:G67"/>
    <mergeCell ref="H67:J67"/>
    <mergeCell ref="C64:D64"/>
    <mergeCell ref="E64:G64"/>
    <mergeCell ref="H64:J64"/>
    <mergeCell ref="C65:D65"/>
    <mergeCell ref="E65:G65"/>
    <mergeCell ref="H65:J65"/>
    <mergeCell ref="C70:D70"/>
    <mergeCell ref="E70:G70"/>
    <mergeCell ref="H70:J70"/>
    <mergeCell ref="C71:D71"/>
    <mergeCell ref="E71:G71"/>
    <mergeCell ref="H71:J71"/>
    <mergeCell ref="C68:D68"/>
    <mergeCell ref="E68:G68"/>
    <mergeCell ref="H68:J68"/>
    <mergeCell ref="C69:D69"/>
    <mergeCell ref="E69:G69"/>
    <mergeCell ref="H69:J69"/>
  </mergeCells>
  <conditionalFormatting sqref="C10:N13">
    <cfRule type="colorScale" priority="10">
      <colorScale>
        <cfvo type="min"/>
        <cfvo type="percent" val="50"/>
        <cfvo type="max"/>
        <color rgb="FFAB80C4"/>
        <color theme="0"/>
        <color rgb="FFDB80BE"/>
      </colorScale>
    </cfRule>
  </conditionalFormatting>
  <conditionalFormatting sqref="P60:S60 P58:Q59 S58:S59">
    <cfRule type="notContainsBlanks" dxfId="15" priority="16">
      <formula>LEN(TRIM(P58))&gt;0</formula>
    </cfRule>
  </conditionalFormatting>
  <conditionalFormatting sqref="H24:H71">
    <cfRule type="cellIs" dxfId="14" priority="15" operator="equal">
      <formula>0</formula>
    </cfRule>
  </conditionalFormatting>
  <conditionalFormatting sqref="E24:G71">
    <cfRule type="cellIs" dxfId="13" priority="14" operator="equal">
      <formula>0</formula>
    </cfRule>
  </conditionalFormatting>
  <conditionalFormatting sqref="H24:J71">
    <cfRule type="cellIs" dxfId="12" priority="13" operator="greaterThan">
      <formula>0</formula>
    </cfRule>
  </conditionalFormatting>
  <conditionalFormatting sqref="E24:G71">
    <cfRule type="notContainsBlanks" dxfId="11" priority="17">
      <formula>LEN(TRIM(E24))&gt;0</formula>
    </cfRule>
  </conditionalFormatting>
  <conditionalFormatting sqref="C24:D71">
    <cfRule type="colorScale" priority="2">
      <colorScale>
        <cfvo type="min"/>
        <cfvo type="percentile" val="50"/>
        <cfvo type="max"/>
        <color rgb="FFAB80C4"/>
        <color theme="0"/>
        <color rgb="FFDB80BE"/>
      </colorScale>
    </cfRule>
    <cfRule type="notContainsBlanks" dxfId="10" priority="12">
      <formula>LEN(TRIM(C24))&gt;0</formula>
    </cfRule>
  </conditionalFormatting>
  <conditionalFormatting sqref="C19:N21">
    <cfRule type="cellIs" dxfId="9" priority="11" operator="equal">
      <formula>0</formula>
    </cfRule>
    <cfRule type="expression" dxfId="8" priority="18">
      <formula>$C$21="Please address the warning message on the Sample Loading Table to avoid experimental error"</formula>
    </cfRule>
  </conditionalFormatting>
  <conditionalFormatting sqref="C10:N10">
    <cfRule type="expression" dxfId="7" priority="9">
      <formula>COUNTIF($C$10:D$10,D$10)=1</formula>
    </cfRule>
  </conditionalFormatting>
  <conditionalFormatting sqref="C11:N11">
    <cfRule type="expression" dxfId="6" priority="6">
      <formula>COUNTIF($C$11:D$11,D$11)&lt;&gt;1</formula>
    </cfRule>
    <cfRule type="expression" dxfId="5" priority="8">
      <formula>COUNTIF($C$11:D$11,D$11)=1</formula>
    </cfRule>
  </conditionalFormatting>
  <conditionalFormatting sqref="C12:N12">
    <cfRule type="expression" dxfId="4" priority="5">
      <formula>COUNTIF($C$12:D$12,D$12)&lt;&gt;1</formula>
    </cfRule>
    <cfRule type="expression" dxfId="3" priority="7">
      <formula>COUNTIF($C$12:D$12,D$12)=1</formula>
    </cfRule>
  </conditionalFormatting>
  <conditionalFormatting sqref="C13:N13">
    <cfRule type="expression" dxfId="2" priority="3">
      <formula>COUNTIF($C$13:D$13,D$13)&lt;&gt;1</formula>
    </cfRule>
    <cfRule type="expression" dxfId="1" priority="4">
      <formula>COUNTIF($C$13:D$13,D$13)=1</formula>
    </cfRule>
  </conditionalFormatting>
  <conditionalFormatting sqref="E23:G23">
    <cfRule type="cellIs" dxfId="0" priority="1" operator="equal">
      <formula>0</formula>
    </cfRule>
  </conditionalFormatting>
  <pageMargins left="0.7" right="1.2506313131313131" top="0.75" bottom="0.75" header="0.3" footer="0.3"/>
  <pageSetup scale="36" orientation="portrait" r:id="rId1"/>
  <headerFooter>
    <oddHeader>&amp;L&amp;"M PLUS 2,Regular"&amp;K525252Parse Biosciences
700 Dexter Ave
Suite 600
Seattle, WA 98109&amp;C&amp;G&amp;R&amp;"M PLUS 2,Regular"&amp;12&amp;K525252Support Suite:  support.parsebiosciences.com
Email: support@parsebiosciences.com
WT  - Version 2.0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C037F-1FF1-44E0-B476-F5B95DE1EC77}">
  <sheetPr codeName="Sheet5"/>
  <dimension ref="A1:B13"/>
  <sheetViews>
    <sheetView topLeftCell="A7" workbookViewId="0">
      <selection activeCell="F8" sqref="F8"/>
    </sheetView>
  </sheetViews>
  <sheetFormatPr defaultRowHeight="14.5"/>
  <cols>
    <col min="1" max="1" width="16.453125" bestFit="1" customWidth="1"/>
    <col min="2" max="2" width="35.453125" customWidth="1"/>
  </cols>
  <sheetData>
    <row r="1" spans="1:2">
      <c r="A1" t="s">
        <v>145</v>
      </c>
      <c r="B1" t="s">
        <v>146</v>
      </c>
    </row>
    <row r="2" spans="1:2" ht="220" customHeight="1">
      <c r="A2">
        <v>1</v>
      </c>
      <c r="B2" t="e" vm="2">
        <v>#VALUE!</v>
      </c>
    </row>
    <row r="3" spans="1:2" ht="220" customHeight="1">
      <c r="A3">
        <v>2</v>
      </c>
      <c r="B3" t="e" vm="3">
        <v>#VALUE!</v>
      </c>
    </row>
    <row r="4" spans="1:2" ht="220" customHeight="1">
      <c r="A4">
        <v>3</v>
      </c>
      <c r="B4" t="e" vm="4">
        <v>#VALUE!</v>
      </c>
    </row>
    <row r="5" spans="1:2" ht="220" customHeight="1">
      <c r="A5">
        <v>4</v>
      </c>
      <c r="B5" t="e" vm="5">
        <v>#VALUE!</v>
      </c>
    </row>
    <row r="6" spans="1:2" ht="220" customHeight="1">
      <c r="A6">
        <v>5</v>
      </c>
      <c r="B6" t="e" vm="6">
        <v>#VALUE!</v>
      </c>
    </row>
    <row r="7" spans="1:2" ht="220" customHeight="1">
      <c r="A7">
        <v>6</v>
      </c>
      <c r="B7" t="e" vm="7">
        <v>#VALUE!</v>
      </c>
    </row>
    <row r="8" spans="1:2" ht="220" customHeight="1">
      <c r="A8">
        <v>7</v>
      </c>
      <c r="B8" t="e" vm="8">
        <v>#VALUE!</v>
      </c>
    </row>
    <row r="9" spans="1:2" ht="220" customHeight="1">
      <c r="A9">
        <v>8</v>
      </c>
      <c r="B9" t="e" vm="9">
        <v>#VALUE!</v>
      </c>
    </row>
    <row r="10" spans="1:2" ht="220" customHeight="1">
      <c r="A10">
        <v>9</v>
      </c>
      <c r="B10" t="e" vm="10">
        <v>#VALUE!</v>
      </c>
    </row>
    <row r="11" spans="1:2" ht="220" customHeight="1">
      <c r="A11">
        <v>10</v>
      </c>
      <c r="B11" t="e" vm="11">
        <v>#VALUE!</v>
      </c>
    </row>
    <row r="12" spans="1:2" ht="220" customHeight="1">
      <c r="A12">
        <v>11</v>
      </c>
      <c r="B12" t="e" vm="12">
        <v>#VALUE!</v>
      </c>
    </row>
    <row r="13" spans="1:2" ht="220" customHeight="1">
      <c r="A13">
        <v>12</v>
      </c>
      <c r="B13" t="e" vm="13"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CC41-F0BA-482F-8B64-D9B74A51CC1E}">
  <sheetPr codeName="Sheet6"/>
  <dimension ref="A1:H96"/>
  <sheetViews>
    <sheetView workbookViewId="0">
      <selection activeCell="G97" sqref="G97"/>
    </sheetView>
  </sheetViews>
  <sheetFormatPr defaultColWidth="8.81640625" defaultRowHeight="14.5"/>
  <sheetData>
    <row r="1" spans="1:8">
      <c r="A1">
        <f>VLOOKUP(ReferenceTable!C23,ReferenceTable!C1:D96,2,FALSE)</f>
        <v>4</v>
      </c>
      <c r="C1">
        <v>1</v>
      </c>
      <c r="G1">
        <f>'Sample Loading Table'!C25</f>
        <v>36</v>
      </c>
      <c r="H1">
        <f>VLOOKUP(G1,ReferenceTable!C1:D96,2,FALSE)</f>
        <v>24</v>
      </c>
    </row>
    <row r="2" spans="1:8">
      <c r="C2">
        <f>C1+1</f>
        <v>2</v>
      </c>
      <c r="D2">
        <v>2</v>
      </c>
      <c r="G2">
        <v>5</v>
      </c>
    </row>
    <row r="3" spans="1:8">
      <c r="C3">
        <f t="shared" ref="C3:C66" si="0">C2+1</f>
        <v>3</v>
      </c>
      <c r="D3">
        <v>3</v>
      </c>
      <c r="E3" s="6"/>
      <c r="G3">
        <v>6</v>
      </c>
    </row>
    <row r="4" spans="1:8">
      <c r="C4">
        <f t="shared" si="0"/>
        <v>4</v>
      </c>
      <c r="D4">
        <v>4</v>
      </c>
      <c r="E4" s="6"/>
    </row>
    <row r="5" spans="1:8">
      <c r="C5">
        <f t="shared" si="0"/>
        <v>5</v>
      </c>
      <c r="D5">
        <v>1</v>
      </c>
      <c r="E5" s="6"/>
    </row>
    <row r="6" spans="1:8">
      <c r="C6">
        <f t="shared" si="0"/>
        <v>6</v>
      </c>
      <c r="D6">
        <v>1</v>
      </c>
      <c r="E6" s="6"/>
    </row>
    <row r="7" spans="1:8">
      <c r="C7">
        <f t="shared" si="0"/>
        <v>7</v>
      </c>
      <c r="D7">
        <v>5</v>
      </c>
      <c r="E7" s="6"/>
    </row>
    <row r="8" spans="1:8">
      <c r="C8">
        <f t="shared" si="0"/>
        <v>8</v>
      </c>
      <c r="D8">
        <v>6</v>
      </c>
      <c r="E8" s="6"/>
    </row>
    <row r="9" spans="1:8">
      <c r="C9">
        <f t="shared" si="0"/>
        <v>9</v>
      </c>
      <c r="D9">
        <v>6</v>
      </c>
      <c r="E9" s="6"/>
    </row>
    <row r="10" spans="1:8">
      <c r="C10">
        <f t="shared" si="0"/>
        <v>10</v>
      </c>
      <c r="D10">
        <v>6</v>
      </c>
      <c r="E10" s="6"/>
    </row>
    <row r="11" spans="1:8">
      <c r="C11">
        <f t="shared" si="0"/>
        <v>11</v>
      </c>
      <c r="D11">
        <v>8</v>
      </c>
      <c r="E11" s="6"/>
    </row>
    <row r="12" spans="1:8">
      <c r="C12">
        <f t="shared" si="0"/>
        <v>12</v>
      </c>
      <c r="D12">
        <v>12</v>
      </c>
      <c r="E12" s="6"/>
    </row>
    <row r="13" spans="1:8">
      <c r="C13">
        <f t="shared" si="0"/>
        <v>13</v>
      </c>
      <c r="D13">
        <v>5</v>
      </c>
      <c r="E13" s="6"/>
    </row>
    <row r="14" spans="1:8">
      <c r="C14">
        <f t="shared" si="0"/>
        <v>14</v>
      </c>
      <c r="D14">
        <v>12</v>
      </c>
      <c r="E14" s="6"/>
    </row>
    <row r="15" spans="1:8">
      <c r="C15">
        <f t="shared" si="0"/>
        <v>15</v>
      </c>
      <c r="D15">
        <v>6</v>
      </c>
      <c r="E15" s="6"/>
    </row>
    <row r="16" spans="1:8">
      <c r="C16">
        <f t="shared" si="0"/>
        <v>16</v>
      </c>
      <c r="D16">
        <v>4</v>
      </c>
      <c r="E16" s="6"/>
    </row>
    <row r="17" spans="3:5">
      <c r="C17">
        <f t="shared" si="0"/>
        <v>17</v>
      </c>
      <c r="D17">
        <v>11</v>
      </c>
      <c r="E17" s="6"/>
    </row>
    <row r="18" spans="3:5">
      <c r="C18">
        <f t="shared" si="0"/>
        <v>18</v>
      </c>
      <c r="D18">
        <v>6</v>
      </c>
      <c r="E18" s="6"/>
    </row>
    <row r="19" spans="3:5">
      <c r="C19">
        <f t="shared" si="0"/>
        <v>19</v>
      </c>
      <c r="D19">
        <v>1</v>
      </c>
    </row>
    <row r="20" spans="3:5">
      <c r="C20">
        <f t="shared" si="0"/>
        <v>20</v>
      </c>
      <c r="D20">
        <v>16</v>
      </c>
    </row>
    <row r="21" spans="3:5">
      <c r="C21">
        <f t="shared" si="0"/>
        <v>21</v>
      </c>
      <c r="D21">
        <v>12</v>
      </c>
    </row>
    <row r="22" spans="3:5">
      <c r="C22">
        <f t="shared" si="0"/>
        <v>22</v>
      </c>
      <c r="D22">
        <v>8</v>
      </c>
    </row>
    <row r="23" spans="3:5">
      <c r="C23">
        <f t="shared" si="0"/>
        <v>23</v>
      </c>
      <c r="D23">
        <v>4</v>
      </c>
    </row>
    <row r="24" spans="3:5">
      <c r="C24">
        <f t="shared" si="0"/>
        <v>24</v>
      </c>
      <c r="D24">
        <v>1</v>
      </c>
    </row>
    <row r="25" spans="3:5">
      <c r="C25">
        <f t="shared" si="0"/>
        <v>25</v>
      </c>
      <c r="D25">
        <v>21</v>
      </c>
      <c r="E25" s="6"/>
    </row>
    <row r="26" spans="3:5">
      <c r="C26">
        <f t="shared" si="0"/>
        <v>26</v>
      </c>
      <c r="D26">
        <v>18</v>
      </c>
      <c r="E26" s="6"/>
    </row>
    <row r="27" spans="3:5">
      <c r="C27">
        <f t="shared" si="0"/>
        <v>27</v>
      </c>
      <c r="D27">
        <v>15</v>
      </c>
      <c r="E27" s="6"/>
    </row>
    <row r="28" spans="3:5">
      <c r="C28">
        <f t="shared" si="0"/>
        <v>28</v>
      </c>
      <c r="D28">
        <v>12</v>
      </c>
      <c r="E28" s="6"/>
    </row>
    <row r="29" spans="3:5">
      <c r="C29">
        <f t="shared" si="0"/>
        <v>29</v>
      </c>
      <c r="D29">
        <v>9</v>
      </c>
      <c r="E29" s="6"/>
    </row>
    <row r="30" spans="3:5">
      <c r="C30">
        <f t="shared" si="0"/>
        <v>30</v>
      </c>
      <c r="D30">
        <v>6</v>
      </c>
      <c r="E30" s="6"/>
    </row>
    <row r="31" spans="3:5">
      <c r="C31">
        <f t="shared" si="0"/>
        <v>31</v>
      </c>
      <c r="D31">
        <v>3</v>
      </c>
      <c r="E31" s="6"/>
    </row>
    <row r="32" spans="3:5">
      <c r="C32">
        <f t="shared" si="0"/>
        <v>32</v>
      </c>
      <c r="D32">
        <v>1</v>
      </c>
      <c r="E32" s="6"/>
    </row>
    <row r="33" spans="3:5">
      <c r="C33">
        <f t="shared" si="0"/>
        <v>33</v>
      </c>
      <c r="D33">
        <v>30</v>
      </c>
      <c r="E33" s="6"/>
    </row>
    <row r="34" spans="3:5">
      <c r="C34">
        <f t="shared" si="0"/>
        <v>34</v>
      </c>
      <c r="D34">
        <v>28</v>
      </c>
      <c r="E34" s="6"/>
    </row>
    <row r="35" spans="3:5">
      <c r="C35">
        <f t="shared" si="0"/>
        <v>35</v>
      </c>
      <c r="D35">
        <v>26</v>
      </c>
      <c r="E35" s="6"/>
    </row>
    <row r="36" spans="3:5">
      <c r="C36">
        <f t="shared" si="0"/>
        <v>36</v>
      </c>
      <c r="D36">
        <v>24</v>
      </c>
      <c r="E36" s="6"/>
    </row>
    <row r="37" spans="3:5">
      <c r="C37">
        <f t="shared" si="0"/>
        <v>37</v>
      </c>
      <c r="D37">
        <v>22</v>
      </c>
      <c r="E37" s="6"/>
    </row>
    <row r="38" spans="3:5">
      <c r="C38">
        <f t="shared" si="0"/>
        <v>38</v>
      </c>
      <c r="D38">
        <v>20</v>
      </c>
      <c r="E38" s="6"/>
    </row>
    <row r="39" spans="3:5">
      <c r="C39">
        <f t="shared" si="0"/>
        <v>39</v>
      </c>
      <c r="D39">
        <v>18</v>
      </c>
      <c r="E39" s="6"/>
    </row>
    <row r="40" spans="3:5">
      <c r="C40">
        <f t="shared" si="0"/>
        <v>40</v>
      </c>
      <c r="D40">
        <v>16</v>
      </c>
      <c r="E40" s="6"/>
    </row>
    <row r="41" spans="3:5">
      <c r="C41">
        <f t="shared" si="0"/>
        <v>41</v>
      </c>
      <c r="D41">
        <v>14</v>
      </c>
      <c r="E41" s="6"/>
    </row>
    <row r="42" spans="3:5">
      <c r="C42">
        <f t="shared" si="0"/>
        <v>42</v>
      </c>
      <c r="D42">
        <v>12</v>
      </c>
      <c r="E42" s="6"/>
    </row>
    <row r="43" spans="3:5">
      <c r="C43">
        <f t="shared" si="0"/>
        <v>43</v>
      </c>
      <c r="D43">
        <v>10</v>
      </c>
      <c r="E43" s="6"/>
    </row>
    <row r="44" spans="3:5">
      <c r="C44">
        <f t="shared" si="0"/>
        <v>44</v>
      </c>
      <c r="D44">
        <v>8</v>
      </c>
      <c r="E44" s="6"/>
    </row>
    <row r="45" spans="3:5">
      <c r="C45">
        <f t="shared" si="0"/>
        <v>45</v>
      </c>
      <c r="D45">
        <v>6</v>
      </c>
      <c r="E45" s="6"/>
    </row>
    <row r="46" spans="3:5">
      <c r="C46">
        <f t="shared" si="0"/>
        <v>46</v>
      </c>
      <c r="D46">
        <v>4</v>
      </c>
      <c r="E46" s="6"/>
    </row>
    <row r="47" spans="3:5">
      <c r="C47">
        <f t="shared" si="0"/>
        <v>47</v>
      </c>
      <c r="D47">
        <v>2</v>
      </c>
      <c r="E47" s="6"/>
    </row>
    <row r="48" spans="3:5">
      <c r="C48">
        <f t="shared" si="0"/>
        <v>48</v>
      </c>
      <c r="D48">
        <f t="shared" ref="D48:D96" si="1">(((96/C48)-1)*C48)</f>
        <v>48</v>
      </c>
      <c r="E48" s="6"/>
    </row>
    <row r="49" spans="3:5">
      <c r="C49">
        <f t="shared" si="0"/>
        <v>49</v>
      </c>
      <c r="D49">
        <f t="shared" si="1"/>
        <v>47</v>
      </c>
      <c r="E49" s="6"/>
    </row>
    <row r="50" spans="3:5">
      <c r="C50">
        <f t="shared" si="0"/>
        <v>50</v>
      </c>
      <c r="D50">
        <f t="shared" si="1"/>
        <v>46</v>
      </c>
      <c r="E50" s="6"/>
    </row>
    <row r="51" spans="3:5">
      <c r="C51">
        <f t="shared" si="0"/>
        <v>51</v>
      </c>
      <c r="D51">
        <f t="shared" si="1"/>
        <v>45</v>
      </c>
      <c r="E51" s="6"/>
    </row>
    <row r="52" spans="3:5">
      <c r="C52">
        <f t="shared" si="0"/>
        <v>52</v>
      </c>
      <c r="D52">
        <f t="shared" si="1"/>
        <v>44.000000000000007</v>
      </c>
      <c r="E52" s="6">
        <f t="shared" ref="E52:E88" si="2">(100/C52)/100</f>
        <v>1.9230769230769232E-2</v>
      </c>
    </row>
    <row r="53" spans="3:5">
      <c r="C53">
        <f t="shared" si="0"/>
        <v>53</v>
      </c>
      <c r="D53">
        <f t="shared" si="1"/>
        <v>43</v>
      </c>
      <c r="E53" s="6">
        <f t="shared" si="2"/>
        <v>1.8867924528301886E-2</v>
      </c>
    </row>
    <row r="54" spans="3:5">
      <c r="C54">
        <f t="shared" si="0"/>
        <v>54</v>
      </c>
      <c r="D54">
        <f t="shared" si="1"/>
        <v>41.999999999999993</v>
      </c>
      <c r="E54" s="6">
        <f t="shared" si="2"/>
        <v>1.8518518518518517E-2</v>
      </c>
    </row>
    <row r="55" spans="3:5">
      <c r="C55">
        <f t="shared" si="0"/>
        <v>55</v>
      </c>
      <c r="D55">
        <f t="shared" si="1"/>
        <v>40.999999999999993</v>
      </c>
      <c r="E55" s="6">
        <f t="shared" si="2"/>
        <v>1.8181818181818181E-2</v>
      </c>
    </row>
    <row r="56" spans="3:5">
      <c r="C56">
        <f t="shared" si="0"/>
        <v>56</v>
      </c>
      <c r="D56">
        <f t="shared" si="1"/>
        <v>39.999999999999993</v>
      </c>
      <c r="E56" s="6">
        <f t="shared" si="2"/>
        <v>1.785714285714286E-2</v>
      </c>
    </row>
    <row r="57" spans="3:5">
      <c r="C57">
        <f t="shared" si="0"/>
        <v>57</v>
      </c>
      <c r="D57">
        <f t="shared" si="1"/>
        <v>38.999999999999993</v>
      </c>
      <c r="E57" s="6"/>
    </row>
    <row r="58" spans="3:5">
      <c r="C58">
        <f t="shared" si="0"/>
        <v>58</v>
      </c>
      <c r="D58">
        <f t="shared" si="1"/>
        <v>38</v>
      </c>
      <c r="E58" s="6">
        <f t="shared" si="2"/>
        <v>1.7241379310344827E-2</v>
      </c>
    </row>
    <row r="59" spans="3:5">
      <c r="C59">
        <f t="shared" si="0"/>
        <v>59</v>
      </c>
      <c r="D59">
        <f t="shared" si="1"/>
        <v>37.000000000000007</v>
      </c>
      <c r="E59" s="6">
        <f t="shared" si="2"/>
        <v>1.6949152542372881E-2</v>
      </c>
    </row>
    <row r="60" spans="3:5">
      <c r="C60">
        <f t="shared" si="0"/>
        <v>60</v>
      </c>
      <c r="D60">
        <f t="shared" si="1"/>
        <v>36.000000000000007</v>
      </c>
      <c r="E60" s="6">
        <f t="shared" si="2"/>
        <v>1.6666666666666666E-2</v>
      </c>
    </row>
    <row r="61" spans="3:5">
      <c r="C61">
        <f t="shared" si="0"/>
        <v>61</v>
      </c>
      <c r="D61">
        <f t="shared" si="1"/>
        <v>35</v>
      </c>
      <c r="E61" s="6">
        <f t="shared" si="2"/>
        <v>1.6393442622950821E-2</v>
      </c>
    </row>
    <row r="62" spans="3:5">
      <c r="C62">
        <f t="shared" si="0"/>
        <v>62</v>
      </c>
      <c r="D62">
        <f t="shared" si="1"/>
        <v>34</v>
      </c>
      <c r="E62" s="6">
        <f t="shared" si="2"/>
        <v>1.6129032258064516E-2</v>
      </c>
    </row>
    <row r="63" spans="3:5">
      <c r="C63">
        <f t="shared" si="0"/>
        <v>63</v>
      </c>
      <c r="D63">
        <f t="shared" si="1"/>
        <v>32.999999999999993</v>
      </c>
      <c r="E63" s="6">
        <f t="shared" si="2"/>
        <v>1.5873015873015872E-2</v>
      </c>
    </row>
    <row r="64" spans="3:5">
      <c r="C64">
        <f t="shared" si="0"/>
        <v>64</v>
      </c>
      <c r="D64">
        <f t="shared" si="1"/>
        <v>32</v>
      </c>
      <c r="E64" s="6">
        <f t="shared" si="2"/>
        <v>1.5625E-2</v>
      </c>
    </row>
    <row r="65" spans="3:5">
      <c r="C65">
        <f t="shared" si="0"/>
        <v>65</v>
      </c>
      <c r="D65">
        <f t="shared" si="1"/>
        <v>31.000000000000007</v>
      </c>
      <c r="E65" s="6">
        <f t="shared" si="2"/>
        <v>1.5384615384615385E-2</v>
      </c>
    </row>
    <row r="66" spans="3:5">
      <c r="C66">
        <f t="shared" si="0"/>
        <v>66</v>
      </c>
      <c r="D66">
        <f t="shared" si="1"/>
        <v>30.000000000000004</v>
      </c>
      <c r="E66" s="6">
        <f t="shared" si="2"/>
        <v>1.5151515151515152E-2</v>
      </c>
    </row>
    <row r="67" spans="3:5">
      <c r="C67">
        <f t="shared" ref="C67:C96" si="3">C66+1</f>
        <v>67</v>
      </c>
      <c r="D67">
        <f t="shared" si="1"/>
        <v>28.999999999999993</v>
      </c>
      <c r="E67" s="6">
        <f t="shared" si="2"/>
        <v>1.492537313432836E-2</v>
      </c>
    </row>
    <row r="68" spans="3:5">
      <c r="C68">
        <f t="shared" si="3"/>
        <v>68</v>
      </c>
      <c r="D68">
        <f t="shared" si="1"/>
        <v>28.000000000000007</v>
      </c>
      <c r="E68" s="6">
        <f t="shared" si="2"/>
        <v>1.4705882352941178E-2</v>
      </c>
    </row>
    <row r="69" spans="3:5">
      <c r="C69">
        <f t="shared" si="3"/>
        <v>69</v>
      </c>
      <c r="D69">
        <f t="shared" si="1"/>
        <v>26.999999999999996</v>
      </c>
      <c r="E69" s="6">
        <f t="shared" si="2"/>
        <v>1.4492753623188406E-2</v>
      </c>
    </row>
    <row r="70" spans="3:5">
      <c r="C70">
        <f t="shared" si="3"/>
        <v>70</v>
      </c>
      <c r="D70">
        <f t="shared" si="1"/>
        <v>26</v>
      </c>
      <c r="E70" s="6"/>
    </row>
    <row r="71" spans="3:5">
      <c r="C71">
        <f t="shared" si="3"/>
        <v>71</v>
      </c>
      <c r="D71">
        <f t="shared" si="1"/>
        <v>25</v>
      </c>
      <c r="E71" s="6">
        <f t="shared" si="2"/>
        <v>1.408450704225352E-2</v>
      </c>
    </row>
    <row r="72" spans="3:5">
      <c r="C72">
        <f t="shared" si="3"/>
        <v>72</v>
      </c>
      <c r="D72">
        <f t="shared" si="1"/>
        <v>23.999999999999993</v>
      </c>
      <c r="E72" s="6">
        <f t="shared" si="2"/>
        <v>1.3888888888888888E-2</v>
      </c>
    </row>
    <row r="73" spans="3:5">
      <c r="C73">
        <f t="shared" si="3"/>
        <v>73</v>
      </c>
      <c r="D73">
        <f t="shared" si="1"/>
        <v>22.999999999999993</v>
      </c>
      <c r="E73" s="6">
        <f t="shared" si="2"/>
        <v>1.3698630136986301E-2</v>
      </c>
    </row>
    <row r="74" spans="3:5">
      <c r="C74">
        <f t="shared" si="3"/>
        <v>74</v>
      </c>
      <c r="D74">
        <f t="shared" si="1"/>
        <v>22.000000000000007</v>
      </c>
      <c r="E74" s="6">
        <f t="shared" si="2"/>
        <v>1.3513513513513513E-2</v>
      </c>
    </row>
    <row r="75" spans="3:5">
      <c r="C75">
        <f t="shared" si="3"/>
        <v>75</v>
      </c>
      <c r="D75">
        <f t="shared" si="1"/>
        <v>21.000000000000004</v>
      </c>
      <c r="E75" s="6">
        <f t="shared" si="2"/>
        <v>1.3333333333333332E-2</v>
      </c>
    </row>
    <row r="76" spans="3:5">
      <c r="C76">
        <f t="shared" si="3"/>
        <v>76</v>
      </c>
      <c r="D76">
        <f t="shared" si="1"/>
        <v>19.999999999999993</v>
      </c>
      <c r="E76" s="6">
        <f t="shared" si="2"/>
        <v>1.3157894736842106E-2</v>
      </c>
    </row>
    <row r="77" spans="3:5">
      <c r="C77">
        <f t="shared" si="3"/>
        <v>77</v>
      </c>
      <c r="D77">
        <f t="shared" si="1"/>
        <v>18.999999999999996</v>
      </c>
      <c r="E77" s="6">
        <f t="shared" si="2"/>
        <v>1.2987012987012986E-2</v>
      </c>
    </row>
    <row r="78" spans="3:5">
      <c r="C78">
        <f t="shared" si="3"/>
        <v>78</v>
      </c>
      <c r="D78">
        <f t="shared" si="1"/>
        <v>18.000000000000007</v>
      </c>
      <c r="E78" s="6">
        <f t="shared" si="2"/>
        <v>1.2820512820512822E-2</v>
      </c>
    </row>
    <row r="79" spans="3:5">
      <c r="C79">
        <f t="shared" si="3"/>
        <v>79</v>
      </c>
      <c r="D79">
        <f t="shared" si="1"/>
        <v>17.000000000000004</v>
      </c>
      <c r="E79" s="6">
        <f t="shared" si="2"/>
        <v>1.2658227848101267E-2</v>
      </c>
    </row>
    <row r="80" spans="3:5">
      <c r="C80">
        <f t="shared" si="3"/>
        <v>80</v>
      </c>
      <c r="D80">
        <f t="shared" si="1"/>
        <v>15.999999999999996</v>
      </c>
      <c r="E80" s="6"/>
    </row>
    <row r="81" spans="3:5">
      <c r="C81">
        <f t="shared" si="3"/>
        <v>81</v>
      </c>
      <c r="D81">
        <f t="shared" si="1"/>
        <v>14.999999999999995</v>
      </c>
      <c r="E81" s="6">
        <f t="shared" si="2"/>
        <v>1.2345679012345678E-2</v>
      </c>
    </row>
    <row r="82" spans="3:5">
      <c r="C82">
        <f t="shared" si="3"/>
        <v>82</v>
      </c>
      <c r="D82">
        <f t="shared" si="1"/>
        <v>13.999999999999995</v>
      </c>
      <c r="E82" s="6">
        <f t="shared" si="2"/>
        <v>1.2195121951219513E-2</v>
      </c>
    </row>
    <row r="83" spans="3:5">
      <c r="C83">
        <f t="shared" si="3"/>
        <v>83</v>
      </c>
      <c r="D83">
        <f t="shared" si="1"/>
        <v>12.999999999999996</v>
      </c>
      <c r="E83" s="6">
        <f t="shared" si="2"/>
        <v>1.2048192771084338E-2</v>
      </c>
    </row>
    <row r="84" spans="3:5">
      <c r="C84">
        <f t="shared" si="3"/>
        <v>84</v>
      </c>
      <c r="D84">
        <f t="shared" si="1"/>
        <v>11.999999999999995</v>
      </c>
      <c r="E84" s="6">
        <f t="shared" si="2"/>
        <v>1.1904761904761904E-2</v>
      </c>
    </row>
    <row r="85" spans="3:5">
      <c r="C85">
        <f t="shared" si="3"/>
        <v>85</v>
      </c>
      <c r="D85">
        <f t="shared" si="1"/>
        <v>10.999999999999998</v>
      </c>
      <c r="E85" s="6">
        <f t="shared" si="2"/>
        <v>1.1764705882352941E-2</v>
      </c>
    </row>
    <row r="86" spans="3:5">
      <c r="C86">
        <f t="shared" si="3"/>
        <v>86</v>
      </c>
      <c r="D86">
        <f t="shared" si="1"/>
        <v>9.9999999999999982</v>
      </c>
      <c r="E86" s="6">
        <f t="shared" si="2"/>
        <v>1.1627906976744186E-2</v>
      </c>
    </row>
    <row r="87" spans="3:5">
      <c r="C87">
        <f t="shared" si="3"/>
        <v>87</v>
      </c>
      <c r="D87">
        <f t="shared" si="1"/>
        <v>8.9999999999999982</v>
      </c>
      <c r="E87" s="6">
        <f t="shared" si="2"/>
        <v>1.1494252873563218E-2</v>
      </c>
    </row>
    <row r="88" spans="3:5">
      <c r="C88">
        <f t="shared" si="3"/>
        <v>88</v>
      </c>
      <c r="D88">
        <f t="shared" si="1"/>
        <v>7.9999999999999929</v>
      </c>
      <c r="E88" s="6">
        <f t="shared" si="2"/>
        <v>1.1363636363636364E-2</v>
      </c>
    </row>
    <row r="89" spans="3:5">
      <c r="C89">
        <f t="shared" si="3"/>
        <v>89</v>
      </c>
      <c r="D89">
        <f t="shared" si="1"/>
        <v>6.9999999999999973</v>
      </c>
      <c r="E89" s="6">
        <f t="shared" ref="E89:E96" si="4">(100/C89)/100</f>
        <v>1.1235955056179777E-2</v>
      </c>
    </row>
    <row r="90" spans="3:5">
      <c r="C90">
        <f t="shared" si="3"/>
        <v>90</v>
      </c>
      <c r="D90">
        <f t="shared" si="1"/>
        <v>5.9999999999999982</v>
      </c>
      <c r="E90" s="6"/>
    </row>
    <row r="91" spans="3:5">
      <c r="C91">
        <f t="shared" si="3"/>
        <v>91</v>
      </c>
      <c r="D91">
        <f t="shared" si="1"/>
        <v>5.0000000000000027</v>
      </c>
      <c r="E91" s="6">
        <f t="shared" si="4"/>
        <v>1.098901098901099E-2</v>
      </c>
    </row>
    <row r="92" spans="3:5">
      <c r="C92">
        <f t="shared" si="3"/>
        <v>92</v>
      </c>
      <c r="D92">
        <f t="shared" si="1"/>
        <v>3.9999999999999973</v>
      </c>
      <c r="E92" s="6">
        <f t="shared" si="4"/>
        <v>1.0869565217391304E-2</v>
      </c>
    </row>
    <row r="93" spans="3:5">
      <c r="C93">
        <f t="shared" si="3"/>
        <v>93</v>
      </c>
      <c r="D93">
        <f t="shared" si="1"/>
        <v>2.9999999999999973</v>
      </c>
      <c r="E93" s="6">
        <f t="shared" si="4"/>
        <v>1.075268817204301E-2</v>
      </c>
    </row>
    <row r="94" spans="3:5">
      <c r="C94">
        <f t="shared" si="3"/>
        <v>94</v>
      </c>
      <c r="D94">
        <f t="shared" si="1"/>
        <v>1.9999999999999925</v>
      </c>
      <c r="E94" s="6">
        <f t="shared" si="4"/>
        <v>1.0638297872340425E-2</v>
      </c>
    </row>
    <row r="95" spans="3:5">
      <c r="C95">
        <f t="shared" si="3"/>
        <v>95</v>
      </c>
      <c r="D95">
        <f t="shared" si="1"/>
        <v>1.0000000000000031</v>
      </c>
      <c r="E95" s="6">
        <f t="shared" si="4"/>
        <v>1.0526315789473684E-2</v>
      </c>
    </row>
    <row r="96" spans="3:5">
      <c r="C96">
        <f t="shared" si="3"/>
        <v>96</v>
      </c>
      <c r="D96">
        <f t="shared" si="1"/>
        <v>0</v>
      </c>
      <c r="E96" s="6">
        <f t="shared" si="4"/>
        <v>1.0416666666666668E-2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D33C73CEF37A4683D09B62E2BAC0E8" ma:contentTypeVersion="3" ma:contentTypeDescription="Create a new document." ma:contentTypeScope="" ma:versionID="08e9daedd7c3f9c09f486f1d7cb8d944">
  <xsd:schema xmlns:xsd="http://www.w3.org/2001/XMLSchema" xmlns:xs="http://www.w3.org/2001/XMLSchema" xmlns:p="http://schemas.microsoft.com/office/2006/metadata/properties" xmlns:ns3="729e5b7b-4567-415b-b645-c6e3528df060" targetNamespace="http://schemas.microsoft.com/office/2006/metadata/properties" ma:root="true" ma:fieldsID="3eecdca3f3051c51a04242749236b5a4" ns3:_="">
    <xsd:import namespace="729e5b7b-4567-415b-b645-c6e3528df06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9e5b7b-4567-415b-b645-c6e3528df06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C38530-002D-40E1-8CA3-BE46D3A427D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2FD785-B802-411A-86E0-6DFB31E617C2}">
  <ds:schemaRefs>
    <ds:schemaRef ds:uri="http://purl.org/dc/dcmitype/"/>
    <ds:schemaRef ds:uri="http://purl.org/dc/terms/"/>
    <ds:schemaRef ds:uri="http://schemas.microsoft.com/office/2006/documentManagement/types"/>
    <ds:schemaRef ds:uri="729e5b7b-4567-415b-b645-c6e3528df060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9F61576-ED36-4B8D-89F7-A24908C653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9e5b7b-4567-415b-b645-c6e3528df0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Radni listovi</vt:lpstr>
      </vt:variant>
      <vt:variant>
        <vt:i4>6</vt:i4>
      </vt:variant>
      <vt:variant>
        <vt:lpstr>Imenovani rasponi</vt:lpstr>
      </vt:variant>
      <vt:variant>
        <vt:i4>1</vt:i4>
      </vt:variant>
    </vt:vector>
  </HeadingPairs>
  <TitlesOfParts>
    <vt:vector size="7" baseType="lpstr">
      <vt:lpstr>Sample Loading Table</vt:lpstr>
      <vt:lpstr>Integra Loading Table</vt:lpstr>
      <vt:lpstr>Diluent Volumes</vt:lpstr>
      <vt:lpstr>Plate Configuration</vt:lpstr>
      <vt:lpstr>Deck A Dilution Tube Layout</vt:lpstr>
      <vt:lpstr>ReferenceTable</vt:lpstr>
      <vt:lpstr>'Sample Loading Table'!Podrucje_ispisa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sandra postić</cp:lastModifiedBy>
  <cp:lastPrinted>2024-11-13T07:47:20Z</cp:lastPrinted>
  <dcterms:created xsi:type="dcterms:W3CDTF">2018-08-04T04:20:23Z</dcterms:created>
  <dcterms:modified xsi:type="dcterms:W3CDTF">2024-12-12T09:25:18Z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0x01010011D33C73CEF37A4683D09B62E2BAC0E8</vt:lpwstr>
  </property>
</Properties>
</file>