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370" activeTab="2"/>
  </bookViews>
  <sheets>
    <sheet name="伤害计算器" sheetId="1" r:id="rId1"/>
    <sheet name="个体值计算器" sheetId="2" r:id="rId2"/>
    <sheet name="Sheet3" sheetId="3" r:id="rId3"/>
    <sheet name="Sheet4" sheetId="4" r:id="rId4"/>
    <sheet name="Sheet1" sheetId="5" r:id="rId5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BD22" authorId="0">
      <text>
        <r>
          <rPr>
            <sz val="9"/>
            <rFont val="宋体"/>
            <charset val="134"/>
          </rPr>
          <t xml:space="preserve">无天气/天气锁 判定
</t>
        </r>
      </text>
    </comment>
    <comment ref="AV26" authorId="0">
      <text>
        <r>
          <rPr>
            <sz val="9"/>
            <rFont val="宋体"/>
            <charset val="134"/>
          </rPr>
          <t xml:space="preserve">精灵B觉醒力量属性判断值
</t>
        </r>
      </text>
    </comment>
    <comment ref="AV27" authorId="0">
      <text>
        <r>
          <rPr>
            <sz val="9"/>
            <rFont val="宋体"/>
            <charset val="134"/>
          </rPr>
          <t xml:space="preserve">精灵A觉醒力量属性判断值
</t>
        </r>
      </text>
    </comment>
    <comment ref="BI51" authorId="0">
      <text>
        <r>
          <rPr>
            <sz val="9"/>
            <rFont val="宋体"/>
            <charset val="134"/>
          </rPr>
          <t>命中等级-回避等级</t>
        </r>
      </text>
    </comment>
    <comment ref="BJ51" authorId="0">
      <text>
        <r>
          <rPr>
            <sz val="9"/>
            <rFont val="宋体"/>
            <charset val="134"/>
          </rPr>
          <t xml:space="preserve">计算命中率
</t>
        </r>
      </text>
    </comment>
    <comment ref="BI52" authorId="0">
      <text>
        <r>
          <rPr>
            <sz val="9"/>
            <rFont val="宋体"/>
            <charset val="134"/>
          </rPr>
          <t>命中等级判定</t>
        </r>
      </text>
    </comment>
    <comment ref="BI53" authorId="0">
      <text>
        <r>
          <rPr>
            <sz val="9"/>
            <rFont val="宋体"/>
            <charset val="134"/>
          </rPr>
          <t>回避等级判定</t>
        </r>
      </text>
    </comment>
    <comment ref="AV62" authorId="0">
      <text>
        <r>
          <rPr>
            <sz val="9"/>
            <rFont val="宋体"/>
            <charset val="134"/>
          </rPr>
          <t>不触发坚硬之爪的物攻技能</t>
        </r>
      </text>
    </comment>
    <comment ref="AW62" authorId="0">
      <text>
        <r>
          <rPr>
            <sz val="9"/>
            <rFont val="宋体"/>
            <charset val="134"/>
          </rPr>
          <t xml:space="preserve">触发坚硬之爪的特攻技能
</t>
        </r>
      </text>
    </comment>
  </commentList>
</comments>
</file>

<file path=xl/sharedStrings.xml><?xml version="1.0" encoding="utf-8"?>
<sst xmlns="http://schemas.openxmlformats.org/spreadsheetml/2006/main" count="6394">
  <si>
    <t>口袋妖怪伤害计算器</t>
  </si>
  <si>
    <t>物理</t>
  </si>
  <si>
    <t>特殊</t>
  </si>
  <si>
    <t>精灵A</t>
  </si>
  <si>
    <t>精灵B</t>
  </si>
  <si>
    <r>
      <rPr>
        <sz val="12"/>
        <rFont val="宋体"/>
        <charset val="134"/>
      </rPr>
      <t>0</t>
    </r>
    <r>
      <rPr>
        <sz val="12"/>
        <rFont val="宋体"/>
        <charset val="134"/>
      </rPr>
      <t>01</t>
    </r>
  </si>
  <si>
    <t>001妙蛙种子</t>
  </si>
  <si>
    <t>フシギダネ</t>
  </si>
  <si>
    <t>Bulbasaur</t>
  </si>
  <si>
    <t>中毒</t>
  </si>
  <si>
    <t>烧伤</t>
  </si>
  <si>
    <t>麻痹</t>
  </si>
  <si>
    <t>睡眠</t>
  </si>
  <si>
    <t>冰冻</t>
  </si>
  <si>
    <t>混乱</t>
  </si>
  <si>
    <r>
      <rPr>
        <sz val="12"/>
        <rFont val="宋体"/>
        <charset val="134"/>
      </rPr>
      <t>002</t>
    </r>
  </si>
  <si>
    <t>002妙蛙草</t>
  </si>
  <si>
    <t>フシギソウ</t>
  </si>
  <si>
    <t>Ivysaur</t>
  </si>
  <si>
    <t>003 Mega妙蛙花</t>
  </si>
  <si>
    <t>等级</t>
  </si>
  <si>
    <t>383 原始固拉多</t>
  </si>
  <si>
    <r>
      <rPr>
        <sz val="12"/>
        <rFont val="宋体"/>
        <charset val="134"/>
      </rPr>
      <t>003</t>
    </r>
  </si>
  <si>
    <t>003妙蛙花</t>
  </si>
  <si>
    <t>フシギバナ</t>
  </si>
  <si>
    <t>Venusaur</t>
  </si>
  <si>
    <t>种族值</t>
  </si>
  <si>
    <t>个体值</t>
  </si>
  <si>
    <t xml:space="preserve">努力值 </t>
  </si>
  <si>
    <t>性格修正</t>
  </si>
  <si>
    <t>能力值</t>
  </si>
  <si>
    <r>
      <rPr>
        <sz val="12"/>
        <rFont val="宋体"/>
        <charset val="134"/>
      </rPr>
      <t>004</t>
    </r>
  </si>
  <si>
    <t>004小火龙</t>
  </si>
  <si>
    <t>ヒトカゲ</t>
  </si>
  <si>
    <t>Charmander</t>
  </si>
  <si>
    <t>特性</t>
  </si>
  <si>
    <t>技师</t>
  </si>
  <si>
    <t>分析</t>
  </si>
  <si>
    <t>舍身</t>
  </si>
  <si>
    <t>铁拳</t>
  </si>
  <si>
    <t>沙之力量</t>
  </si>
  <si>
    <t>全力攻击</t>
  </si>
  <si>
    <t>超强炮台</t>
  </si>
  <si>
    <t>强壮之颚</t>
  </si>
  <si>
    <t>坚硬之爪</t>
  </si>
  <si>
    <t>热暴走</t>
  </si>
  <si>
    <t>毒暴走</t>
  </si>
  <si>
    <t>妖精光环</t>
  </si>
  <si>
    <t>黑暗光环</t>
  </si>
  <si>
    <t>大力士</t>
  </si>
  <si>
    <t>妖精皮肤</t>
  </si>
  <si>
    <t>天空皮肤</t>
  </si>
  <si>
    <t>冰冻皮肤</t>
  </si>
  <si>
    <t>深绿</t>
  </si>
  <si>
    <t>猛火</t>
  </si>
  <si>
    <t>激流</t>
  </si>
  <si>
    <t>虫之预警</t>
  </si>
  <si>
    <t>根性</t>
  </si>
  <si>
    <t>懦弱</t>
  </si>
  <si>
    <t>瑜伽之力</t>
  </si>
  <si>
    <t>太阳力量</t>
  </si>
  <si>
    <t>紧张</t>
  </si>
  <si>
    <t>花之礼物</t>
  </si>
  <si>
    <t>适应力</t>
  </si>
  <si>
    <t>有色眼镜</t>
  </si>
  <si>
    <t>狙击手</t>
  </si>
  <si>
    <t>亲子爱</t>
  </si>
  <si>
    <t>复眼</t>
  </si>
  <si>
    <t>胜利之星</t>
  </si>
  <si>
    <t>无防御</t>
  </si>
  <si>
    <t>厚脂肪</t>
  </si>
  <si>
    <t>耐热</t>
  </si>
  <si>
    <t>干燥皮肤</t>
  </si>
  <si>
    <t>神秘鳞片</t>
  </si>
  <si>
    <t>绿草毛皮</t>
  </si>
  <si>
    <t>多重鳞片</t>
  </si>
  <si>
    <t>坚硬岩石</t>
  </si>
  <si>
    <t>过滤器</t>
  </si>
  <si>
    <t>毛皮外衣</t>
  </si>
  <si>
    <t>蹒跚</t>
  </si>
  <si>
    <t>沙隐</t>
  </si>
  <si>
    <t>雪隐</t>
  </si>
  <si>
    <t>变幻自在</t>
  </si>
  <si>
    <t>破格</t>
  </si>
  <si>
    <t>HP</t>
  </si>
  <si>
    <t>+</t>
  </si>
  <si>
    <t>-</t>
  </si>
  <si>
    <t>VS.</t>
  </si>
  <si>
    <r>
      <rPr>
        <sz val="12"/>
        <rFont val="宋体"/>
        <charset val="134"/>
      </rPr>
      <t>005</t>
    </r>
  </si>
  <si>
    <t>005火恐龙</t>
  </si>
  <si>
    <t>リザード</t>
  </si>
  <si>
    <t>Charmeleon</t>
  </si>
  <si>
    <t>加成系数</t>
  </si>
  <si>
    <t>攻击</t>
  </si>
  <si>
    <r>
      <rPr>
        <sz val="12"/>
        <rFont val="宋体"/>
        <charset val="134"/>
      </rPr>
      <t>006</t>
    </r>
  </si>
  <si>
    <t>006喷火龙</t>
  </si>
  <si>
    <t>リザードン</t>
  </si>
  <si>
    <t>Charizard</t>
  </si>
  <si>
    <t>妖</t>
  </si>
  <si>
    <t>飞</t>
  </si>
  <si>
    <t>冰</t>
  </si>
  <si>
    <t>防御</t>
  </si>
  <si>
    <r>
      <rPr>
        <sz val="12"/>
        <rFont val="宋体"/>
        <charset val="134"/>
      </rPr>
      <t>007</t>
    </r>
  </si>
  <si>
    <t>007杰尼龟</t>
  </si>
  <si>
    <t>ゼニガメ</t>
  </si>
  <si>
    <t>Squirtle</t>
  </si>
  <si>
    <t>特攻</t>
  </si>
  <si>
    <r>
      <rPr>
        <sz val="12"/>
        <rFont val="宋体"/>
        <charset val="134"/>
      </rPr>
      <t>008</t>
    </r>
  </si>
  <si>
    <t>008卡咪龟</t>
  </si>
  <si>
    <t>カメール</t>
  </si>
  <si>
    <t>Wartortle</t>
  </si>
  <si>
    <t>特防</t>
  </si>
  <si>
    <r>
      <rPr>
        <sz val="12"/>
        <rFont val="宋体"/>
        <charset val="134"/>
      </rPr>
      <t>009</t>
    </r>
  </si>
  <si>
    <t>009水箭龟</t>
  </si>
  <si>
    <t>カメックス</t>
  </si>
  <si>
    <t>Blastoise</t>
  </si>
  <si>
    <t>速度</t>
  </si>
  <si>
    <r>
      <rPr>
        <sz val="12"/>
        <rFont val="宋体"/>
        <charset val="134"/>
      </rPr>
      <t>010</t>
    </r>
  </si>
  <si>
    <t>010绿毛虫</t>
  </si>
  <si>
    <t>キャタピー</t>
  </si>
  <si>
    <t>Caterpie</t>
  </si>
  <si>
    <t>总和</t>
  </si>
  <si>
    <t>努力总和:</t>
  </si>
  <si>
    <t>天气：</t>
  </si>
  <si>
    <r>
      <rPr>
        <sz val="12"/>
        <rFont val="宋体"/>
        <charset val="134"/>
      </rPr>
      <t>011</t>
    </r>
  </si>
  <si>
    <t>011铁甲蛹</t>
  </si>
  <si>
    <t>トランセル</t>
  </si>
  <si>
    <t>Metapod</t>
  </si>
  <si>
    <t>特性1</t>
  </si>
  <si>
    <t>当前HP百分比</t>
  </si>
  <si>
    <r>
      <rPr>
        <sz val="12"/>
        <rFont val="宋体"/>
        <charset val="134"/>
      </rPr>
      <t>012</t>
    </r>
  </si>
  <si>
    <t>012巴大蝴</t>
  </si>
  <si>
    <t>バタフリー</t>
  </si>
  <si>
    <t>Butterfree</t>
  </si>
  <si>
    <t>特性2</t>
  </si>
  <si>
    <t>异常状态</t>
  </si>
  <si>
    <t>重力</t>
  </si>
  <si>
    <r>
      <rPr>
        <sz val="12"/>
        <rFont val="宋体"/>
        <charset val="134"/>
      </rPr>
      <t>013</t>
    </r>
  </si>
  <si>
    <t>013独角虫</t>
  </si>
  <si>
    <t>ビードル</t>
  </si>
  <si>
    <t>Weedle</t>
  </si>
  <si>
    <t>隐藏特性</t>
  </si>
  <si>
    <t>引火状态</t>
  </si>
  <si>
    <t>反射盾</t>
  </si>
  <si>
    <r>
      <rPr>
        <sz val="12"/>
        <rFont val="宋体"/>
        <charset val="134"/>
      </rPr>
      <t>014</t>
    </r>
  </si>
  <si>
    <t>014铁壳昆</t>
  </si>
  <si>
    <t>コクーン</t>
  </si>
  <si>
    <t>Kakuna</t>
  </si>
  <si>
    <t>属性1</t>
  </si>
  <si>
    <t>充电状态</t>
  </si>
  <si>
    <t>变小状态</t>
  </si>
  <si>
    <t>光之壁</t>
  </si>
  <si>
    <r>
      <rPr>
        <sz val="12"/>
        <rFont val="宋体"/>
        <charset val="134"/>
      </rPr>
      <t>015</t>
    </r>
  </si>
  <si>
    <t>015大针蜂</t>
  </si>
  <si>
    <t>スピアー</t>
  </si>
  <si>
    <t>Beedrill</t>
  </si>
  <si>
    <t>属性2</t>
  </si>
  <si>
    <t>帮手状态</t>
  </si>
  <si>
    <t>潜水状态</t>
  </si>
  <si>
    <r>
      <rPr>
        <sz val="12"/>
        <rFont val="宋体"/>
        <charset val="134"/>
      </rPr>
      <t>016</t>
    </r>
  </si>
  <si>
    <t>016波波</t>
  </si>
  <si>
    <t>ポッポ</t>
  </si>
  <si>
    <t>Pidgey</t>
  </si>
  <si>
    <t>道具</t>
  </si>
  <si>
    <t>属性强化道具</t>
  </si>
  <si>
    <t>力量头巾</t>
  </si>
  <si>
    <t>知识眼镜</t>
  </si>
  <si>
    <t>属性宝石</t>
  </si>
  <si>
    <t>怪异之香</t>
  </si>
  <si>
    <t>粗骨头</t>
  </si>
  <si>
    <t>深海之牙</t>
  </si>
  <si>
    <t>电珠</t>
  </si>
  <si>
    <t>心之水滴</t>
  </si>
  <si>
    <t>专爱眼镜</t>
  </si>
  <si>
    <t>专爱头巾</t>
  </si>
  <si>
    <t>达人腰带</t>
  </si>
  <si>
    <t>生命之玉</t>
  </si>
  <si>
    <t>广角镜</t>
  </si>
  <si>
    <t>专爱围巾</t>
  </si>
  <si>
    <t>黑铁球</t>
  </si>
  <si>
    <t>矫正背心</t>
  </si>
  <si>
    <t>深海之鳞</t>
  </si>
  <si>
    <t>进化辉石</t>
  </si>
  <si>
    <t>突击背心</t>
  </si>
  <si>
    <t>光粉</t>
  </si>
  <si>
    <t>剩饭</t>
  </si>
  <si>
    <t>性格</t>
  </si>
  <si>
    <t>玩水状态</t>
  </si>
  <si>
    <t>挖洞状态</t>
  </si>
  <si>
    <t>单打/转轮</t>
  </si>
  <si>
    <r>
      <rPr>
        <sz val="12"/>
        <rFont val="宋体"/>
        <charset val="134"/>
      </rPr>
      <t>017</t>
    </r>
  </si>
  <si>
    <t>017比比鸟</t>
  </si>
  <si>
    <t>ピジョン</t>
  </si>
  <si>
    <t>Pidgeotto</t>
  </si>
  <si>
    <t>觉醒力量属性</t>
  </si>
  <si>
    <t>玩泥状态</t>
  </si>
  <si>
    <t>双打/三打</t>
  </si>
  <si>
    <r>
      <rPr>
        <sz val="12"/>
        <rFont val="宋体"/>
        <charset val="134"/>
      </rPr>
      <t>018</t>
    </r>
  </si>
  <si>
    <t>018比雕</t>
  </si>
  <si>
    <t>ピジョット</t>
  </si>
  <si>
    <t>Pidgeot</t>
  </si>
  <si>
    <t>体重</t>
  </si>
  <si>
    <t>kg</t>
  </si>
  <si>
    <r>
      <rPr>
        <sz val="12"/>
        <rFont val="宋体"/>
        <charset val="134"/>
      </rPr>
      <t>019</t>
    </r>
  </si>
  <si>
    <t>019小拉达</t>
  </si>
  <si>
    <t>コラッタ</t>
  </si>
  <si>
    <t>Rattata</t>
  </si>
  <si>
    <t>攻击等级</t>
  </si>
  <si>
    <t>命中等级</t>
  </si>
  <si>
    <r>
      <rPr>
        <sz val="12"/>
        <rFont val="宋体"/>
        <charset val="134"/>
      </rPr>
      <t>020</t>
    </r>
  </si>
  <si>
    <t>020拉达</t>
  </si>
  <si>
    <t>ラッタ</t>
  </si>
  <si>
    <t>Raticate</t>
  </si>
  <si>
    <t>防御等级</t>
  </si>
  <si>
    <t>回避等级</t>
  </si>
  <si>
    <t>无场地</t>
  </si>
  <si>
    <r>
      <rPr>
        <sz val="12"/>
        <rFont val="宋体"/>
        <charset val="134"/>
      </rPr>
      <t>021</t>
    </r>
  </si>
  <si>
    <t>021烈雀</t>
  </si>
  <si>
    <t>オニスズメ</t>
  </si>
  <si>
    <t>Spearow</t>
  </si>
  <si>
    <t>无天气</t>
  </si>
  <si>
    <t>晴天</t>
  </si>
  <si>
    <t>雨天</t>
  </si>
  <si>
    <t>雪天</t>
  </si>
  <si>
    <t>沙暴</t>
  </si>
  <si>
    <t>暴雨</t>
  </si>
  <si>
    <t>极其猛烈的阳光</t>
  </si>
  <si>
    <t>乱流</t>
  </si>
  <si>
    <t>速度等级</t>
  </si>
  <si>
    <t>迷雾场地</t>
  </si>
  <si>
    <r>
      <rPr>
        <sz val="12"/>
        <rFont val="宋体"/>
        <charset val="134"/>
      </rPr>
      <t>022</t>
    </r>
  </si>
  <si>
    <t>022大嘴雀</t>
  </si>
  <si>
    <t>オニドリル</t>
  </si>
  <si>
    <t>Fearow</t>
  </si>
  <si>
    <t>选择攻击技能属性：</t>
  </si>
  <si>
    <t>草</t>
  </si>
  <si>
    <t>电流场地</t>
  </si>
  <si>
    <t>地</t>
  </si>
  <si>
    <r>
      <rPr>
        <sz val="12"/>
        <rFont val="宋体"/>
        <charset val="134"/>
      </rPr>
      <t>023</t>
    </r>
  </si>
  <si>
    <t>023阿柏蛇</t>
  </si>
  <si>
    <t>アーボ</t>
  </si>
  <si>
    <t>Ekans</t>
  </si>
  <si>
    <t>选择攻击技能：</t>
  </si>
  <si>
    <t>亿万吸取</t>
  </si>
  <si>
    <t>绿草场地</t>
  </si>
  <si>
    <t>断崖之剑</t>
  </si>
  <si>
    <r>
      <rPr>
        <sz val="12"/>
        <rFont val="宋体"/>
        <charset val="134"/>
      </rPr>
      <t>024</t>
    </r>
  </si>
  <si>
    <t>024阿柏怪</t>
  </si>
  <si>
    <t>アーボック</t>
  </si>
  <si>
    <t>Arbok</t>
  </si>
  <si>
    <t>火</t>
  </si>
  <si>
    <t>水</t>
  </si>
  <si>
    <t>岩</t>
  </si>
  <si>
    <r>
      <rPr>
        <sz val="12"/>
        <rFont val="宋体"/>
        <charset val="134"/>
      </rPr>
      <t>025</t>
    </r>
  </si>
  <si>
    <t>025皮卡丘</t>
  </si>
  <si>
    <t>ピカチュウ</t>
  </si>
  <si>
    <t>Pikachu</t>
  </si>
  <si>
    <r>
      <rPr>
        <sz val="12"/>
        <rFont val="宋体"/>
        <charset val="134"/>
      </rPr>
      <t>026</t>
    </r>
  </si>
  <si>
    <t>026雷丘</t>
  </si>
  <si>
    <t>ライチュウ</t>
  </si>
  <si>
    <t>Raichu</t>
  </si>
  <si>
    <t>觉醒力量相关</t>
  </si>
  <si>
    <r>
      <rPr>
        <sz val="12"/>
        <rFont val="宋体"/>
        <charset val="134"/>
      </rPr>
      <t>027</t>
    </r>
  </si>
  <si>
    <t>027穿山鼠</t>
  </si>
  <si>
    <t>サンド</t>
  </si>
  <si>
    <t>Sandshrew</t>
  </si>
  <si>
    <t>无</t>
  </si>
  <si>
    <t>普</t>
  </si>
  <si>
    <t>电</t>
  </si>
  <si>
    <t>斗</t>
  </si>
  <si>
    <t>毒</t>
  </si>
  <si>
    <t>超</t>
  </si>
  <si>
    <t>虫</t>
  </si>
  <si>
    <t>鬼</t>
  </si>
  <si>
    <t>龙</t>
  </si>
  <si>
    <t>恶</t>
  </si>
  <si>
    <t>钢</t>
  </si>
  <si>
    <t>各种状态加成</t>
  </si>
  <si>
    <t>是否会心</t>
  </si>
  <si>
    <r>
      <rPr>
        <sz val="12"/>
        <rFont val="宋体"/>
        <charset val="134"/>
      </rPr>
      <t>028</t>
    </r>
  </si>
  <si>
    <t>028穿山王</t>
  </si>
  <si>
    <t>サンドパン</t>
  </si>
  <si>
    <t>Sandslash</t>
  </si>
  <si>
    <t>属性编号</t>
  </si>
  <si>
    <t>伤害计算</t>
  </si>
  <si>
    <r>
      <rPr>
        <sz val="12"/>
        <rFont val="宋体"/>
        <charset val="134"/>
      </rPr>
      <t>029</t>
    </r>
  </si>
  <si>
    <t>029尼多兰</t>
  </si>
  <si>
    <t>ニドラン♀</t>
  </si>
  <si>
    <t>Nidoran♀</t>
  </si>
  <si>
    <t>各属性技能数据读取编号</t>
  </si>
  <si>
    <t>使用技能：</t>
  </si>
  <si>
    <r>
      <rPr>
        <sz val="12"/>
        <rFont val="宋体"/>
        <charset val="134"/>
      </rPr>
      <t>030</t>
    </r>
  </si>
  <si>
    <t>030尼多娜</t>
  </si>
  <si>
    <t>ニドリーナ</t>
  </si>
  <si>
    <t>Nidorina</t>
  </si>
  <si>
    <t>属性相克表</t>
  </si>
  <si>
    <t>攻击技能属性</t>
  </si>
  <si>
    <r>
      <rPr>
        <sz val="12"/>
        <rFont val="宋体"/>
        <charset val="134"/>
      </rPr>
      <t>031</t>
    </r>
  </si>
  <si>
    <t>031尼多后</t>
  </si>
  <si>
    <t>ニドクイン</t>
  </si>
  <si>
    <t>Nidoqueen</t>
  </si>
  <si>
    <t>攻击属性（物理/特殊)</t>
  </si>
  <si>
    <r>
      <rPr>
        <sz val="12"/>
        <rFont val="宋体"/>
        <charset val="134"/>
      </rPr>
      <t>032</t>
    </r>
  </si>
  <si>
    <t>032尼多朗</t>
  </si>
  <si>
    <t>ニドラン♂</t>
  </si>
  <si>
    <t>Nidoran♂</t>
  </si>
  <si>
    <t>攻击能力值</t>
  </si>
  <si>
    <t>防御能力值</t>
  </si>
  <si>
    <t>攻击技能威力（实际威力）</t>
  </si>
  <si>
    <r>
      <rPr>
        <sz val="12"/>
        <rFont val="宋体"/>
        <charset val="134"/>
      </rPr>
      <t>033</t>
    </r>
  </si>
  <si>
    <t>033尼多力诺</t>
  </si>
  <si>
    <t>ニドリーノ</t>
  </si>
  <si>
    <t>Nidorino</t>
  </si>
  <si>
    <t>HP:</t>
  </si>
  <si>
    <r>
      <rPr>
        <sz val="12"/>
        <rFont val="宋体"/>
        <charset val="134"/>
      </rPr>
      <t>034</t>
    </r>
  </si>
  <si>
    <t>034尼多王</t>
  </si>
  <si>
    <t>ニドキング</t>
  </si>
  <si>
    <t>Nidoking</t>
  </si>
  <si>
    <t>特性：</t>
  </si>
  <si>
    <t>连发技能攻击次数</t>
  </si>
  <si>
    <r>
      <rPr>
        <sz val="12"/>
        <rFont val="宋体"/>
        <charset val="134"/>
      </rPr>
      <t>035</t>
    </r>
  </si>
  <si>
    <t>035皮皮</t>
  </si>
  <si>
    <t>ピッピ</t>
  </si>
  <si>
    <t>Clefairy</t>
  </si>
  <si>
    <t>实际速度</t>
  </si>
  <si>
    <r>
      <rPr>
        <sz val="12"/>
        <rFont val="宋体"/>
        <charset val="134"/>
      </rPr>
      <t>036</t>
    </r>
  </si>
  <si>
    <t>036皮可西</t>
  </si>
  <si>
    <t>ピクシー</t>
  </si>
  <si>
    <t>Clefable</t>
  </si>
  <si>
    <r>
      <rPr>
        <sz val="12"/>
        <rFont val="宋体"/>
        <charset val="134"/>
      </rPr>
      <t>037</t>
    </r>
  </si>
  <si>
    <t>037六尾</t>
  </si>
  <si>
    <t>ロコン</t>
  </si>
  <si>
    <t>Vulpix</t>
  </si>
  <si>
    <t>修正后攻击力：</t>
  </si>
  <si>
    <r>
      <rPr>
        <sz val="12"/>
        <rFont val="宋体"/>
        <charset val="134"/>
      </rPr>
      <t>038</t>
    </r>
  </si>
  <si>
    <t>038九尾</t>
  </si>
  <si>
    <t>キュウコン</t>
  </si>
  <si>
    <t>Ninetales</t>
  </si>
  <si>
    <t>修正后防御力：</t>
  </si>
  <si>
    <r>
      <rPr>
        <sz val="12"/>
        <rFont val="宋体"/>
        <charset val="134"/>
      </rPr>
      <t>039</t>
    </r>
  </si>
  <si>
    <t>039胖丁</t>
  </si>
  <si>
    <t>プリン</t>
  </si>
  <si>
    <t>Jigglypuff</t>
  </si>
  <si>
    <t>修正后技能威力：</t>
  </si>
  <si>
    <r>
      <rPr>
        <sz val="12"/>
        <rFont val="宋体"/>
        <charset val="134"/>
      </rPr>
      <t>040</t>
    </r>
  </si>
  <si>
    <t>040胖可丁</t>
  </si>
  <si>
    <t>プクリン</t>
  </si>
  <si>
    <t>Wigglytuff</t>
  </si>
  <si>
    <t>基础伤害：</t>
  </si>
  <si>
    <r>
      <rPr>
        <sz val="12"/>
        <rFont val="宋体"/>
        <charset val="134"/>
      </rPr>
      <t>041</t>
    </r>
  </si>
  <si>
    <t>041超音蝠</t>
  </si>
  <si>
    <t>ズバット</t>
  </si>
  <si>
    <t>Zubat</t>
  </si>
  <si>
    <t>天气修正：</t>
  </si>
  <si>
    <r>
      <rPr>
        <sz val="12"/>
        <rFont val="宋体"/>
        <charset val="134"/>
      </rPr>
      <t>042</t>
    </r>
  </si>
  <si>
    <t>042大嘴蝠</t>
  </si>
  <si>
    <t>ゴルバット</t>
  </si>
  <si>
    <t>Golbat</t>
  </si>
  <si>
    <t>属性相克倍率：</t>
  </si>
  <si>
    <t>伤害分布：</t>
  </si>
  <si>
    <r>
      <rPr>
        <sz val="12"/>
        <rFont val="宋体"/>
        <charset val="134"/>
      </rPr>
      <t>043</t>
    </r>
  </si>
  <si>
    <t>043走路草</t>
  </si>
  <si>
    <t>ナゾノクサ</t>
  </si>
  <si>
    <t>Oddish</t>
  </si>
  <si>
    <t>属性修正</t>
  </si>
  <si>
    <r>
      <rPr>
        <sz val="12"/>
        <rFont val="宋体"/>
        <charset val="134"/>
      </rPr>
      <t>044</t>
    </r>
  </si>
  <si>
    <t>044臭臭花</t>
  </si>
  <si>
    <t>クサイハナ</t>
  </si>
  <si>
    <t>Gloom</t>
  </si>
  <si>
    <t>会心修正</t>
  </si>
  <si>
    <r>
      <rPr>
        <sz val="12"/>
        <rFont val="宋体"/>
        <charset val="134"/>
      </rPr>
      <t>045</t>
    </r>
  </si>
  <si>
    <t>045霸王花</t>
  </si>
  <si>
    <t>ラフレシア</t>
  </si>
  <si>
    <t>Vileplume</t>
  </si>
  <si>
    <t>命中率</t>
  </si>
  <si>
    <r>
      <rPr>
        <sz val="12"/>
        <rFont val="宋体"/>
        <charset val="134"/>
      </rPr>
      <t>046</t>
    </r>
  </si>
  <si>
    <t>046派拉斯</t>
  </si>
  <si>
    <t>パラス</t>
  </si>
  <si>
    <t>Paras</t>
  </si>
  <si>
    <t>计算结果：</t>
  </si>
  <si>
    <r>
      <rPr>
        <sz val="12"/>
        <rFont val="宋体"/>
        <charset val="134"/>
      </rPr>
      <t>047</t>
    </r>
  </si>
  <si>
    <t>047派拉斯特</t>
  </si>
  <si>
    <t>パラセクト</t>
  </si>
  <si>
    <t>Parasect</t>
  </si>
  <si>
    <t>最大伤害：</t>
  </si>
  <si>
    <t>一击秒杀几率</t>
  </si>
  <si>
    <t>考虑命中率后的秒杀几率</t>
  </si>
  <si>
    <r>
      <rPr>
        <sz val="12"/>
        <rFont val="宋体"/>
        <charset val="134"/>
      </rPr>
      <t>048</t>
    </r>
  </si>
  <si>
    <t>048毛球</t>
  </si>
  <si>
    <t>コンパン</t>
  </si>
  <si>
    <t>Venonat</t>
  </si>
  <si>
    <t>最小伤害：</t>
  </si>
  <si>
    <r>
      <rPr>
        <sz val="12"/>
        <rFont val="宋体"/>
        <charset val="134"/>
      </rPr>
      <t>049</t>
    </r>
  </si>
  <si>
    <t>049末入蛾</t>
  </si>
  <si>
    <t>モルフォン</t>
  </si>
  <si>
    <t>Venomoth</t>
  </si>
  <si>
    <r>
      <rPr>
        <sz val="12"/>
        <rFont val="宋体"/>
        <charset val="134"/>
      </rPr>
      <t>050</t>
    </r>
  </si>
  <si>
    <t>050地鼠</t>
  </si>
  <si>
    <t>ディグダ</t>
  </si>
  <si>
    <t>Diglett</t>
  </si>
  <si>
    <t>性格判断</t>
  </si>
  <si>
    <t>随机数</t>
  </si>
  <si>
    <t>命中相关</t>
  </si>
  <si>
    <r>
      <rPr>
        <sz val="12"/>
        <rFont val="宋体"/>
        <charset val="134"/>
      </rPr>
      <t>051</t>
    </r>
  </si>
  <si>
    <t>051三地鼠</t>
  </si>
  <si>
    <t>ダグトリオ</t>
  </si>
  <si>
    <t>Dugtrio</t>
  </si>
  <si>
    <t>攻</t>
  </si>
  <si>
    <t>防</t>
  </si>
  <si>
    <r>
      <rPr>
        <sz val="12"/>
        <rFont val="宋体"/>
        <charset val="134"/>
      </rPr>
      <t>052</t>
    </r>
  </si>
  <si>
    <t>052喵喵</t>
  </si>
  <si>
    <t>ニャース</t>
  </si>
  <si>
    <t>Meowth</t>
  </si>
  <si>
    <r>
      <rPr>
        <sz val="12"/>
        <rFont val="宋体"/>
        <charset val="134"/>
      </rPr>
      <t>053</t>
    </r>
  </si>
  <si>
    <t>053猫老大</t>
  </si>
  <si>
    <t>ペルシアン</t>
  </si>
  <si>
    <t>Persian</t>
  </si>
  <si>
    <t>努力</t>
  </si>
  <si>
    <t>孤独</t>
  </si>
  <si>
    <t>固执</t>
  </si>
  <si>
    <t>调皮</t>
  </si>
  <si>
    <t>勇敢</t>
  </si>
  <si>
    <r>
      <rPr>
        <sz val="12"/>
        <rFont val="宋体"/>
        <charset val="134"/>
      </rPr>
      <t>054</t>
    </r>
  </si>
  <si>
    <t>054可达鸭</t>
  </si>
  <si>
    <t>コダック</t>
  </si>
  <si>
    <t>Psyduck</t>
  </si>
  <si>
    <t>大胆</t>
  </si>
  <si>
    <t>直率</t>
  </si>
  <si>
    <t>淘气</t>
  </si>
  <si>
    <t>乐天</t>
  </si>
  <si>
    <t>悠闲</t>
  </si>
  <si>
    <r>
      <rPr>
        <sz val="12"/>
        <rFont val="宋体"/>
        <charset val="134"/>
      </rPr>
      <t>055</t>
    </r>
  </si>
  <si>
    <t>055哥达鸭</t>
  </si>
  <si>
    <t>ゴルダック</t>
  </si>
  <si>
    <t>Golduck</t>
  </si>
  <si>
    <t>保守</t>
  </si>
  <si>
    <t>稳重</t>
  </si>
  <si>
    <t>害羞</t>
  </si>
  <si>
    <t>马虎</t>
  </si>
  <si>
    <t>冷静</t>
  </si>
  <si>
    <r>
      <rPr>
        <sz val="12"/>
        <rFont val="宋体"/>
        <charset val="134"/>
      </rPr>
      <t>056</t>
    </r>
  </si>
  <si>
    <t>056猴怪</t>
  </si>
  <si>
    <t>マンキー</t>
  </si>
  <si>
    <t>Mankey</t>
  </si>
  <si>
    <t>沉着</t>
  </si>
  <si>
    <t>温顺</t>
  </si>
  <si>
    <t>慎重</t>
  </si>
  <si>
    <t>浮躁</t>
  </si>
  <si>
    <t>狂妄</t>
  </si>
  <si>
    <r>
      <rPr>
        <sz val="12"/>
        <rFont val="宋体"/>
        <charset val="134"/>
      </rPr>
      <t>057</t>
    </r>
  </si>
  <si>
    <t>057火爆猴</t>
  </si>
  <si>
    <t>オコリザル</t>
  </si>
  <si>
    <t>Primeape</t>
  </si>
  <si>
    <t>胆小</t>
  </si>
  <si>
    <t>急躁</t>
  </si>
  <si>
    <t>开朗</t>
  </si>
  <si>
    <t>天真</t>
  </si>
  <si>
    <t>认真</t>
  </si>
  <si>
    <r>
      <rPr>
        <sz val="12"/>
        <rFont val="宋体"/>
        <charset val="134"/>
      </rPr>
      <t>058</t>
    </r>
  </si>
  <si>
    <t>058卡蒂狗</t>
  </si>
  <si>
    <t>ガーディ</t>
  </si>
  <si>
    <t>Growlithe</t>
  </si>
  <si>
    <r>
      <rPr>
        <sz val="12"/>
        <rFont val="宋体"/>
        <charset val="134"/>
      </rPr>
      <t>059</t>
    </r>
  </si>
  <si>
    <t>059风速狗</t>
  </si>
  <si>
    <t>ウインディ</t>
  </si>
  <si>
    <t>Arcanine</t>
  </si>
  <si>
    <r>
      <rPr>
        <sz val="12"/>
        <rFont val="宋体"/>
        <charset val="134"/>
      </rPr>
      <t>060</t>
    </r>
  </si>
  <si>
    <t>060蚊香蝌蚪</t>
  </si>
  <si>
    <t>ニョロモ</t>
  </si>
  <si>
    <t>Poliwag</t>
  </si>
  <si>
    <t>坚硬之爪相关</t>
  </si>
  <si>
    <t>声音系技能</t>
  </si>
  <si>
    <t>全力攻击生效技能</t>
  </si>
  <si>
    <r>
      <rPr>
        <sz val="12"/>
        <rFont val="宋体"/>
        <charset val="134"/>
      </rPr>
      <t>061</t>
    </r>
  </si>
  <si>
    <t>061蚊香蛙</t>
  </si>
  <si>
    <t>ニョロゾ</t>
  </si>
  <si>
    <t>Poliwhirl</t>
  </si>
  <si>
    <t>招财猫</t>
  </si>
  <si>
    <t>王牌</t>
  </si>
  <si>
    <t>叫声</t>
  </si>
  <si>
    <t>勒住</t>
  </si>
  <si>
    <r>
      <rPr>
        <sz val="12"/>
        <rFont val="宋体"/>
        <charset val="134"/>
      </rPr>
      <t>062</t>
    </r>
  </si>
  <si>
    <t>062快泳蛙</t>
  </si>
  <si>
    <t>ニョロボン</t>
  </si>
  <si>
    <t>Poliwrath</t>
  </si>
  <si>
    <t>大爆炸</t>
  </si>
  <si>
    <t>绞紧</t>
  </si>
  <si>
    <t>吼叫</t>
  </si>
  <si>
    <t>践踏</t>
  </si>
  <si>
    <r>
      <rPr>
        <sz val="12"/>
        <rFont val="宋体"/>
        <charset val="134"/>
      </rPr>
      <t>063</t>
    </r>
  </si>
  <si>
    <t>063凯西</t>
  </si>
  <si>
    <t>ケーシィ</t>
  </si>
  <si>
    <t>Abra</t>
  </si>
  <si>
    <t>地震</t>
  </si>
  <si>
    <t>豁命攻击</t>
  </si>
  <si>
    <t>歌唱</t>
  </si>
  <si>
    <t>头槌</t>
  </si>
  <si>
    <r>
      <rPr>
        <sz val="12"/>
        <rFont val="宋体"/>
        <charset val="134"/>
      </rPr>
      <t>064</t>
    </r>
  </si>
  <si>
    <t>064勇吉拉</t>
  </si>
  <si>
    <t>ユンゲラー</t>
  </si>
  <si>
    <t>Kadabra</t>
  </si>
  <si>
    <t>震级变化</t>
  </si>
  <si>
    <t>花瓣舞</t>
  </si>
  <si>
    <t>超音波</t>
  </si>
  <si>
    <t>压制</t>
  </si>
  <si>
    <t>免疫某系攻击的特性</t>
  </si>
  <si>
    <r>
      <rPr>
        <sz val="12"/>
        <rFont val="宋体"/>
        <charset val="134"/>
      </rPr>
      <t>065</t>
    </r>
  </si>
  <si>
    <t>065胡地</t>
  </si>
  <si>
    <t>フーディン</t>
  </si>
  <si>
    <t>Alakazam</t>
  </si>
  <si>
    <t>落石</t>
  </si>
  <si>
    <t>草绳结</t>
  </si>
  <si>
    <t>噪音</t>
  </si>
  <si>
    <t>飘飘拳</t>
  </si>
  <si>
    <r>
      <rPr>
        <sz val="12"/>
        <rFont val="宋体"/>
        <charset val="134"/>
      </rPr>
      <t>066</t>
    </r>
  </si>
  <si>
    <t>066腕力</t>
  </si>
  <si>
    <t>ワンリキー</t>
  </si>
  <si>
    <t>Machop</t>
  </si>
  <si>
    <t>石刃</t>
  </si>
  <si>
    <t>鼾声</t>
  </si>
  <si>
    <t>必杀门牙</t>
  </si>
  <si>
    <t>连续攻击技能</t>
  </si>
  <si>
    <t>多目标技能</t>
  </si>
  <si>
    <t>引水</t>
  </si>
  <si>
    <r>
      <rPr>
        <sz val="12"/>
        <rFont val="宋体"/>
        <charset val="134"/>
      </rPr>
      <t>067</t>
    </r>
  </si>
  <si>
    <t>067豪力</t>
  </si>
  <si>
    <t>ゴーリキー</t>
  </si>
  <si>
    <t>Machoke</t>
  </si>
  <si>
    <t>神鸟</t>
  </si>
  <si>
    <t>灭亡之歌</t>
  </si>
  <si>
    <t>三角攻击</t>
  </si>
  <si>
    <t>双重攻击</t>
  </si>
  <si>
    <t>喷水</t>
  </si>
  <si>
    <t>贮水</t>
  </si>
  <si>
    <r>
      <rPr>
        <sz val="12"/>
        <rFont val="宋体"/>
        <charset val="134"/>
      </rPr>
      <t>068</t>
    </r>
  </si>
  <si>
    <t>068怪力</t>
  </si>
  <si>
    <t>カイリキー</t>
  </si>
  <si>
    <t>Machamp</t>
  </si>
  <si>
    <t>飞叶斩</t>
  </si>
  <si>
    <t>治愈之铃</t>
  </si>
  <si>
    <t>连环踢</t>
  </si>
  <si>
    <t>古代之歌</t>
  </si>
  <si>
    <t>引火</t>
  </si>
  <si>
    <r>
      <rPr>
        <sz val="12"/>
        <rFont val="宋体"/>
        <charset val="134"/>
      </rPr>
      <t>069</t>
    </r>
  </si>
  <si>
    <t>069喇叭芽</t>
  </si>
  <si>
    <t>マダツボミ</t>
  </si>
  <si>
    <t>Bellsprout</t>
  </si>
  <si>
    <t>精神切割</t>
  </si>
  <si>
    <t>吵闹</t>
  </si>
  <si>
    <t>下马威</t>
  </si>
  <si>
    <t>骨头回旋镖</t>
  </si>
  <si>
    <t>热风</t>
  </si>
  <si>
    <t>食草</t>
  </si>
  <si>
    <r>
      <rPr>
        <sz val="12"/>
        <rFont val="宋体"/>
        <charset val="134"/>
      </rPr>
      <t>070</t>
    </r>
  </si>
  <si>
    <t>070口呆花</t>
  </si>
  <si>
    <t>ウツドン</t>
  </si>
  <si>
    <t>Weepinbell</t>
  </si>
  <si>
    <t>自爆</t>
  </si>
  <si>
    <t>高级噪音</t>
  </si>
  <si>
    <t>秘密力量</t>
  </si>
  <si>
    <t>双针</t>
  </si>
  <si>
    <t>放电</t>
  </si>
  <si>
    <t>避雷针</t>
  </si>
  <si>
    <r>
      <rPr>
        <sz val="12"/>
        <rFont val="宋体"/>
        <charset val="134"/>
      </rPr>
      <t>071</t>
    </r>
  </si>
  <si>
    <t>071大食花</t>
  </si>
  <si>
    <t>ウツボット</t>
  </si>
  <si>
    <t>Victreebel</t>
  </si>
  <si>
    <t>礼物</t>
  </si>
  <si>
    <t>金属音</t>
  </si>
  <si>
    <t>崩击之爪</t>
  </si>
  <si>
    <t>齿轮飞盘</t>
  </si>
  <si>
    <t>浊流</t>
  </si>
  <si>
    <t>电引擎</t>
  </si>
  <si>
    <r>
      <rPr>
        <sz val="12"/>
        <rFont val="宋体"/>
        <charset val="134"/>
      </rPr>
      <t>072</t>
    </r>
  </si>
  <si>
    <t>072玛瑙水母</t>
  </si>
  <si>
    <t>メノクラゲ</t>
  </si>
  <si>
    <t>Tentacool</t>
  </si>
  <si>
    <t>地裂</t>
  </si>
  <si>
    <t>草笛</t>
  </si>
  <si>
    <t>攀岩</t>
  </si>
  <si>
    <t>连环切击</t>
  </si>
  <si>
    <t>空气刃</t>
  </si>
  <si>
    <t>浮游</t>
  </si>
  <si>
    <r>
      <rPr>
        <sz val="12"/>
        <rFont val="宋体"/>
        <charset val="134"/>
      </rPr>
      <t>073</t>
    </r>
  </si>
  <si>
    <t>073毒刺水母</t>
  </si>
  <si>
    <t>ドククラゲ</t>
  </si>
  <si>
    <t>Tentacruel</t>
  </si>
  <si>
    <t>沙地狱</t>
  </si>
  <si>
    <t>虫鸣</t>
  </si>
  <si>
    <t>往复拍打</t>
  </si>
  <si>
    <t>喷火</t>
  </si>
  <si>
    <t>防音</t>
  </si>
  <si>
    <r>
      <rPr>
        <sz val="12"/>
        <rFont val="宋体"/>
        <charset val="134"/>
      </rPr>
      <t>074</t>
    </r>
  </si>
  <si>
    <t>074小拳石</t>
  </si>
  <si>
    <t>イシツブテ</t>
  </si>
  <si>
    <t>Geodude</t>
  </si>
  <si>
    <t>岩崩</t>
  </si>
  <si>
    <t>喋喋不休</t>
  </si>
  <si>
    <t>回旋踢</t>
  </si>
  <si>
    <t>连续拳</t>
  </si>
  <si>
    <t>喷烟</t>
  </si>
  <si>
    <t>奇异守护</t>
  </si>
  <si>
    <r>
      <rPr>
        <sz val="12"/>
        <rFont val="宋体"/>
        <charset val="134"/>
      </rPr>
      <t>075</t>
    </r>
  </si>
  <si>
    <t>075隆隆石</t>
  </si>
  <si>
    <t>ゴローン</t>
  </si>
  <si>
    <t>Graveler</t>
  </si>
  <si>
    <t>击坠</t>
  </si>
  <si>
    <t>轮唱</t>
  </si>
  <si>
    <t>爆裂拳</t>
  </si>
  <si>
    <t>乱突</t>
  </si>
  <si>
    <t>电网</t>
  </si>
  <si>
    <t>蓄电</t>
  </si>
  <si>
    <r>
      <rPr>
        <sz val="12"/>
        <rFont val="宋体"/>
        <charset val="134"/>
      </rPr>
      <t>076</t>
    </r>
  </si>
  <si>
    <t>076隆隆岩</t>
  </si>
  <si>
    <t>ゴローニャ</t>
  </si>
  <si>
    <t>Golem</t>
  </si>
  <si>
    <t>金属爆破</t>
  </si>
  <si>
    <t>回音</t>
  </si>
  <si>
    <t>碎岩</t>
  </si>
  <si>
    <t>尖刺加农炮</t>
  </si>
  <si>
    <t>溶解液</t>
  </si>
  <si>
    <r>
      <rPr>
        <sz val="12"/>
        <rFont val="宋体"/>
        <charset val="134"/>
      </rPr>
      <t>077</t>
    </r>
  </si>
  <si>
    <t>077小火马</t>
  </si>
  <si>
    <t>ポニータ</t>
  </si>
  <si>
    <t>Ponyta</t>
  </si>
  <si>
    <t>种子机枪</t>
  </si>
  <si>
    <t>发劲</t>
  </si>
  <si>
    <t>扔蛋</t>
  </si>
  <si>
    <t>燃尽</t>
  </si>
  <si>
    <r>
      <rPr>
        <sz val="12"/>
        <rFont val="宋体"/>
        <charset val="134"/>
      </rPr>
      <t>078</t>
    </r>
  </si>
  <si>
    <t>078烈焰马</t>
  </si>
  <si>
    <t>ギャロップ</t>
  </si>
  <si>
    <t>Rapidash</t>
  </si>
  <si>
    <t>冰柱针</t>
  </si>
  <si>
    <t>大喊</t>
  </si>
  <si>
    <t>气合弹</t>
  </si>
  <si>
    <t>乱抓</t>
  </si>
  <si>
    <t>淤泥波</t>
  </si>
  <si>
    <r>
      <rPr>
        <sz val="12"/>
        <rFont val="宋体"/>
        <charset val="134"/>
      </rPr>
      <t>079</t>
    </r>
  </si>
  <si>
    <t>079呆呆兽</t>
  </si>
  <si>
    <t>ヤドン</t>
  </si>
  <si>
    <t>Slowpoke</t>
  </si>
  <si>
    <t>蛋蛋爆弹</t>
  </si>
  <si>
    <t>退场台词</t>
  </si>
  <si>
    <t>下旋</t>
  </si>
  <si>
    <t>扫荡拍打</t>
  </si>
  <si>
    <t>回复封印</t>
  </si>
  <si>
    <r>
      <rPr>
        <sz val="12"/>
        <rFont val="宋体"/>
        <charset val="134"/>
      </rPr>
      <t>080</t>
    </r>
  </si>
  <si>
    <t>080呆河马</t>
  </si>
  <si>
    <t>ヤドラン</t>
  </si>
  <si>
    <t>Slowbro</t>
  </si>
  <si>
    <t>突张</t>
  </si>
  <si>
    <t>毒瓦斯</t>
  </si>
  <si>
    <r>
      <rPr>
        <sz val="12"/>
        <rFont val="宋体"/>
        <charset val="134"/>
      </rPr>
      <t>081</t>
    </r>
  </si>
  <si>
    <t>081小磁怪</t>
  </si>
  <si>
    <t>コイル</t>
  </si>
  <si>
    <t>Magnemite</t>
  </si>
  <si>
    <t>骨头棍</t>
  </si>
  <si>
    <t>飞跃</t>
  </si>
  <si>
    <t>骨头冲锋</t>
  </si>
  <si>
    <t>水泡</t>
  </si>
  <si>
    <r>
      <rPr>
        <sz val="12"/>
        <rFont val="宋体"/>
        <charset val="134"/>
      </rPr>
      <t>082</t>
    </r>
  </si>
  <si>
    <t>082三合一磁怪</t>
  </si>
  <si>
    <t>レアコイル</t>
  </si>
  <si>
    <t>Magneton</t>
  </si>
  <si>
    <t>压路</t>
  </si>
  <si>
    <t>空气切割</t>
  </si>
  <si>
    <t>岩石爆破</t>
  </si>
  <si>
    <t>同调噪音</t>
  </si>
  <si>
    <r>
      <rPr>
        <sz val="12"/>
        <rFont val="宋体"/>
        <charset val="134"/>
      </rPr>
      <t>083</t>
    </r>
  </si>
  <si>
    <t>083大葱鸭</t>
  </si>
  <si>
    <t>カモネギ</t>
  </si>
  <si>
    <t>Farfetch'd</t>
  </si>
  <si>
    <t>岩石封</t>
  </si>
  <si>
    <t>暴风</t>
  </si>
  <si>
    <t>导弹针</t>
  </si>
  <si>
    <t>暴风雪</t>
  </si>
  <si>
    <r>
      <rPr>
        <sz val="12"/>
        <rFont val="宋体"/>
        <charset val="134"/>
      </rPr>
      <t>084</t>
    </r>
  </si>
  <si>
    <t>084嘟嘟</t>
  </si>
  <si>
    <t>ドードー</t>
  </si>
  <si>
    <t>Doduo</t>
  </si>
  <si>
    <t>毒针</t>
  </si>
  <si>
    <r>
      <rPr>
        <sz val="12"/>
        <rFont val="宋体"/>
        <charset val="134"/>
      </rPr>
      <t>085</t>
    </r>
  </si>
  <si>
    <t>085嘟嘟利</t>
  </si>
  <si>
    <t>ドードリオ</t>
  </si>
  <si>
    <t>Dodrio</t>
  </si>
  <si>
    <t>磁体炸弹</t>
  </si>
  <si>
    <t>冲浪</t>
  </si>
  <si>
    <r>
      <rPr>
        <sz val="12"/>
        <rFont val="宋体"/>
        <charset val="134"/>
      </rPr>
      <t>086</t>
    </r>
  </si>
  <si>
    <t>086小海狮</t>
  </si>
  <si>
    <t>パウワウ</t>
  </si>
  <si>
    <t>Seel</t>
  </si>
  <si>
    <t>种子爆弹</t>
  </si>
  <si>
    <t>毒雾</t>
  </si>
  <si>
    <t>水之手里剑</t>
  </si>
  <si>
    <r>
      <rPr>
        <sz val="12"/>
        <rFont val="宋体"/>
        <charset val="134"/>
      </rPr>
      <t>087</t>
    </r>
  </si>
  <si>
    <t>087白海狮</t>
  </si>
  <si>
    <t>ジュゴン</t>
  </si>
  <si>
    <t>Dewgong</t>
  </si>
  <si>
    <t>冰之砾</t>
  </si>
  <si>
    <t>淤泥攻击</t>
  </si>
  <si>
    <t>镰鼬风</t>
  </si>
  <si>
    <r>
      <rPr>
        <sz val="12"/>
        <rFont val="宋体"/>
        <charset val="134"/>
      </rPr>
      <t>088</t>
    </r>
  </si>
  <si>
    <t>088臭泥</t>
  </si>
  <si>
    <t>ベトベター</t>
  </si>
  <si>
    <t>Grimer</t>
  </si>
  <si>
    <t>淤泥爆弹</t>
  </si>
  <si>
    <t>吐丝</t>
  </si>
  <si>
    <r>
      <rPr>
        <sz val="12"/>
        <rFont val="宋体"/>
        <charset val="134"/>
      </rPr>
      <t>089</t>
    </r>
  </si>
  <si>
    <t>089臭臭泥</t>
  </si>
  <si>
    <t>ベトベトン</t>
  </si>
  <si>
    <t>Muk</t>
  </si>
  <si>
    <t>自然恩惠</t>
  </si>
  <si>
    <t>剧毒之牙</t>
  </si>
  <si>
    <r>
      <rPr>
        <sz val="12"/>
        <rFont val="宋体"/>
        <charset val="134"/>
      </rPr>
      <t>090</t>
    </r>
  </si>
  <si>
    <t>090大舌贝</t>
  </si>
  <si>
    <t>シェルダー</t>
  </si>
  <si>
    <t>Shellder</t>
  </si>
  <si>
    <t>毒尾</t>
  </si>
  <si>
    <t>火焰弹</t>
  </si>
  <si>
    <r>
      <rPr>
        <sz val="12"/>
        <rFont val="宋体"/>
        <charset val="134"/>
      </rPr>
      <t>091</t>
    </r>
  </si>
  <si>
    <t>091铁甲贝</t>
  </si>
  <si>
    <t>パルシェン</t>
  </si>
  <si>
    <t>Cloyster</t>
  </si>
  <si>
    <t>毒突</t>
  </si>
  <si>
    <t>迅星</t>
  </si>
  <si>
    <r>
      <rPr>
        <sz val="12"/>
        <rFont val="宋体"/>
        <charset val="134"/>
      </rPr>
      <t>092</t>
    </r>
  </si>
  <si>
    <t>092鬼斯</t>
  </si>
  <si>
    <t>ゴース</t>
  </si>
  <si>
    <t>Gastly</t>
  </si>
  <si>
    <t>毒十字</t>
  </si>
  <si>
    <t>虫之抵抗</t>
  </si>
  <si>
    <r>
      <rPr>
        <sz val="12"/>
        <rFont val="宋体"/>
        <charset val="134"/>
      </rPr>
      <t>093</t>
    </r>
  </si>
  <si>
    <t>093鬼斯通</t>
  </si>
  <si>
    <t>ゴースト</t>
  </si>
  <si>
    <t>Haunter</t>
  </si>
  <si>
    <t>粉尘射击</t>
  </si>
  <si>
    <r>
      <rPr>
        <sz val="12"/>
        <rFont val="宋体"/>
        <charset val="134"/>
      </rPr>
      <t>094</t>
    </r>
  </si>
  <si>
    <t>094耿鬼</t>
  </si>
  <si>
    <t>ゲンガー</t>
  </si>
  <si>
    <t>Gengar</t>
  </si>
  <si>
    <t>神圣火焰</t>
  </si>
  <si>
    <r>
      <rPr>
        <sz val="12"/>
        <rFont val="宋体"/>
        <charset val="134"/>
      </rPr>
      <t>095</t>
    </r>
  </si>
  <si>
    <t>095大岩蛇</t>
  </si>
  <si>
    <t>イワーク</t>
  </si>
  <si>
    <t>Onix</t>
  </si>
  <si>
    <t>围攻</t>
  </si>
  <si>
    <t>酸性炸弹</t>
  </si>
  <si>
    <r>
      <rPr>
        <sz val="12"/>
        <rFont val="宋体"/>
        <charset val="134"/>
      </rPr>
      <t>096</t>
    </r>
  </si>
  <si>
    <t>096素利普</t>
  </si>
  <si>
    <t>スリープ</t>
  </si>
  <si>
    <t>Drowzee</t>
  </si>
  <si>
    <t>冰结电击</t>
  </si>
  <si>
    <t>骨头击</t>
  </si>
  <si>
    <r>
      <rPr>
        <sz val="12"/>
        <rFont val="宋体"/>
        <charset val="134"/>
      </rPr>
      <t>097</t>
    </r>
  </si>
  <si>
    <t>097素利拍</t>
  </si>
  <si>
    <t>スリーパー</t>
  </si>
  <si>
    <t>Hypno</t>
  </si>
  <si>
    <t>扔泥</t>
  </si>
  <si>
    <r>
      <rPr>
        <sz val="12"/>
        <rFont val="宋体"/>
        <charset val="134"/>
      </rPr>
      <t>098</t>
    </r>
  </si>
  <si>
    <t>098大钳蟹</t>
  </si>
  <si>
    <t>クラブ</t>
  </si>
  <si>
    <t>Krabby</t>
  </si>
  <si>
    <t>佯攻</t>
  </si>
  <si>
    <t>泥浆喷射</t>
  </si>
  <si>
    <t>草裙舞</t>
  </si>
  <si>
    <r>
      <rPr>
        <sz val="12"/>
        <rFont val="宋体"/>
        <charset val="134"/>
      </rPr>
      <t>099</t>
    </r>
  </si>
  <si>
    <t>099巨钳蟹</t>
  </si>
  <si>
    <t>キングラー</t>
  </si>
  <si>
    <t>Kingler</t>
  </si>
  <si>
    <t>大地之力</t>
  </si>
  <si>
    <t>根源波动</t>
  </si>
  <si>
    <r>
      <rPr>
        <sz val="12"/>
        <rFont val="宋体"/>
        <charset val="134"/>
      </rPr>
      <t>100</t>
    </r>
  </si>
  <si>
    <t>100雷电球</t>
  </si>
  <si>
    <t>ビリリダマ</t>
  </si>
  <si>
    <t>Voltorb</t>
  </si>
  <si>
    <t>泥爆弾</t>
  </si>
  <si>
    <r>
      <rPr>
        <sz val="12"/>
        <rFont val="宋体"/>
        <charset val="134"/>
      </rPr>
      <t>101</t>
    </r>
  </si>
  <si>
    <t>101顽皮弹</t>
  </si>
  <si>
    <t>マルマイン</t>
  </si>
  <si>
    <t>Electrode</t>
  </si>
  <si>
    <t>岩石炮</t>
  </si>
  <si>
    <t>大地原力</t>
  </si>
  <si>
    <r>
      <rPr>
        <sz val="12"/>
        <rFont val="宋体"/>
        <charset val="134"/>
      </rPr>
      <t>102</t>
    </r>
  </si>
  <si>
    <t>102蛋蛋</t>
  </si>
  <si>
    <t>タマタマ</t>
  </si>
  <si>
    <t>Exeggcute</t>
  </si>
  <si>
    <t>攻击指令</t>
  </si>
  <si>
    <t>钻石暴风</t>
  </si>
  <si>
    <r>
      <rPr>
        <sz val="12"/>
        <rFont val="宋体"/>
        <charset val="134"/>
      </rPr>
      <t>103</t>
    </r>
  </si>
  <si>
    <t>103椰蛋树</t>
  </si>
  <si>
    <t>ナッシー</t>
  </si>
  <si>
    <t>Exeggutor</t>
  </si>
  <si>
    <t>交织闪电</t>
  </si>
  <si>
    <t>原始力量</t>
  </si>
  <si>
    <r>
      <rPr>
        <sz val="12"/>
        <rFont val="宋体"/>
        <charset val="134"/>
      </rPr>
      <t>104</t>
    </r>
  </si>
  <si>
    <t>104可拉可拉</t>
  </si>
  <si>
    <t>カラカラ</t>
  </si>
  <si>
    <t>Cubone</t>
  </si>
  <si>
    <t>投掷</t>
  </si>
  <si>
    <r>
      <rPr>
        <sz val="12"/>
        <rFont val="宋体"/>
        <charset val="134"/>
      </rPr>
      <t>105</t>
    </r>
  </si>
  <si>
    <t>105嘎拉嘎拉</t>
  </si>
  <si>
    <t>ガラガラ</t>
  </si>
  <si>
    <t>Marowak</t>
  </si>
  <si>
    <t>冰柱坠落</t>
  </si>
  <si>
    <r>
      <rPr>
        <sz val="12"/>
        <rFont val="宋体"/>
        <charset val="134"/>
      </rPr>
      <t>106</t>
    </r>
  </si>
  <si>
    <t>106沙瓦郎</t>
  </si>
  <si>
    <t>サワムラー</t>
  </si>
  <si>
    <t>Hitmonlee</t>
  </si>
  <si>
    <t>银色之风</t>
  </si>
  <si>
    <r>
      <rPr>
        <sz val="12"/>
        <rFont val="宋体"/>
        <charset val="134"/>
      </rPr>
      <t>107</t>
    </r>
  </si>
  <si>
    <t>107艾比郎</t>
  </si>
  <si>
    <t>エビワラー</t>
  </si>
  <si>
    <t>Hitmonchan</t>
  </si>
  <si>
    <t>信号光线</t>
  </si>
  <si>
    <r>
      <rPr>
        <sz val="12"/>
        <rFont val="宋体"/>
        <charset val="134"/>
      </rPr>
      <t>108</t>
    </r>
  </si>
  <si>
    <t>108大舌头</t>
  </si>
  <si>
    <t>ベロリンガ</t>
  </si>
  <si>
    <t>Lickitung</t>
  </si>
  <si>
    <r>
      <rPr>
        <sz val="12"/>
        <rFont val="宋体"/>
        <charset val="134"/>
      </rPr>
      <t>109</t>
    </r>
  </si>
  <si>
    <t>109瓦斯弹</t>
  </si>
  <si>
    <t>ドガース</t>
  </si>
  <si>
    <t>Koffing</t>
  </si>
  <si>
    <r>
      <rPr>
        <sz val="12"/>
        <rFont val="宋体"/>
        <charset val="134"/>
      </rPr>
      <t>110</t>
    </r>
  </si>
  <si>
    <t>110双弹瓦斯</t>
  </si>
  <si>
    <t>マタドガス</t>
  </si>
  <si>
    <t>Weezing</t>
  </si>
  <si>
    <t>坚硬滚动</t>
  </si>
  <si>
    <r>
      <rPr>
        <sz val="12"/>
        <rFont val="宋体"/>
        <charset val="134"/>
      </rPr>
      <t>111</t>
    </r>
  </si>
  <si>
    <t>111铁甲犀牛</t>
  </si>
  <si>
    <t>サイホーン</t>
  </si>
  <si>
    <t>Rhyhorn</t>
  </si>
  <si>
    <t>舌舔</t>
  </si>
  <si>
    <r>
      <rPr>
        <sz val="12"/>
        <rFont val="宋体"/>
        <charset val="134"/>
      </rPr>
      <t>112</t>
    </r>
  </si>
  <si>
    <t>112铁甲暴龙</t>
  </si>
  <si>
    <t>サイドン</t>
  </si>
  <si>
    <t>Rhydon</t>
  </si>
  <si>
    <t>阴影球</t>
  </si>
  <si>
    <r>
      <rPr>
        <sz val="12"/>
        <rFont val="宋体"/>
        <charset val="134"/>
      </rPr>
      <t>113</t>
    </r>
  </si>
  <si>
    <t>113吉利蛋</t>
  </si>
  <si>
    <t>ラッキー</t>
  </si>
  <si>
    <t>Chansey</t>
  </si>
  <si>
    <t>恐吓</t>
  </si>
  <si>
    <r>
      <rPr>
        <sz val="12"/>
        <rFont val="宋体"/>
        <charset val="134"/>
      </rPr>
      <t>114</t>
    </r>
  </si>
  <si>
    <t>114蔓藤怪</t>
  </si>
  <si>
    <t>モンジャラ</t>
  </si>
  <si>
    <t>Tangela</t>
  </si>
  <si>
    <t>妖风</t>
  </si>
  <si>
    <r>
      <rPr>
        <sz val="12"/>
        <rFont val="宋体"/>
        <charset val="134"/>
      </rPr>
      <t>115</t>
    </r>
  </si>
  <si>
    <t>115袋龙</t>
  </si>
  <si>
    <t>ガルーラ</t>
  </si>
  <si>
    <t>Kangaskhan</t>
  </si>
  <si>
    <t>钢之翼</t>
  </si>
  <si>
    <r>
      <rPr>
        <sz val="12"/>
        <rFont val="宋体"/>
        <charset val="134"/>
      </rPr>
      <t>116</t>
    </r>
  </si>
  <si>
    <t>116墨海马</t>
  </si>
  <si>
    <t>タッツー</t>
  </si>
  <si>
    <t>Horsea</t>
  </si>
  <si>
    <t>铁尾</t>
  </si>
  <si>
    <r>
      <rPr>
        <sz val="12"/>
        <rFont val="宋体"/>
        <charset val="134"/>
      </rPr>
      <t>117</t>
    </r>
  </si>
  <si>
    <t>117海刺龙</t>
  </si>
  <si>
    <t>シードラ</t>
  </si>
  <si>
    <t>Seadra</t>
  </si>
  <si>
    <t>金属爪</t>
  </si>
  <si>
    <r>
      <rPr>
        <sz val="12"/>
        <rFont val="宋体"/>
        <charset val="134"/>
      </rPr>
      <t>118</t>
    </r>
  </si>
  <si>
    <t>118角金鱼</t>
  </si>
  <si>
    <t>トサキント</t>
  </si>
  <si>
    <t>Goldeen</t>
  </si>
  <si>
    <t>彗星拳</t>
  </si>
  <si>
    <r>
      <rPr>
        <sz val="12"/>
        <rFont val="宋体"/>
        <charset val="134"/>
      </rPr>
      <t>119</t>
    </r>
  </si>
  <si>
    <t>119金鱼王</t>
  </si>
  <si>
    <t>アズマオウ</t>
  </si>
  <si>
    <t>Seaking</t>
  </si>
  <si>
    <t>镜面射击</t>
  </si>
  <si>
    <r>
      <rPr>
        <sz val="12"/>
        <rFont val="宋体"/>
        <charset val="134"/>
      </rPr>
      <t>120</t>
    </r>
  </si>
  <si>
    <t>120海星星</t>
  </si>
  <si>
    <t>ヒトデマン</t>
  </si>
  <si>
    <t>Staryu</t>
  </si>
  <si>
    <t>光栅加农</t>
  </si>
  <si>
    <r>
      <rPr>
        <sz val="12"/>
        <rFont val="宋体"/>
        <charset val="134"/>
      </rPr>
      <t>121</t>
    </r>
  </si>
  <si>
    <t>121宝石海星</t>
  </si>
  <si>
    <t>スターミー</t>
  </si>
  <si>
    <t>Starmie</t>
  </si>
  <si>
    <t>铁头槌</t>
  </si>
  <si>
    <r>
      <rPr>
        <sz val="12"/>
        <rFont val="宋体"/>
        <charset val="134"/>
      </rPr>
      <t>122</t>
    </r>
  </si>
  <si>
    <t>122吸盘魔偶</t>
  </si>
  <si>
    <t>バリヤード</t>
  </si>
  <si>
    <t>Mr. Mime</t>
  </si>
  <si>
    <t>火焰拳</t>
  </si>
  <si>
    <r>
      <rPr>
        <sz val="12"/>
        <rFont val="宋体"/>
        <charset val="134"/>
      </rPr>
      <t>123</t>
    </r>
  </si>
  <si>
    <t>123飞天螳螂</t>
  </si>
  <si>
    <t>ストライク</t>
  </si>
  <si>
    <t>Scyther</t>
  </si>
  <si>
    <t>火苗</t>
  </si>
  <si>
    <r>
      <rPr>
        <sz val="12"/>
        <rFont val="宋体"/>
        <charset val="134"/>
      </rPr>
      <t>124</t>
    </r>
  </si>
  <si>
    <t>124迷唇姐</t>
  </si>
  <si>
    <t>ルージュラ</t>
  </si>
  <si>
    <t>Jynx</t>
  </si>
  <si>
    <t>火焰放射</t>
  </si>
  <si>
    <r>
      <rPr>
        <sz val="12"/>
        <rFont val="宋体"/>
        <charset val="134"/>
      </rPr>
      <t>125</t>
    </r>
  </si>
  <si>
    <t>125电击兽</t>
  </si>
  <si>
    <t>エレブー</t>
  </si>
  <si>
    <t>Electabuzz</t>
  </si>
  <si>
    <t>大字火</t>
  </si>
  <si>
    <r>
      <rPr>
        <sz val="12"/>
        <rFont val="宋体"/>
        <charset val="134"/>
      </rPr>
      <t>126</t>
    </r>
  </si>
  <si>
    <t>126鸭嘴火龙</t>
  </si>
  <si>
    <t>ブーバー</t>
  </si>
  <si>
    <t>Magmar</t>
  </si>
  <si>
    <t>火焰车</t>
  </si>
  <si>
    <r>
      <rPr>
        <sz val="12"/>
        <rFont val="宋体"/>
        <charset val="134"/>
      </rPr>
      <t>127</t>
    </r>
  </si>
  <si>
    <t>127大甲</t>
  </si>
  <si>
    <t>カイロス</t>
  </si>
  <si>
    <t>Pinsir</t>
  </si>
  <si>
    <r>
      <rPr>
        <sz val="12"/>
        <rFont val="宋体"/>
        <charset val="134"/>
      </rPr>
      <t>128</t>
    </r>
  </si>
  <si>
    <t>128肯泰罗</t>
  </si>
  <si>
    <t>ケンタロス</t>
  </si>
  <si>
    <t>Tauros</t>
  </si>
  <si>
    <r>
      <rPr>
        <sz val="12"/>
        <rFont val="宋体"/>
        <charset val="134"/>
      </rPr>
      <t>129</t>
    </r>
  </si>
  <si>
    <t>129鲤鱼王</t>
  </si>
  <si>
    <t>コイキング</t>
  </si>
  <si>
    <t>Magikarp</t>
  </si>
  <si>
    <t>火花踢</t>
  </si>
  <si>
    <r>
      <rPr>
        <sz val="12"/>
        <rFont val="宋体"/>
        <charset val="134"/>
      </rPr>
      <t>130</t>
    </r>
  </si>
  <si>
    <t>130暴鲤龙</t>
  </si>
  <si>
    <t>ギャラドス</t>
  </si>
  <si>
    <t>Gyarados</t>
  </si>
  <si>
    <t>火焰驱进</t>
  </si>
  <si>
    <r>
      <rPr>
        <sz val="12"/>
        <rFont val="宋体"/>
        <charset val="134"/>
      </rPr>
      <t>131</t>
    </r>
  </si>
  <si>
    <t>131乘龙</t>
  </si>
  <si>
    <t>ラプラス</t>
  </si>
  <si>
    <t>Lapras</t>
  </si>
  <si>
    <t>火之牙</t>
  </si>
  <si>
    <r>
      <rPr>
        <sz val="12"/>
        <rFont val="宋体"/>
        <charset val="134"/>
      </rPr>
      <t>132</t>
    </r>
  </si>
  <si>
    <t>132百变怪</t>
  </si>
  <si>
    <t>メタモン</t>
  </si>
  <si>
    <t>Ditto</t>
  </si>
  <si>
    <r>
      <rPr>
        <sz val="12"/>
        <rFont val="宋体"/>
        <charset val="134"/>
      </rPr>
      <t>133</t>
    </r>
  </si>
  <si>
    <t>133伊布</t>
  </si>
  <si>
    <t>イーブイ</t>
  </si>
  <si>
    <t>Eevee</t>
  </si>
  <si>
    <t>硝化冲锋</t>
  </si>
  <si>
    <r>
      <rPr>
        <sz val="12"/>
        <rFont val="宋体"/>
        <charset val="134"/>
      </rPr>
      <t>134</t>
    </r>
  </si>
  <si>
    <t>134水精灵</t>
  </si>
  <si>
    <t>シャワーズ</t>
  </si>
  <si>
    <t>Vaporeon</t>
  </si>
  <si>
    <t>炼狱</t>
  </si>
  <si>
    <r>
      <rPr>
        <sz val="12"/>
        <rFont val="宋体"/>
        <charset val="134"/>
      </rPr>
      <t>135</t>
    </r>
  </si>
  <si>
    <t>135雷精灵</t>
  </si>
  <si>
    <t>サンダース</t>
  </si>
  <si>
    <t>Jolteon</t>
  </si>
  <si>
    <r>
      <rPr>
        <sz val="12"/>
        <rFont val="宋体"/>
        <charset val="134"/>
      </rPr>
      <t>136</t>
    </r>
  </si>
  <si>
    <t>136火精灵</t>
  </si>
  <si>
    <t>ブースター</t>
  </si>
  <si>
    <t>Flareon</t>
  </si>
  <si>
    <t>青色火焰</t>
  </si>
  <si>
    <r>
      <rPr>
        <sz val="12"/>
        <rFont val="宋体"/>
        <charset val="134"/>
      </rPr>
      <t>137</t>
    </r>
  </si>
  <si>
    <t>1373D龙</t>
  </si>
  <si>
    <t>ポリゴン</t>
  </si>
  <si>
    <t>Porygon</t>
  </si>
  <si>
    <t>火焰之舞</t>
  </si>
  <si>
    <r>
      <rPr>
        <sz val="12"/>
        <rFont val="宋体"/>
        <charset val="134"/>
      </rPr>
      <t>138</t>
    </r>
  </si>
  <si>
    <t>138菊石兽</t>
  </si>
  <si>
    <t>オムナイト</t>
  </si>
  <si>
    <t>Omanyte</t>
  </si>
  <si>
    <t>泡沫光线</t>
  </si>
  <si>
    <r>
      <rPr>
        <sz val="12"/>
        <rFont val="宋体"/>
        <charset val="134"/>
      </rPr>
      <t>139</t>
    </r>
  </si>
  <si>
    <t>139多刺菊石兽</t>
  </si>
  <si>
    <t>オムスター</t>
  </si>
  <si>
    <t>Omastar</t>
  </si>
  <si>
    <t>登瀑</t>
  </si>
  <si>
    <r>
      <rPr>
        <sz val="12"/>
        <rFont val="宋体"/>
        <charset val="134"/>
      </rPr>
      <t>140</t>
    </r>
  </si>
  <si>
    <t>140化石盔</t>
  </si>
  <si>
    <t>カブト</t>
  </si>
  <si>
    <t>Kabuto</t>
  </si>
  <si>
    <r>
      <rPr>
        <sz val="12"/>
        <rFont val="宋体"/>
        <charset val="134"/>
      </rPr>
      <t>141</t>
    </r>
  </si>
  <si>
    <t>141镰刀盔</t>
  </si>
  <si>
    <t>カブトプス</t>
  </si>
  <si>
    <t>Kabutops</t>
  </si>
  <si>
    <t>墨汁炮</t>
  </si>
  <si>
    <r>
      <rPr>
        <sz val="12"/>
        <rFont val="宋体"/>
        <charset val="134"/>
      </rPr>
      <t>142</t>
    </r>
  </si>
  <si>
    <t>142化石翼龙</t>
  </si>
  <si>
    <t>プテラ</t>
  </si>
  <si>
    <t>Aerodactyl</t>
  </si>
  <si>
    <r>
      <rPr>
        <sz val="12"/>
        <rFont val="宋体"/>
        <charset val="134"/>
      </rPr>
      <t>143</t>
    </r>
  </si>
  <si>
    <t>143卡比兽</t>
  </si>
  <si>
    <t>カビゴン</t>
  </si>
  <si>
    <t>Snorlax</t>
  </si>
  <si>
    <t>水之波动</t>
  </si>
  <si>
    <r>
      <rPr>
        <sz val="12"/>
        <rFont val="宋体"/>
        <charset val="134"/>
      </rPr>
      <t>144</t>
    </r>
  </si>
  <si>
    <t>144急冻鸟</t>
  </si>
  <si>
    <t>フリーザー</t>
  </si>
  <si>
    <t>Articuno</t>
  </si>
  <si>
    <t>沸水</t>
  </si>
  <si>
    <r>
      <rPr>
        <sz val="12"/>
        <rFont val="宋体"/>
        <charset val="134"/>
      </rPr>
      <t>145</t>
    </r>
  </si>
  <si>
    <t>145闪电鸟</t>
  </si>
  <si>
    <t>サンダー</t>
  </si>
  <si>
    <t>Zapdos</t>
  </si>
  <si>
    <t>贝壳刃</t>
  </si>
  <si>
    <r>
      <rPr>
        <sz val="12"/>
        <rFont val="宋体"/>
        <charset val="134"/>
      </rPr>
      <t>146</t>
    </r>
  </si>
  <si>
    <t>146火焰鸟</t>
  </si>
  <si>
    <t>ファイヤー</t>
  </si>
  <si>
    <t>Moltres</t>
  </si>
  <si>
    <t>针刺臂膀</t>
  </si>
  <si>
    <r>
      <rPr>
        <sz val="12"/>
        <rFont val="宋体"/>
        <charset val="134"/>
      </rPr>
      <t>147</t>
    </r>
  </si>
  <si>
    <t>147迷你龙</t>
  </si>
  <si>
    <t>ミニリュウ</t>
  </si>
  <si>
    <t>Dratini</t>
  </si>
  <si>
    <t>能量球</t>
  </si>
  <si>
    <r>
      <rPr>
        <sz val="12"/>
        <rFont val="宋体"/>
        <charset val="134"/>
      </rPr>
      <t>148</t>
    </r>
  </si>
  <si>
    <t>148哈克龙</t>
  </si>
  <si>
    <t>ハクリュー</t>
  </si>
  <si>
    <t>Dragonair</t>
  </si>
  <si>
    <t>闪耀种子</t>
  </si>
  <si>
    <r>
      <rPr>
        <sz val="12"/>
        <rFont val="宋体"/>
        <charset val="134"/>
      </rPr>
      <t>149</t>
    </r>
  </si>
  <si>
    <t>149快龙</t>
  </si>
  <si>
    <t>カイリュー</t>
  </si>
  <si>
    <t>Dragonite</t>
  </si>
  <si>
    <t>草旋风</t>
  </si>
  <si>
    <r>
      <rPr>
        <sz val="12"/>
        <rFont val="宋体"/>
        <charset val="134"/>
      </rPr>
      <t>150</t>
    </r>
  </si>
  <si>
    <t>150超梦</t>
  </si>
  <si>
    <t>ミュウツー</t>
  </si>
  <si>
    <t>Mewtwo</t>
  </si>
  <si>
    <t>雷电拳</t>
  </si>
  <si>
    <r>
      <rPr>
        <sz val="12"/>
        <rFont val="宋体"/>
        <charset val="134"/>
      </rPr>
      <t>151</t>
    </r>
  </si>
  <si>
    <t>151梦幻</t>
  </si>
  <si>
    <t>ミュウ</t>
  </si>
  <si>
    <t>Mew</t>
  </si>
  <si>
    <t>电击</t>
  </si>
  <si>
    <r>
      <rPr>
        <sz val="12"/>
        <rFont val="宋体"/>
        <charset val="134"/>
      </rPr>
      <t>152</t>
    </r>
  </si>
  <si>
    <t>152菊草叶</t>
  </si>
  <si>
    <t>チコリータ</t>
  </si>
  <si>
    <t>Chikorita</t>
  </si>
  <si>
    <t>十万伏特</t>
  </si>
  <si>
    <r>
      <rPr>
        <sz val="12"/>
        <rFont val="宋体"/>
        <charset val="134"/>
      </rPr>
      <t>153</t>
    </r>
  </si>
  <si>
    <t>153月桂叶</t>
  </si>
  <si>
    <t>ベイリーフ</t>
  </si>
  <si>
    <t>Bayleef</t>
  </si>
  <si>
    <t>雷电</t>
  </si>
  <si>
    <r>
      <rPr>
        <sz val="12"/>
        <rFont val="宋体"/>
        <charset val="134"/>
      </rPr>
      <t>154</t>
    </r>
  </si>
  <si>
    <t>154大菊花</t>
  </si>
  <si>
    <t>メガニウム</t>
  </si>
  <si>
    <t>Meganium</t>
  </si>
  <si>
    <t>电磁炮</t>
  </si>
  <si>
    <r>
      <rPr>
        <sz val="12"/>
        <rFont val="宋体"/>
        <charset val="134"/>
      </rPr>
      <t>155</t>
    </r>
  </si>
  <si>
    <t>155火球鼠</t>
  </si>
  <si>
    <t>ヒノアラシ</t>
  </si>
  <si>
    <t>Cyndaquil</t>
  </si>
  <si>
    <t>电火花</t>
  </si>
  <si>
    <r>
      <rPr>
        <sz val="12"/>
        <rFont val="宋体"/>
        <charset val="134"/>
      </rPr>
      <t>156</t>
    </r>
  </si>
  <si>
    <t>156火岩鼠</t>
  </si>
  <si>
    <t>マグマラシ</t>
  </si>
  <si>
    <t>Quilava</t>
  </si>
  <si>
    <t>高压电击</t>
  </si>
  <si>
    <r>
      <rPr>
        <sz val="12"/>
        <rFont val="宋体"/>
        <charset val="134"/>
      </rPr>
      <t>157</t>
    </r>
  </si>
  <si>
    <t>157火暴兽</t>
  </si>
  <si>
    <t>バクフーン</t>
  </si>
  <si>
    <t>Typhlosion</t>
  </si>
  <si>
    <t>雷之牙</t>
  </si>
  <si>
    <r>
      <rPr>
        <sz val="12"/>
        <rFont val="宋体"/>
        <charset val="134"/>
      </rPr>
      <t>158</t>
    </r>
  </si>
  <si>
    <t>158小锯鳄</t>
  </si>
  <si>
    <t>ワニノコ</t>
  </si>
  <si>
    <t>Totodile</t>
  </si>
  <si>
    <r>
      <rPr>
        <sz val="12"/>
        <rFont val="宋体"/>
        <charset val="134"/>
      </rPr>
      <t>159</t>
    </r>
  </si>
  <si>
    <t>159蓝鳄</t>
  </si>
  <si>
    <t>アリゲイツ</t>
  </si>
  <si>
    <t>Croconaw</t>
  </si>
  <si>
    <t>充电光线</t>
  </si>
  <si>
    <r>
      <rPr>
        <sz val="12"/>
        <rFont val="宋体"/>
        <charset val="134"/>
      </rPr>
      <t>160</t>
    </r>
  </si>
  <si>
    <t>160大力鳄</t>
  </si>
  <si>
    <t>オーダイル</t>
  </si>
  <si>
    <t>Feraligatr</t>
  </si>
  <si>
    <r>
      <rPr>
        <sz val="12"/>
        <rFont val="宋体"/>
        <charset val="134"/>
      </rPr>
      <t>161</t>
    </r>
  </si>
  <si>
    <t>161尾立</t>
  </si>
  <si>
    <t>オタチ</t>
  </si>
  <si>
    <t>Sentret</t>
  </si>
  <si>
    <t>雷击</t>
  </si>
  <si>
    <r>
      <rPr>
        <sz val="12"/>
        <rFont val="宋体"/>
        <charset val="134"/>
      </rPr>
      <t>162</t>
    </r>
  </si>
  <si>
    <t>162大尾立</t>
  </si>
  <si>
    <t>オオタチ</t>
  </si>
  <si>
    <t>Furret</t>
  </si>
  <si>
    <t>精神光线</t>
  </si>
  <si>
    <r>
      <rPr>
        <sz val="12"/>
        <rFont val="宋体"/>
        <charset val="134"/>
      </rPr>
      <t>163</t>
    </r>
  </si>
  <si>
    <t>163咕咕</t>
  </si>
  <si>
    <t>ホーホー</t>
  </si>
  <si>
    <t>Hoothoot</t>
  </si>
  <si>
    <t>念力</t>
  </si>
  <si>
    <r>
      <rPr>
        <sz val="12"/>
        <rFont val="宋体"/>
        <charset val="134"/>
      </rPr>
      <t>164</t>
    </r>
  </si>
  <si>
    <t>164猫头夜鹰</t>
  </si>
  <si>
    <t>ヨルノズク</t>
  </si>
  <si>
    <t>Noctowl</t>
  </si>
  <si>
    <t>精神干扰</t>
  </si>
  <si>
    <r>
      <rPr>
        <sz val="12"/>
        <rFont val="宋体"/>
        <charset val="134"/>
      </rPr>
      <t>165</t>
    </r>
  </si>
  <si>
    <t>165芭瓢虫</t>
  </si>
  <si>
    <t>レディバ</t>
  </si>
  <si>
    <t>Ledyba</t>
  </si>
  <si>
    <t>光栅净化</t>
  </si>
  <si>
    <r>
      <rPr>
        <sz val="12"/>
        <rFont val="宋体"/>
        <charset val="134"/>
      </rPr>
      <t>166</t>
    </r>
  </si>
  <si>
    <t>166安瓢虫</t>
  </si>
  <si>
    <t>レディアン</t>
  </si>
  <si>
    <t>Ledian</t>
  </si>
  <si>
    <t>迷雾球</t>
  </si>
  <si>
    <r>
      <rPr>
        <sz val="12"/>
        <rFont val="宋体"/>
        <charset val="134"/>
      </rPr>
      <t>167</t>
    </r>
  </si>
  <si>
    <t>167线球</t>
  </si>
  <si>
    <t>イトマル</t>
  </si>
  <si>
    <t>Spinarak</t>
  </si>
  <si>
    <t>神通力</t>
  </si>
  <si>
    <r>
      <rPr>
        <sz val="12"/>
        <rFont val="宋体"/>
        <charset val="134"/>
      </rPr>
      <t>168</t>
    </r>
  </si>
  <si>
    <t>168阿利多斯</t>
  </si>
  <si>
    <t>アリアドス</t>
  </si>
  <si>
    <t>Ariados</t>
  </si>
  <si>
    <t>思念头槌</t>
  </si>
  <si>
    <r>
      <rPr>
        <sz val="12"/>
        <rFont val="宋体"/>
        <charset val="134"/>
      </rPr>
      <t>169</t>
    </r>
  </si>
  <si>
    <t>169叉字蝠</t>
  </si>
  <si>
    <t>クロバット</t>
  </si>
  <si>
    <t>Crobat</t>
  </si>
  <si>
    <t>心灵压迫</t>
  </si>
  <si>
    <r>
      <rPr>
        <sz val="12"/>
        <rFont val="宋体"/>
        <charset val="134"/>
      </rPr>
      <t>170</t>
    </r>
  </si>
  <si>
    <t>170灯笼鱼</t>
  </si>
  <si>
    <t>チョンチー</t>
  </si>
  <si>
    <t>Chinchou</t>
  </si>
  <si>
    <t>冷冻拳</t>
  </si>
  <si>
    <r>
      <rPr>
        <sz val="12"/>
        <rFont val="宋体"/>
        <charset val="134"/>
      </rPr>
      <t>171</t>
    </r>
  </si>
  <si>
    <t>171电灯怪</t>
  </si>
  <si>
    <t>ランターン</t>
  </si>
  <si>
    <t>Lanturn</t>
  </si>
  <si>
    <t>冷冻光线</t>
  </si>
  <si>
    <r>
      <rPr>
        <sz val="12"/>
        <rFont val="宋体"/>
        <charset val="134"/>
      </rPr>
      <t>172</t>
    </r>
  </si>
  <si>
    <t>172皮丘</t>
  </si>
  <si>
    <t>ピチュー</t>
  </si>
  <si>
    <t>Pichu</t>
  </si>
  <si>
    <r>
      <rPr>
        <sz val="12"/>
        <rFont val="宋体"/>
        <charset val="134"/>
      </rPr>
      <t>173</t>
    </r>
  </si>
  <si>
    <t>173皮宝宝</t>
  </si>
  <si>
    <t>ピィ</t>
  </si>
  <si>
    <t>Cleffa</t>
  </si>
  <si>
    <t>极光光线</t>
  </si>
  <si>
    <r>
      <rPr>
        <sz val="12"/>
        <rFont val="宋体"/>
        <charset val="134"/>
      </rPr>
      <t>174</t>
    </r>
  </si>
  <si>
    <t>174宝宝丁</t>
  </si>
  <si>
    <t>ププリン</t>
  </si>
  <si>
    <t>Igglybuff</t>
  </si>
  <si>
    <t>细雪</t>
  </si>
  <si>
    <r>
      <rPr>
        <sz val="12"/>
        <rFont val="宋体"/>
        <charset val="134"/>
      </rPr>
      <t>175</t>
    </r>
  </si>
  <si>
    <t>175波克比</t>
  </si>
  <si>
    <t>トゲピー</t>
  </si>
  <si>
    <t>Togepi</t>
  </si>
  <si>
    <t>冰冻之风</t>
  </si>
  <si>
    <r>
      <rPr>
        <sz val="12"/>
        <rFont val="宋体"/>
        <charset val="134"/>
      </rPr>
      <t>176</t>
    </r>
  </si>
  <si>
    <t>176波克基古</t>
  </si>
  <si>
    <t>トゲチック</t>
  </si>
  <si>
    <t>Togetic</t>
  </si>
  <si>
    <t>冰之牙</t>
  </si>
  <si>
    <r>
      <rPr>
        <sz val="12"/>
        <rFont val="宋体"/>
        <charset val="134"/>
      </rPr>
      <t>177</t>
    </r>
  </si>
  <si>
    <t>177天然雀</t>
  </si>
  <si>
    <t>ネイティ</t>
  </si>
  <si>
    <t>Natu</t>
  </si>
  <si>
    <t>冰封世界</t>
  </si>
  <si>
    <r>
      <rPr>
        <sz val="12"/>
        <rFont val="宋体"/>
        <charset val="134"/>
      </rPr>
      <t>178</t>
    </r>
  </si>
  <si>
    <t>178天然鸟</t>
  </si>
  <si>
    <t>ネイティオ</t>
  </si>
  <si>
    <t>Xatu</t>
  </si>
  <si>
    <r>
      <rPr>
        <sz val="12"/>
        <rFont val="宋体"/>
        <charset val="134"/>
      </rPr>
      <t>179</t>
    </r>
  </si>
  <si>
    <t>179咩利羊</t>
  </si>
  <si>
    <t>メリープ</t>
  </si>
  <si>
    <t>Mareep</t>
  </si>
  <si>
    <t>冰冷闪光</t>
  </si>
  <si>
    <r>
      <rPr>
        <sz val="12"/>
        <rFont val="宋体"/>
        <charset val="134"/>
      </rPr>
      <t>180</t>
    </r>
  </si>
  <si>
    <t>180绵绵</t>
  </si>
  <si>
    <t>モココ</t>
  </si>
  <si>
    <t>Flaaffy</t>
  </si>
  <si>
    <r>
      <rPr>
        <sz val="12"/>
        <rFont val="宋体"/>
        <charset val="134"/>
      </rPr>
      <t>181</t>
    </r>
  </si>
  <si>
    <t>181电龙</t>
  </si>
  <si>
    <t>デンリュウ</t>
  </si>
  <si>
    <t>Ampharos</t>
  </si>
  <si>
    <t>龙之吐息</t>
  </si>
  <si>
    <r>
      <rPr>
        <sz val="12"/>
        <rFont val="宋体"/>
        <charset val="134"/>
      </rPr>
      <t>182</t>
    </r>
  </si>
  <si>
    <t>182美丽花</t>
  </si>
  <si>
    <t>キレイハナ</t>
  </si>
  <si>
    <t>Bellossom</t>
  </si>
  <si>
    <t>龙卷风</t>
  </si>
  <si>
    <r>
      <rPr>
        <sz val="12"/>
        <rFont val="宋体"/>
        <charset val="134"/>
      </rPr>
      <t>183</t>
    </r>
  </si>
  <si>
    <t>183玛力露</t>
  </si>
  <si>
    <t>マリル</t>
  </si>
  <si>
    <t>Marill</t>
  </si>
  <si>
    <t>龙之冲锋</t>
  </si>
  <si>
    <r>
      <rPr>
        <sz val="12"/>
        <rFont val="宋体"/>
        <charset val="134"/>
      </rPr>
      <t>184</t>
    </r>
  </si>
  <si>
    <t>184玛力露丽</t>
  </si>
  <si>
    <t>マリルリ</t>
  </si>
  <si>
    <t>Azumarill</t>
  </si>
  <si>
    <t>啃咬</t>
  </si>
  <si>
    <r>
      <rPr>
        <sz val="12"/>
        <rFont val="宋体"/>
        <charset val="134"/>
      </rPr>
      <t>185</t>
    </r>
  </si>
  <si>
    <t>185胡说树</t>
  </si>
  <si>
    <t>ウソッキー</t>
  </si>
  <si>
    <t>Sudowoodo</t>
  </si>
  <si>
    <t>咬碎</t>
  </si>
  <si>
    <r>
      <rPr>
        <sz val="12"/>
        <rFont val="宋体"/>
        <charset val="134"/>
      </rPr>
      <t>186</t>
    </r>
  </si>
  <si>
    <t>186牛蛙君</t>
  </si>
  <si>
    <t>ニョロトノ</t>
  </si>
  <si>
    <t>Politoed</t>
  </si>
  <si>
    <t>恶之波动</t>
  </si>
  <si>
    <r>
      <rPr>
        <sz val="12"/>
        <rFont val="宋体"/>
        <charset val="134"/>
      </rPr>
      <t>187</t>
    </r>
  </si>
  <si>
    <t>187毽子草</t>
  </si>
  <si>
    <t>ハネッコ</t>
  </si>
  <si>
    <t>Hoppip</t>
  </si>
  <si>
    <t>暗夜爆破</t>
  </si>
  <si>
    <r>
      <rPr>
        <sz val="12"/>
        <rFont val="宋体"/>
        <charset val="134"/>
      </rPr>
      <t>188</t>
    </r>
  </si>
  <si>
    <t>188毽子花</t>
  </si>
  <si>
    <t>ポポッコ</t>
  </si>
  <si>
    <t>Skiploom</t>
  </si>
  <si>
    <r>
      <rPr>
        <sz val="12"/>
        <rFont val="宋体"/>
        <charset val="134"/>
      </rPr>
      <t>189</t>
    </r>
  </si>
  <si>
    <t>189毽子绵</t>
  </si>
  <si>
    <t>ワタッコ</t>
  </si>
  <si>
    <t>Jumpluff</t>
  </si>
  <si>
    <r>
      <rPr>
        <sz val="12"/>
        <rFont val="宋体"/>
        <charset val="134"/>
      </rPr>
      <t>190</t>
    </r>
  </si>
  <si>
    <t>190长尾怪手</t>
  </si>
  <si>
    <t>エイパム</t>
  </si>
  <si>
    <t>Aipom</t>
  </si>
  <si>
    <r>
      <rPr>
        <sz val="12"/>
        <rFont val="宋体"/>
        <charset val="134"/>
      </rPr>
      <t>191</t>
    </r>
  </si>
  <si>
    <t>191向日种子</t>
  </si>
  <si>
    <t>ヒマナッツ</t>
  </si>
  <si>
    <t>Sunkern</t>
  </si>
  <si>
    <r>
      <rPr>
        <sz val="12"/>
        <rFont val="宋体"/>
        <charset val="134"/>
      </rPr>
      <t>192</t>
    </r>
  </si>
  <si>
    <t>192向日花怪</t>
  </si>
  <si>
    <t>キマワリ</t>
  </si>
  <si>
    <t>Sunflora</t>
  </si>
  <si>
    <r>
      <rPr>
        <sz val="12"/>
        <rFont val="宋体"/>
        <charset val="134"/>
      </rPr>
      <t>193</t>
    </r>
  </si>
  <si>
    <t>193阳阳玛</t>
  </si>
  <si>
    <t>ヤンヤンマ</t>
  </si>
  <si>
    <t>Yanma</t>
  </si>
  <si>
    <r>
      <rPr>
        <sz val="12"/>
        <rFont val="宋体"/>
        <charset val="134"/>
      </rPr>
      <t>194</t>
    </r>
  </si>
  <si>
    <t>194乌波</t>
  </si>
  <si>
    <t>ウパー</t>
  </si>
  <si>
    <t>Wooper</t>
  </si>
  <si>
    <r>
      <rPr>
        <sz val="12"/>
        <rFont val="宋体"/>
        <charset val="134"/>
      </rPr>
      <t>195</t>
    </r>
  </si>
  <si>
    <t>195沼王</t>
  </si>
  <si>
    <t>ヌオー</t>
  </si>
  <si>
    <t>Quagsire</t>
  </si>
  <si>
    <r>
      <rPr>
        <sz val="12"/>
        <rFont val="宋体"/>
        <charset val="134"/>
      </rPr>
      <t>196</t>
    </r>
  </si>
  <si>
    <t>196太阳精灵</t>
  </si>
  <si>
    <t>エーフィ</t>
  </si>
  <si>
    <t>Espeon</t>
  </si>
  <si>
    <r>
      <rPr>
        <sz val="12"/>
        <rFont val="宋体"/>
        <charset val="134"/>
      </rPr>
      <t>197</t>
    </r>
  </si>
  <si>
    <t>197月精灵</t>
  </si>
  <si>
    <t>ブラッキー</t>
  </si>
  <si>
    <t>Umbreon</t>
  </si>
  <si>
    <r>
      <rPr>
        <sz val="12"/>
        <rFont val="宋体"/>
        <charset val="134"/>
      </rPr>
      <t>198</t>
    </r>
  </si>
  <si>
    <t>198黑暗鸦</t>
  </si>
  <si>
    <t>ヤミカラス</t>
  </si>
  <si>
    <t>Murkrow</t>
  </si>
  <si>
    <r>
      <rPr>
        <sz val="12"/>
        <rFont val="宋体"/>
        <charset val="134"/>
      </rPr>
      <t>199</t>
    </r>
  </si>
  <si>
    <t>199河马王</t>
  </si>
  <si>
    <t>ヤドキング</t>
  </si>
  <si>
    <t>Slowking</t>
  </si>
  <si>
    <r>
      <rPr>
        <sz val="12"/>
        <rFont val="宋体"/>
        <charset val="134"/>
      </rPr>
      <t>200</t>
    </r>
  </si>
  <si>
    <t>200梦妖</t>
  </si>
  <si>
    <t>ムウマ</t>
  </si>
  <si>
    <t>Misdreavus</t>
  </si>
  <si>
    <r>
      <rPr>
        <sz val="12"/>
        <rFont val="宋体"/>
        <charset val="134"/>
      </rPr>
      <t>201</t>
    </r>
  </si>
  <si>
    <t>201未知图腾</t>
  </si>
  <si>
    <t>アンノーン</t>
  </si>
  <si>
    <t>Unown</t>
  </si>
  <si>
    <r>
      <rPr>
        <sz val="12"/>
        <rFont val="宋体"/>
        <charset val="134"/>
      </rPr>
      <t>202</t>
    </r>
  </si>
  <si>
    <t>202果然翁</t>
  </si>
  <si>
    <t>ソーナンス</t>
  </si>
  <si>
    <t>Wobbuffet</t>
  </si>
  <si>
    <r>
      <rPr>
        <sz val="12"/>
        <rFont val="宋体"/>
        <charset val="134"/>
      </rPr>
      <t>203</t>
    </r>
  </si>
  <si>
    <t>203麒麟奇</t>
  </si>
  <si>
    <t>キリンリキ</t>
  </si>
  <si>
    <t>Girafarig</t>
  </si>
  <si>
    <r>
      <rPr>
        <sz val="12"/>
        <rFont val="宋体"/>
        <charset val="134"/>
      </rPr>
      <t>204</t>
    </r>
  </si>
  <si>
    <t>204榛果球</t>
  </si>
  <si>
    <t>クヌギダマ</t>
  </si>
  <si>
    <t>Pineco</t>
  </si>
  <si>
    <r>
      <rPr>
        <sz val="12"/>
        <rFont val="宋体"/>
        <charset val="134"/>
      </rPr>
      <t>205</t>
    </r>
  </si>
  <si>
    <t>205佛烈托斯</t>
  </si>
  <si>
    <t>フォレトス</t>
  </si>
  <si>
    <t>Forretress</t>
  </si>
  <si>
    <r>
      <rPr>
        <sz val="12"/>
        <rFont val="宋体"/>
        <charset val="134"/>
      </rPr>
      <t>206</t>
    </r>
  </si>
  <si>
    <t>206土龙弟弟</t>
  </si>
  <si>
    <t>ノコッチ</t>
  </si>
  <si>
    <t>Dunsparce</t>
  </si>
  <si>
    <r>
      <rPr>
        <sz val="12"/>
        <rFont val="宋体"/>
        <charset val="134"/>
      </rPr>
      <t>207</t>
    </r>
  </si>
  <si>
    <t>207天蝎</t>
  </si>
  <si>
    <t>グライガー</t>
  </si>
  <si>
    <t>Gligar</t>
  </si>
  <si>
    <r>
      <rPr>
        <sz val="12"/>
        <rFont val="宋体"/>
        <charset val="134"/>
      </rPr>
      <t>208</t>
    </r>
  </si>
  <si>
    <t>208大钢蛇</t>
  </si>
  <si>
    <t>ハガネール</t>
  </si>
  <si>
    <t>Steelix</t>
  </si>
  <si>
    <r>
      <rPr>
        <sz val="12"/>
        <rFont val="宋体"/>
        <charset val="134"/>
      </rPr>
      <t>209</t>
    </r>
  </si>
  <si>
    <t>209布卢</t>
  </si>
  <si>
    <t>ブルー</t>
  </si>
  <si>
    <t>Snubbull</t>
  </si>
  <si>
    <r>
      <rPr>
        <sz val="12"/>
        <rFont val="宋体"/>
        <charset val="134"/>
      </rPr>
      <t>210</t>
    </r>
  </si>
  <si>
    <t>210布卢皇</t>
  </si>
  <si>
    <t>グランブル</t>
  </si>
  <si>
    <t>Granbull</t>
  </si>
  <si>
    <r>
      <rPr>
        <sz val="12"/>
        <rFont val="宋体"/>
        <charset val="134"/>
      </rPr>
      <t>211</t>
    </r>
  </si>
  <si>
    <t>211千针鱼</t>
  </si>
  <si>
    <t>ハリーセン</t>
  </si>
  <si>
    <t>Qwilfish</t>
  </si>
  <si>
    <r>
      <rPr>
        <sz val="12"/>
        <rFont val="宋体"/>
        <charset val="134"/>
      </rPr>
      <t>212</t>
    </r>
  </si>
  <si>
    <t>212巨钳螳螂</t>
  </si>
  <si>
    <t>ハッサム</t>
  </si>
  <si>
    <t>Scizor</t>
  </si>
  <si>
    <r>
      <rPr>
        <sz val="12"/>
        <rFont val="宋体"/>
        <charset val="134"/>
      </rPr>
      <t>213</t>
    </r>
  </si>
  <si>
    <t>213壶壶</t>
  </si>
  <si>
    <t>ツボツボ</t>
  </si>
  <si>
    <t>Shuckle</t>
  </si>
  <si>
    <r>
      <rPr>
        <sz val="12"/>
        <rFont val="宋体"/>
        <charset val="134"/>
      </rPr>
      <t>214</t>
    </r>
  </si>
  <si>
    <t>214赫拉克罗斯</t>
  </si>
  <si>
    <t>ヘラクロス</t>
  </si>
  <si>
    <t>Heracross</t>
  </si>
  <si>
    <r>
      <rPr>
        <sz val="12"/>
        <rFont val="宋体"/>
        <charset val="134"/>
      </rPr>
      <t>215</t>
    </r>
  </si>
  <si>
    <t>215狃拉</t>
  </si>
  <si>
    <t>ニューラ</t>
  </si>
  <si>
    <t>Sneasel</t>
  </si>
  <si>
    <r>
      <rPr>
        <sz val="12"/>
        <rFont val="宋体"/>
        <charset val="134"/>
      </rPr>
      <t>216</t>
    </r>
  </si>
  <si>
    <t>216熊宝宝</t>
  </si>
  <si>
    <t>ヒメグマ</t>
  </si>
  <si>
    <t>Teddiursa</t>
  </si>
  <si>
    <r>
      <rPr>
        <sz val="12"/>
        <rFont val="宋体"/>
        <charset val="134"/>
      </rPr>
      <t>217</t>
    </r>
  </si>
  <si>
    <t>217圈圈熊</t>
  </si>
  <si>
    <t>リングマ</t>
  </si>
  <si>
    <t>Ursaring</t>
  </si>
  <si>
    <r>
      <rPr>
        <sz val="12"/>
        <rFont val="宋体"/>
        <charset val="134"/>
      </rPr>
      <t>218</t>
    </r>
  </si>
  <si>
    <t>218熔岩虫</t>
  </si>
  <si>
    <t>マグマッグ</t>
  </si>
  <si>
    <t>Slugma</t>
  </si>
  <si>
    <r>
      <rPr>
        <sz val="12"/>
        <rFont val="宋体"/>
        <charset val="134"/>
      </rPr>
      <t>219</t>
    </r>
  </si>
  <si>
    <t>219熔岩蜗牛</t>
  </si>
  <si>
    <t>マグカルゴ</t>
  </si>
  <si>
    <t>Magcargo</t>
  </si>
  <si>
    <r>
      <rPr>
        <sz val="12"/>
        <rFont val="宋体"/>
        <charset val="134"/>
      </rPr>
      <t>220</t>
    </r>
  </si>
  <si>
    <t>220小山猪</t>
  </si>
  <si>
    <t>ウリムー</t>
  </si>
  <si>
    <t>Swinub</t>
  </si>
  <si>
    <r>
      <rPr>
        <sz val="12"/>
        <rFont val="宋体"/>
        <charset val="134"/>
      </rPr>
      <t>221</t>
    </r>
  </si>
  <si>
    <t>221长毛猪</t>
  </si>
  <si>
    <t>イノムー</t>
  </si>
  <si>
    <t>Piloswine</t>
  </si>
  <si>
    <r>
      <rPr>
        <sz val="12"/>
        <rFont val="宋体"/>
        <charset val="134"/>
      </rPr>
      <t>222</t>
    </r>
  </si>
  <si>
    <t>222太阳珊瑚</t>
  </si>
  <si>
    <t>サニーゴ</t>
  </si>
  <si>
    <t>Corsola</t>
  </si>
  <si>
    <r>
      <rPr>
        <sz val="12"/>
        <rFont val="宋体"/>
        <charset val="134"/>
      </rPr>
      <t>223</t>
    </r>
  </si>
  <si>
    <t>223铁炮鱼</t>
  </si>
  <si>
    <t>テッポウオ</t>
  </si>
  <si>
    <t>Remoraid</t>
  </si>
  <si>
    <r>
      <rPr>
        <sz val="12"/>
        <rFont val="宋体"/>
        <charset val="134"/>
      </rPr>
      <t>224</t>
    </r>
  </si>
  <si>
    <t>224章鱼桶</t>
  </si>
  <si>
    <t>オクタン</t>
  </si>
  <si>
    <t>Octillery</t>
  </si>
  <si>
    <r>
      <rPr>
        <sz val="12"/>
        <rFont val="宋体"/>
        <charset val="134"/>
      </rPr>
      <t>225</t>
    </r>
  </si>
  <si>
    <t>225信使鸟</t>
  </si>
  <si>
    <t>デリバード</t>
  </si>
  <si>
    <t>Delibird</t>
  </si>
  <si>
    <r>
      <rPr>
        <sz val="12"/>
        <rFont val="宋体"/>
        <charset val="134"/>
      </rPr>
      <t>226</t>
    </r>
  </si>
  <si>
    <t>226巨翅飞鱼</t>
  </si>
  <si>
    <t>マンタイン</t>
  </si>
  <si>
    <t>Mantine</t>
  </si>
  <si>
    <r>
      <rPr>
        <sz val="12"/>
        <rFont val="宋体"/>
        <charset val="134"/>
      </rPr>
      <t>227</t>
    </r>
  </si>
  <si>
    <t>227盔甲鸟</t>
  </si>
  <si>
    <t>エアームド</t>
  </si>
  <si>
    <t>Skarmory</t>
  </si>
  <si>
    <r>
      <rPr>
        <sz val="12"/>
        <rFont val="宋体"/>
        <charset val="134"/>
      </rPr>
      <t>228</t>
    </r>
  </si>
  <si>
    <t>228戴鲁比</t>
  </si>
  <si>
    <t>デルビル</t>
  </si>
  <si>
    <t>Houndour</t>
  </si>
  <si>
    <r>
      <rPr>
        <sz val="12"/>
        <rFont val="宋体"/>
        <charset val="134"/>
      </rPr>
      <t>229</t>
    </r>
  </si>
  <si>
    <t>229黑鲁加</t>
  </si>
  <si>
    <t>ヘルガー</t>
  </si>
  <si>
    <t>Houndoom</t>
  </si>
  <si>
    <r>
      <rPr>
        <sz val="12"/>
        <rFont val="宋体"/>
        <charset val="134"/>
      </rPr>
      <t>230</t>
    </r>
  </si>
  <si>
    <t>230刺龙王</t>
  </si>
  <si>
    <t>キングドラ</t>
  </si>
  <si>
    <t>Kingdra</t>
  </si>
  <si>
    <r>
      <rPr>
        <sz val="12"/>
        <rFont val="宋体"/>
        <charset val="134"/>
      </rPr>
      <t>231</t>
    </r>
  </si>
  <si>
    <t>231小小象</t>
  </si>
  <si>
    <t>ゴマゾウ</t>
  </si>
  <si>
    <t>Phanpy</t>
  </si>
  <si>
    <r>
      <rPr>
        <sz val="12"/>
        <rFont val="宋体"/>
        <charset val="134"/>
      </rPr>
      <t>232</t>
    </r>
  </si>
  <si>
    <t>232顿甲</t>
  </si>
  <si>
    <t>ドンファン</t>
  </si>
  <si>
    <t>Donphan</t>
  </si>
  <si>
    <r>
      <rPr>
        <sz val="12"/>
        <rFont val="宋体"/>
        <charset val="134"/>
      </rPr>
      <t>233</t>
    </r>
  </si>
  <si>
    <t>2333D龙II</t>
  </si>
  <si>
    <t>ポリゴン２</t>
  </si>
  <si>
    <t>Porygon2</t>
  </si>
  <si>
    <r>
      <rPr>
        <sz val="12"/>
        <rFont val="宋体"/>
        <charset val="134"/>
      </rPr>
      <t>234</t>
    </r>
  </si>
  <si>
    <t>234惊角鹿</t>
  </si>
  <si>
    <t>オドシシ</t>
  </si>
  <si>
    <t>Stantler</t>
  </si>
  <si>
    <r>
      <rPr>
        <sz val="12"/>
        <rFont val="宋体"/>
        <charset val="134"/>
      </rPr>
      <t>235</t>
    </r>
  </si>
  <si>
    <t>235图图犬</t>
  </si>
  <si>
    <t>ドーブル</t>
  </si>
  <si>
    <t>Smeargle</t>
  </si>
  <si>
    <r>
      <rPr>
        <sz val="12"/>
        <rFont val="宋体"/>
        <charset val="134"/>
      </rPr>
      <t>236</t>
    </r>
  </si>
  <si>
    <t>236巴尔郎</t>
  </si>
  <si>
    <t>バルキー</t>
  </si>
  <si>
    <t>Tyrogue</t>
  </si>
  <si>
    <r>
      <rPr>
        <sz val="12"/>
        <rFont val="宋体"/>
        <charset val="134"/>
      </rPr>
      <t>237</t>
    </r>
  </si>
  <si>
    <t>237柯波朗</t>
  </si>
  <si>
    <t>カポエラー</t>
  </si>
  <si>
    <t>Hitmontop</t>
  </si>
  <si>
    <r>
      <rPr>
        <sz val="12"/>
        <rFont val="宋体"/>
        <charset val="134"/>
      </rPr>
      <t>238</t>
    </r>
  </si>
  <si>
    <t>238迷唇娃</t>
  </si>
  <si>
    <t>ムチュール</t>
  </si>
  <si>
    <t>Smoochum</t>
  </si>
  <si>
    <r>
      <rPr>
        <sz val="12"/>
        <rFont val="宋体"/>
        <charset val="134"/>
      </rPr>
      <t>239</t>
    </r>
  </si>
  <si>
    <t>239电击怪</t>
  </si>
  <si>
    <t>エレキッド</t>
  </si>
  <si>
    <t>Elekid</t>
  </si>
  <si>
    <r>
      <rPr>
        <sz val="12"/>
        <rFont val="宋体"/>
        <charset val="134"/>
      </rPr>
      <t>240</t>
    </r>
  </si>
  <si>
    <t>240小鸭嘴龙</t>
  </si>
  <si>
    <t>ブビィ</t>
  </si>
  <si>
    <t>Magby</t>
  </si>
  <si>
    <r>
      <rPr>
        <sz val="12"/>
        <rFont val="宋体"/>
        <charset val="134"/>
      </rPr>
      <t>241</t>
    </r>
  </si>
  <si>
    <t>241大奶罐</t>
  </si>
  <si>
    <t>ミルタンク</t>
  </si>
  <si>
    <t>Miltank</t>
  </si>
  <si>
    <r>
      <rPr>
        <sz val="12"/>
        <rFont val="宋体"/>
        <charset val="134"/>
      </rPr>
      <t>242</t>
    </r>
  </si>
  <si>
    <t>242幸福蛋</t>
  </si>
  <si>
    <t>ハピナス</t>
  </si>
  <si>
    <t>Blissey</t>
  </si>
  <si>
    <r>
      <rPr>
        <sz val="12"/>
        <rFont val="宋体"/>
        <charset val="134"/>
      </rPr>
      <t>243</t>
    </r>
  </si>
  <si>
    <t>243雷公</t>
  </si>
  <si>
    <t>ライコウ</t>
  </si>
  <si>
    <t>Raikou</t>
  </si>
  <si>
    <r>
      <rPr>
        <sz val="12"/>
        <rFont val="宋体"/>
        <charset val="134"/>
      </rPr>
      <t>244</t>
    </r>
  </si>
  <si>
    <t>244炎帝</t>
  </si>
  <si>
    <t>エンテイ</t>
  </si>
  <si>
    <t>Entei</t>
  </si>
  <si>
    <r>
      <rPr>
        <sz val="12"/>
        <rFont val="宋体"/>
        <charset val="134"/>
      </rPr>
      <t>245</t>
    </r>
  </si>
  <si>
    <t>245水君</t>
  </si>
  <si>
    <t>スイクン</t>
  </si>
  <si>
    <t>Suicune</t>
  </si>
  <si>
    <r>
      <rPr>
        <sz val="12"/>
        <rFont val="宋体"/>
        <charset val="134"/>
      </rPr>
      <t>246</t>
    </r>
  </si>
  <si>
    <t>246由基拉</t>
  </si>
  <si>
    <t>ヨーギラス</t>
  </si>
  <si>
    <t>Larvitar</t>
  </si>
  <si>
    <r>
      <rPr>
        <sz val="12"/>
        <rFont val="宋体"/>
        <charset val="134"/>
      </rPr>
      <t>247</t>
    </r>
  </si>
  <si>
    <t>247沙基拉</t>
  </si>
  <si>
    <t>サナギラス</t>
  </si>
  <si>
    <t>Pupitar</t>
  </si>
  <si>
    <r>
      <rPr>
        <sz val="12"/>
        <rFont val="宋体"/>
        <charset val="134"/>
      </rPr>
      <t>248</t>
    </r>
  </si>
  <si>
    <t>248班吉拉</t>
  </si>
  <si>
    <t>バンギラス</t>
  </si>
  <si>
    <t>Tyranitar</t>
  </si>
  <si>
    <r>
      <rPr>
        <sz val="12"/>
        <rFont val="宋体"/>
        <charset val="134"/>
      </rPr>
      <t>249</t>
    </r>
  </si>
  <si>
    <t>249洛奇亚</t>
  </si>
  <si>
    <t>ルギア</t>
  </si>
  <si>
    <t>Lugia</t>
  </si>
  <si>
    <r>
      <rPr>
        <sz val="12"/>
        <rFont val="宋体"/>
        <charset val="134"/>
      </rPr>
      <t>250</t>
    </r>
  </si>
  <si>
    <t>250凤王</t>
  </si>
  <si>
    <t>ホウオウ</t>
  </si>
  <si>
    <t>Ho-Oh</t>
  </si>
  <si>
    <r>
      <rPr>
        <sz val="12"/>
        <rFont val="宋体"/>
        <charset val="134"/>
      </rPr>
      <t>251</t>
    </r>
  </si>
  <si>
    <t>251雪拉比</t>
  </si>
  <si>
    <t>セレビィ</t>
  </si>
  <si>
    <t>Celebi</t>
  </si>
  <si>
    <r>
      <rPr>
        <sz val="12"/>
        <rFont val="宋体"/>
        <charset val="134"/>
      </rPr>
      <t>252</t>
    </r>
  </si>
  <si>
    <t>252木守宫</t>
  </si>
  <si>
    <t>キモリ</t>
  </si>
  <si>
    <t>Treecko</t>
  </si>
  <si>
    <r>
      <rPr>
        <sz val="12"/>
        <rFont val="宋体"/>
        <charset val="134"/>
      </rPr>
      <t>253</t>
    </r>
  </si>
  <si>
    <t>253森林蜥蜴</t>
  </si>
  <si>
    <t>ジュプトル</t>
  </si>
  <si>
    <t>Grovyle</t>
  </si>
  <si>
    <r>
      <rPr>
        <sz val="12"/>
        <rFont val="宋体"/>
        <charset val="134"/>
      </rPr>
      <t>254</t>
    </r>
  </si>
  <si>
    <t>254蜥蜴王</t>
  </si>
  <si>
    <t>ジュカイン</t>
  </si>
  <si>
    <t>Sceptile</t>
  </si>
  <si>
    <r>
      <rPr>
        <sz val="12"/>
        <rFont val="宋体"/>
        <charset val="134"/>
      </rPr>
      <t>255</t>
    </r>
  </si>
  <si>
    <t>255火稚鸡</t>
  </si>
  <si>
    <t>アチャモ</t>
  </si>
  <si>
    <t>Torchic</t>
  </si>
  <si>
    <r>
      <rPr>
        <sz val="12"/>
        <rFont val="宋体"/>
        <charset val="134"/>
      </rPr>
      <t>256</t>
    </r>
  </si>
  <si>
    <t>256力壮鸡</t>
  </si>
  <si>
    <t>ワカシャモ</t>
  </si>
  <si>
    <t>Combusken</t>
  </si>
  <si>
    <r>
      <rPr>
        <sz val="12"/>
        <rFont val="宋体"/>
        <charset val="134"/>
      </rPr>
      <t>257</t>
    </r>
  </si>
  <si>
    <t>257火焰鸡</t>
  </si>
  <si>
    <t>バシャーモ</t>
  </si>
  <si>
    <t>Blaziken</t>
  </si>
  <si>
    <r>
      <rPr>
        <sz val="12"/>
        <rFont val="宋体"/>
        <charset val="134"/>
      </rPr>
      <t>258</t>
    </r>
  </si>
  <si>
    <t>258水跃鱼</t>
  </si>
  <si>
    <t>ミズゴロウ</t>
  </si>
  <si>
    <t>Mudkip</t>
  </si>
  <si>
    <r>
      <rPr>
        <sz val="12"/>
        <rFont val="宋体"/>
        <charset val="134"/>
      </rPr>
      <t>259</t>
    </r>
  </si>
  <si>
    <t>259沼跃鱼</t>
  </si>
  <si>
    <t>ヌマクロー</t>
  </si>
  <si>
    <t>Marshtomp</t>
  </si>
  <si>
    <r>
      <rPr>
        <sz val="12"/>
        <rFont val="宋体"/>
        <charset val="134"/>
      </rPr>
      <t>260</t>
    </r>
  </si>
  <si>
    <t>260巨沼怪</t>
  </si>
  <si>
    <t>ラグラージ</t>
  </si>
  <si>
    <t>Swampert</t>
  </si>
  <si>
    <r>
      <rPr>
        <sz val="12"/>
        <rFont val="宋体"/>
        <charset val="134"/>
      </rPr>
      <t>261</t>
    </r>
  </si>
  <si>
    <t>261土狼犬</t>
  </si>
  <si>
    <t>ポチエナ</t>
  </si>
  <si>
    <t>Poochyena</t>
  </si>
  <si>
    <r>
      <rPr>
        <sz val="12"/>
        <rFont val="宋体"/>
        <charset val="134"/>
      </rPr>
      <t>262</t>
    </r>
  </si>
  <si>
    <t>262大狼犬</t>
  </si>
  <si>
    <t>グラエナ</t>
  </si>
  <si>
    <t>Mightyena</t>
  </si>
  <si>
    <r>
      <rPr>
        <sz val="12"/>
        <rFont val="宋体"/>
        <charset val="134"/>
      </rPr>
      <t>263</t>
    </r>
  </si>
  <si>
    <t>263蛇纹熊</t>
  </si>
  <si>
    <t>ジグザグマ</t>
  </si>
  <si>
    <t>Zigzagoon</t>
  </si>
  <si>
    <r>
      <rPr>
        <sz val="12"/>
        <rFont val="宋体"/>
        <charset val="134"/>
      </rPr>
      <t>264</t>
    </r>
  </si>
  <si>
    <t>264直冲熊</t>
  </si>
  <si>
    <t>マッスグマ</t>
  </si>
  <si>
    <t>Linoone</t>
  </si>
  <si>
    <r>
      <rPr>
        <sz val="12"/>
        <rFont val="宋体"/>
        <charset val="134"/>
      </rPr>
      <t>265</t>
    </r>
  </si>
  <si>
    <t>265刺尾虫</t>
  </si>
  <si>
    <t>ケムッソ</t>
  </si>
  <si>
    <t>Wurmple</t>
  </si>
  <si>
    <r>
      <rPr>
        <sz val="12"/>
        <rFont val="宋体"/>
        <charset val="134"/>
      </rPr>
      <t>266</t>
    </r>
  </si>
  <si>
    <t>266甲壳蛹</t>
  </si>
  <si>
    <t>カラサリス</t>
  </si>
  <si>
    <t>Silcoon</t>
  </si>
  <si>
    <r>
      <rPr>
        <sz val="12"/>
        <rFont val="宋体"/>
        <charset val="134"/>
      </rPr>
      <t>267</t>
    </r>
  </si>
  <si>
    <t>267狩猎凤蝶</t>
  </si>
  <si>
    <t>アゲハント</t>
  </si>
  <si>
    <t>Beautifly</t>
  </si>
  <si>
    <r>
      <rPr>
        <sz val="12"/>
        <rFont val="宋体"/>
        <charset val="134"/>
      </rPr>
      <t>268</t>
    </r>
  </si>
  <si>
    <t>268盾甲茧</t>
  </si>
  <si>
    <t>マユルド</t>
  </si>
  <si>
    <t>Cascoon</t>
  </si>
  <si>
    <r>
      <rPr>
        <sz val="12"/>
        <rFont val="宋体"/>
        <charset val="134"/>
      </rPr>
      <t>269</t>
    </r>
  </si>
  <si>
    <t>269毒粉蝶</t>
  </si>
  <si>
    <t>ドクケイル</t>
  </si>
  <si>
    <t>Dustox</t>
  </si>
  <si>
    <r>
      <rPr>
        <sz val="12"/>
        <rFont val="宋体"/>
        <charset val="134"/>
      </rPr>
      <t>270</t>
    </r>
  </si>
  <si>
    <t>270莲叶童子</t>
  </si>
  <si>
    <t>ハスボー</t>
  </si>
  <si>
    <t>Lotad</t>
  </si>
  <si>
    <r>
      <rPr>
        <sz val="12"/>
        <rFont val="宋体"/>
        <charset val="134"/>
      </rPr>
      <t>271</t>
    </r>
  </si>
  <si>
    <t>271莲帽小童</t>
  </si>
  <si>
    <t>ハスブレロ</t>
  </si>
  <si>
    <t>Lombre</t>
  </si>
  <si>
    <r>
      <rPr>
        <sz val="12"/>
        <rFont val="宋体"/>
        <charset val="134"/>
      </rPr>
      <t>272</t>
    </r>
  </si>
  <si>
    <t>272乐天河童</t>
  </si>
  <si>
    <t>ルンパッパ</t>
  </si>
  <si>
    <t>Ludicolo</t>
  </si>
  <si>
    <r>
      <rPr>
        <sz val="12"/>
        <rFont val="宋体"/>
        <charset val="134"/>
      </rPr>
      <t>273</t>
    </r>
  </si>
  <si>
    <t>273橡实果</t>
  </si>
  <si>
    <t>タネボー</t>
  </si>
  <si>
    <t>Seedot</t>
  </si>
  <si>
    <r>
      <rPr>
        <sz val="12"/>
        <rFont val="宋体"/>
        <charset val="134"/>
      </rPr>
      <t>274</t>
    </r>
  </si>
  <si>
    <t>274长鼻叶</t>
  </si>
  <si>
    <t>コノハナ</t>
  </si>
  <si>
    <t>Nuzleaf</t>
  </si>
  <si>
    <r>
      <rPr>
        <sz val="12"/>
        <rFont val="宋体"/>
        <charset val="134"/>
      </rPr>
      <t>275</t>
    </r>
  </si>
  <si>
    <t>275狡猾天狗</t>
  </si>
  <si>
    <t>ダーテング</t>
  </si>
  <si>
    <t>Shiftry</t>
  </si>
  <si>
    <r>
      <rPr>
        <sz val="12"/>
        <rFont val="宋体"/>
        <charset val="134"/>
      </rPr>
      <t>276</t>
    </r>
  </si>
  <si>
    <t>276傲骨燕</t>
  </si>
  <si>
    <t>スバメ</t>
  </si>
  <si>
    <t>Taillow</t>
  </si>
  <si>
    <r>
      <rPr>
        <sz val="12"/>
        <rFont val="宋体"/>
        <charset val="134"/>
      </rPr>
      <t>277</t>
    </r>
  </si>
  <si>
    <t>277大王燕</t>
  </si>
  <si>
    <t>オオスバメ</t>
  </si>
  <si>
    <t>Swellow</t>
  </si>
  <si>
    <r>
      <rPr>
        <sz val="12"/>
        <rFont val="宋体"/>
        <charset val="134"/>
      </rPr>
      <t>278</t>
    </r>
  </si>
  <si>
    <t>278长翅鸥</t>
  </si>
  <si>
    <t>キャモメ</t>
  </si>
  <si>
    <t>Wingull</t>
  </si>
  <si>
    <r>
      <rPr>
        <sz val="12"/>
        <rFont val="宋体"/>
        <charset val="134"/>
      </rPr>
      <t>279</t>
    </r>
  </si>
  <si>
    <t>279大嘴鸥</t>
  </si>
  <si>
    <t>ペリッパー</t>
  </si>
  <si>
    <t>Pelipper</t>
  </si>
  <si>
    <r>
      <rPr>
        <sz val="12"/>
        <rFont val="宋体"/>
        <charset val="134"/>
      </rPr>
      <t>280</t>
    </r>
  </si>
  <si>
    <t>280拉鲁拉丝</t>
  </si>
  <si>
    <t>ラルトス</t>
  </si>
  <si>
    <t>Ralts</t>
  </si>
  <si>
    <r>
      <rPr>
        <sz val="12"/>
        <rFont val="宋体"/>
        <charset val="134"/>
      </rPr>
      <t>281</t>
    </r>
  </si>
  <si>
    <t>281奇鲁莉安</t>
  </si>
  <si>
    <t>キルリア</t>
  </si>
  <si>
    <t>Kirlia</t>
  </si>
  <si>
    <r>
      <rPr>
        <sz val="12"/>
        <rFont val="宋体"/>
        <charset val="134"/>
      </rPr>
      <t>282</t>
    </r>
  </si>
  <si>
    <t>282沙奈朵</t>
  </si>
  <si>
    <t>サーナイト</t>
  </si>
  <si>
    <t>Gardevoir</t>
  </si>
  <si>
    <r>
      <rPr>
        <sz val="12"/>
        <rFont val="宋体"/>
        <charset val="134"/>
      </rPr>
      <t>283</t>
    </r>
  </si>
  <si>
    <t>283溜溜糖球</t>
  </si>
  <si>
    <t>アメタマ</t>
  </si>
  <si>
    <t>Surskit</t>
  </si>
  <si>
    <r>
      <rPr>
        <sz val="12"/>
        <rFont val="宋体"/>
        <charset val="134"/>
      </rPr>
      <t>284</t>
    </r>
  </si>
  <si>
    <t>284雨翅蛾</t>
  </si>
  <si>
    <t>アメモース</t>
  </si>
  <si>
    <t>Masquerain</t>
  </si>
  <si>
    <r>
      <rPr>
        <sz val="12"/>
        <rFont val="宋体"/>
        <charset val="134"/>
      </rPr>
      <t>285</t>
    </r>
  </si>
  <si>
    <t>285蘑蘑菇</t>
  </si>
  <si>
    <t>キノココ</t>
  </si>
  <si>
    <t>Shroomish</t>
  </si>
  <si>
    <r>
      <rPr>
        <sz val="12"/>
        <rFont val="宋体"/>
        <charset val="134"/>
      </rPr>
      <t>286</t>
    </r>
  </si>
  <si>
    <t>286斗笠菇</t>
  </si>
  <si>
    <t>キノガッサ</t>
  </si>
  <si>
    <t>Breloom</t>
  </si>
  <si>
    <r>
      <rPr>
        <sz val="12"/>
        <rFont val="宋体"/>
        <charset val="134"/>
      </rPr>
      <t>287</t>
    </r>
  </si>
  <si>
    <t>287懒人翁</t>
  </si>
  <si>
    <t>ナマケロ</t>
  </si>
  <si>
    <t>Slakoth</t>
  </si>
  <si>
    <r>
      <rPr>
        <sz val="12"/>
        <rFont val="宋体"/>
        <charset val="134"/>
      </rPr>
      <t>288</t>
    </r>
  </si>
  <si>
    <t>288过动猿</t>
  </si>
  <si>
    <t>ヤルキモノ</t>
  </si>
  <si>
    <t>Vigoroth</t>
  </si>
  <si>
    <r>
      <rPr>
        <sz val="12"/>
        <rFont val="宋体"/>
        <charset val="134"/>
      </rPr>
      <t>289</t>
    </r>
  </si>
  <si>
    <t>289请假王</t>
  </si>
  <si>
    <t>ケッキング</t>
  </si>
  <si>
    <t>Slaking</t>
  </si>
  <si>
    <r>
      <rPr>
        <sz val="12"/>
        <rFont val="宋体"/>
        <charset val="134"/>
      </rPr>
      <t>290</t>
    </r>
  </si>
  <si>
    <t>290土居忍士</t>
  </si>
  <si>
    <t>ツチニン</t>
  </si>
  <si>
    <t>Nincada</t>
  </si>
  <si>
    <r>
      <rPr>
        <sz val="12"/>
        <rFont val="宋体"/>
        <charset val="134"/>
      </rPr>
      <t>291</t>
    </r>
  </si>
  <si>
    <t>291铁面忍者</t>
  </si>
  <si>
    <t>テッカニン</t>
  </si>
  <si>
    <t>Ninjask</t>
  </si>
  <si>
    <r>
      <rPr>
        <sz val="12"/>
        <rFont val="宋体"/>
        <charset val="134"/>
      </rPr>
      <t>292</t>
    </r>
  </si>
  <si>
    <t>292脱壳忍者</t>
  </si>
  <si>
    <t>ヌケニン</t>
  </si>
  <si>
    <t>Shedinja</t>
  </si>
  <si>
    <r>
      <rPr>
        <sz val="12"/>
        <rFont val="宋体"/>
        <charset val="134"/>
      </rPr>
      <t>293</t>
    </r>
  </si>
  <si>
    <t>293咕妞妞</t>
  </si>
  <si>
    <t>ゴニョニョ</t>
  </si>
  <si>
    <t>Whismur</t>
  </si>
  <si>
    <r>
      <rPr>
        <sz val="12"/>
        <rFont val="宋体"/>
        <charset val="134"/>
      </rPr>
      <t>294</t>
    </r>
  </si>
  <si>
    <t>294吼爆弹</t>
  </si>
  <si>
    <t>ドゴーム</t>
  </si>
  <si>
    <t>Loudred</t>
  </si>
  <si>
    <r>
      <rPr>
        <sz val="12"/>
        <rFont val="宋体"/>
        <charset val="134"/>
      </rPr>
      <t>295</t>
    </r>
  </si>
  <si>
    <t>295爆音怪</t>
  </si>
  <si>
    <t>バクオング</t>
  </si>
  <si>
    <t>Exploud</t>
  </si>
  <si>
    <r>
      <rPr>
        <sz val="12"/>
        <rFont val="宋体"/>
        <charset val="134"/>
      </rPr>
      <t>296</t>
    </r>
  </si>
  <si>
    <t>296幕下力士</t>
  </si>
  <si>
    <t>マクノシタ</t>
  </si>
  <si>
    <t>Makuhita</t>
  </si>
  <si>
    <r>
      <rPr>
        <sz val="12"/>
        <rFont val="宋体"/>
        <charset val="134"/>
      </rPr>
      <t>297</t>
    </r>
  </si>
  <si>
    <t>297超力王</t>
  </si>
  <si>
    <t>ハリテヤマ</t>
  </si>
  <si>
    <t>Hariyama</t>
  </si>
  <si>
    <r>
      <rPr>
        <sz val="12"/>
        <rFont val="宋体"/>
        <charset val="134"/>
      </rPr>
      <t>298</t>
    </r>
  </si>
  <si>
    <t>298露力丽</t>
  </si>
  <si>
    <t>ルリリ</t>
  </si>
  <si>
    <t>Azurill</t>
  </si>
  <si>
    <r>
      <rPr>
        <sz val="12"/>
        <rFont val="宋体"/>
        <charset val="134"/>
      </rPr>
      <t>299</t>
    </r>
  </si>
  <si>
    <t>299朝北鼻</t>
  </si>
  <si>
    <t>ノズパス</t>
  </si>
  <si>
    <t>Nosepass</t>
  </si>
  <si>
    <r>
      <rPr>
        <sz val="12"/>
        <rFont val="宋体"/>
        <charset val="134"/>
      </rPr>
      <t>300</t>
    </r>
  </si>
  <si>
    <t>300向尾喵</t>
  </si>
  <si>
    <t>エネコ</t>
  </si>
  <si>
    <t>Skitty</t>
  </si>
  <si>
    <r>
      <rPr>
        <sz val="12"/>
        <rFont val="宋体"/>
        <charset val="134"/>
      </rPr>
      <t>301</t>
    </r>
  </si>
  <si>
    <t>301优雅猫</t>
  </si>
  <si>
    <t>エネコロロ</t>
  </si>
  <si>
    <t>Delcatty</t>
  </si>
  <si>
    <r>
      <rPr>
        <sz val="12"/>
        <rFont val="宋体"/>
        <charset val="134"/>
      </rPr>
      <t>302</t>
    </r>
  </si>
  <si>
    <t>302勾魂眼</t>
  </si>
  <si>
    <t>ヤミラミ</t>
  </si>
  <si>
    <t>Sableye</t>
  </si>
  <si>
    <r>
      <rPr>
        <sz val="12"/>
        <rFont val="宋体"/>
        <charset val="134"/>
      </rPr>
      <t>303</t>
    </r>
  </si>
  <si>
    <t>303大嘴娃</t>
  </si>
  <si>
    <t>クチート</t>
  </si>
  <si>
    <t>Mawile</t>
  </si>
  <si>
    <r>
      <rPr>
        <sz val="12"/>
        <rFont val="宋体"/>
        <charset val="134"/>
      </rPr>
      <t>304</t>
    </r>
  </si>
  <si>
    <t>304可可多拉</t>
  </si>
  <si>
    <t>ココドラ</t>
  </si>
  <si>
    <t>Aron</t>
  </si>
  <si>
    <r>
      <rPr>
        <sz val="12"/>
        <rFont val="宋体"/>
        <charset val="134"/>
      </rPr>
      <t>305</t>
    </r>
  </si>
  <si>
    <t>305可多拉</t>
  </si>
  <si>
    <t>コドラ</t>
  </si>
  <si>
    <t>Lairon</t>
  </si>
  <si>
    <r>
      <rPr>
        <sz val="12"/>
        <rFont val="宋体"/>
        <charset val="134"/>
      </rPr>
      <t>306</t>
    </r>
  </si>
  <si>
    <t>306波士可多拉</t>
  </si>
  <si>
    <t>ボスゴドラ</t>
  </si>
  <si>
    <t>Aggron</t>
  </si>
  <si>
    <r>
      <rPr>
        <sz val="12"/>
        <rFont val="宋体"/>
        <charset val="134"/>
      </rPr>
      <t>307</t>
    </r>
  </si>
  <si>
    <t>307玛沙那</t>
  </si>
  <si>
    <t>アサナン</t>
  </si>
  <si>
    <t>Meditite</t>
  </si>
  <si>
    <r>
      <rPr>
        <sz val="12"/>
        <rFont val="宋体"/>
        <charset val="134"/>
      </rPr>
      <t>308</t>
    </r>
  </si>
  <si>
    <t>308恰雷姆</t>
  </si>
  <si>
    <t>チャーレム</t>
  </si>
  <si>
    <t>Medicham</t>
  </si>
  <si>
    <r>
      <rPr>
        <sz val="12"/>
        <rFont val="宋体"/>
        <charset val="134"/>
      </rPr>
      <t>309</t>
    </r>
  </si>
  <si>
    <t>309落雷兽</t>
  </si>
  <si>
    <t>ラクライ</t>
  </si>
  <si>
    <t>Electrike</t>
  </si>
  <si>
    <r>
      <rPr>
        <sz val="12"/>
        <rFont val="宋体"/>
        <charset val="134"/>
      </rPr>
      <t>310</t>
    </r>
  </si>
  <si>
    <t>310雷电兽</t>
  </si>
  <si>
    <t>ライボルト</t>
  </si>
  <si>
    <t>Manectric</t>
  </si>
  <si>
    <r>
      <rPr>
        <sz val="12"/>
        <rFont val="宋体"/>
        <charset val="134"/>
      </rPr>
      <t>311</t>
    </r>
  </si>
  <si>
    <t>311正电拍拍</t>
  </si>
  <si>
    <t>プラスル</t>
  </si>
  <si>
    <t>Plusle</t>
  </si>
  <si>
    <r>
      <rPr>
        <sz val="12"/>
        <rFont val="宋体"/>
        <charset val="134"/>
      </rPr>
      <t>312</t>
    </r>
  </si>
  <si>
    <t>312负电拍拍</t>
  </si>
  <si>
    <t>マイナン</t>
  </si>
  <si>
    <t>Minun</t>
  </si>
  <si>
    <r>
      <rPr>
        <sz val="12"/>
        <rFont val="宋体"/>
        <charset val="134"/>
      </rPr>
      <t>313</t>
    </r>
  </si>
  <si>
    <t>313电萤虫</t>
  </si>
  <si>
    <t>バルビート</t>
  </si>
  <si>
    <t>Volbeat</t>
  </si>
  <si>
    <r>
      <rPr>
        <sz val="12"/>
        <rFont val="宋体"/>
        <charset val="134"/>
      </rPr>
      <t>314</t>
    </r>
  </si>
  <si>
    <t>314甜甜萤</t>
  </si>
  <si>
    <t>イルミーゼ</t>
  </si>
  <si>
    <t>Illumise</t>
  </si>
  <si>
    <r>
      <rPr>
        <sz val="12"/>
        <rFont val="宋体"/>
        <charset val="134"/>
      </rPr>
      <t>315</t>
    </r>
  </si>
  <si>
    <t>315毒蔷薇</t>
  </si>
  <si>
    <t>ロゼリア</t>
  </si>
  <si>
    <t>Roselia</t>
  </si>
  <si>
    <r>
      <rPr>
        <sz val="12"/>
        <rFont val="宋体"/>
        <charset val="134"/>
      </rPr>
      <t>316</t>
    </r>
  </si>
  <si>
    <t>316溶食兽</t>
  </si>
  <si>
    <t>ゴクリン</t>
  </si>
  <si>
    <t>Gulpin</t>
  </si>
  <si>
    <r>
      <rPr>
        <sz val="12"/>
        <rFont val="宋体"/>
        <charset val="134"/>
      </rPr>
      <t>317</t>
    </r>
  </si>
  <si>
    <t>317吞食兽</t>
  </si>
  <si>
    <t>マルノーム</t>
  </si>
  <si>
    <t>Swalot</t>
  </si>
  <si>
    <r>
      <rPr>
        <sz val="12"/>
        <rFont val="宋体"/>
        <charset val="134"/>
      </rPr>
      <t>318</t>
    </r>
  </si>
  <si>
    <t>318利牙鱼</t>
  </si>
  <si>
    <t>キバニア</t>
  </si>
  <si>
    <t>Carvanha</t>
  </si>
  <si>
    <r>
      <rPr>
        <sz val="12"/>
        <rFont val="宋体"/>
        <charset val="134"/>
      </rPr>
      <t>319</t>
    </r>
  </si>
  <si>
    <t>319巨牙鲨</t>
  </si>
  <si>
    <t>サメハダー</t>
  </si>
  <si>
    <t>Sharpedo</t>
  </si>
  <si>
    <r>
      <rPr>
        <sz val="12"/>
        <rFont val="宋体"/>
        <charset val="134"/>
      </rPr>
      <t>320</t>
    </r>
  </si>
  <si>
    <t>320吼吼鲸</t>
  </si>
  <si>
    <t>ホエルコ</t>
  </si>
  <si>
    <t>Wailmer</t>
  </si>
  <si>
    <r>
      <rPr>
        <sz val="12"/>
        <rFont val="宋体"/>
        <charset val="134"/>
      </rPr>
      <t>321</t>
    </r>
  </si>
  <si>
    <t>321吼鲸王</t>
  </si>
  <si>
    <t>ホエルオー</t>
  </si>
  <si>
    <t>Wailord</t>
  </si>
  <si>
    <r>
      <rPr>
        <sz val="12"/>
        <rFont val="宋体"/>
        <charset val="134"/>
      </rPr>
      <t>322</t>
    </r>
  </si>
  <si>
    <t>322呆火驼</t>
  </si>
  <si>
    <t>ドンメル</t>
  </si>
  <si>
    <t>Numel</t>
  </si>
  <si>
    <r>
      <rPr>
        <sz val="12"/>
        <rFont val="宋体"/>
        <charset val="134"/>
      </rPr>
      <t>323</t>
    </r>
  </si>
  <si>
    <t>323喷火驼</t>
  </si>
  <si>
    <t>バクーダ</t>
  </si>
  <si>
    <t>Camerupt</t>
  </si>
  <si>
    <r>
      <rPr>
        <sz val="12"/>
        <rFont val="宋体"/>
        <charset val="134"/>
      </rPr>
      <t>324</t>
    </r>
  </si>
  <si>
    <t>324煤炭龟</t>
  </si>
  <si>
    <t>コータス</t>
  </si>
  <si>
    <t>Torkoal</t>
  </si>
  <si>
    <r>
      <rPr>
        <sz val="12"/>
        <rFont val="宋体"/>
        <charset val="134"/>
      </rPr>
      <t>325</t>
    </r>
  </si>
  <si>
    <t>325跳跳猪</t>
  </si>
  <si>
    <t>バネブー</t>
  </si>
  <si>
    <t>Spoink</t>
  </si>
  <si>
    <r>
      <rPr>
        <sz val="12"/>
        <rFont val="宋体"/>
        <charset val="134"/>
      </rPr>
      <t>326</t>
    </r>
  </si>
  <si>
    <t>326噗噗猪</t>
  </si>
  <si>
    <t>ブーピッグ</t>
  </si>
  <si>
    <t>Grumpig</t>
  </si>
  <si>
    <r>
      <rPr>
        <sz val="12"/>
        <rFont val="宋体"/>
        <charset val="134"/>
      </rPr>
      <t>327</t>
    </r>
  </si>
  <si>
    <t>327晃晃斑</t>
  </si>
  <si>
    <t>パッチール</t>
  </si>
  <si>
    <t>Spinda</t>
  </si>
  <si>
    <r>
      <rPr>
        <sz val="12"/>
        <rFont val="宋体"/>
        <charset val="134"/>
      </rPr>
      <t>328</t>
    </r>
  </si>
  <si>
    <t>328大颚蚁</t>
  </si>
  <si>
    <t>ナックラー</t>
  </si>
  <si>
    <t>Trapinch</t>
  </si>
  <si>
    <r>
      <rPr>
        <sz val="12"/>
        <rFont val="宋体"/>
        <charset val="134"/>
      </rPr>
      <t>329</t>
    </r>
  </si>
  <si>
    <t>329超音波幼虫</t>
  </si>
  <si>
    <t>ビブラーバ</t>
  </si>
  <si>
    <t>Vibrava</t>
  </si>
  <si>
    <r>
      <rPr>
        <sz val="12"/>
        <rFont val="宋体"/>
        <charset val="134"/>
      </rPr>
      <t>330</t>
    </r>
  </si>
  <si>
    <t>330沙漠蜻蜓</t>
  </si>
  <si>
    <t>フライゴン</t>
  </si>
  <si>
    <t>Flygon</t>
  </si>
  <si>
    <r>
      <rPr>
        <sz val="12"/>
        <rFont val="宋体"/>
        <charset val="134"/>
      </rPr>
      <t>331</t>
    </r>
  </si>
  <si>
    <t>331沙漠奈亚</t>
  </si>
  <si>
    <t>サボネア</t>
  </si>
  <si>
    <t>Cacnea</t>
  </si>
  <si>
    <r>
      <rPr>
        <sz val="12"/>
        <rFont val="宋体"/>
        <charset val="134"/>
      </rPr>
      <t>332</t>
    </r>
  </si>
  <si>
    <t>332梦歌奈亚</t>
  </si>
  <si>
    <t>ノクタス</t>
  </si>
  <si>
    <t>Cacturne</t>
  </si>
  <si>
    <r>
      <rPr>
        <sz val="12"/>
        <rFont val="宋体"/>
        <charset val="134"/>
      </rPr>
      <t>333</t>
    </r>
  </si>
  <si>
    <t>333青绵鸟</t>
  </si>
  <si>
    <t>チルット</t>
  </si>
  <si>
    <t>Swablu</t>
  </si>
  <si>
    <r>
      <rPr>
        <sz val="12"/>
        <rFont val="宋体"/>
        <charset val="134"/>
      </rPr>
      <t>334</t>
    </r>
  </si>
  <si>
    <t>334七夕青鸟</t>
  </si>
  <si>
    <t>チルタリス</t>
  </si>
  <si>
    <t>Altaria</t>
  </si>
  <si>
    <r>
      <rPr>
        <sz val="12"/>
        <rFont val="宋体"/>
        <charset val="134"/>
      </rPr>
      <t>335</t>
    </r>
  </si>
  <si>
    <t>335猫鼬斩</t>
  </si>
  <si>
    <t>ザングース</t>
  </si>
  <si>
    <t>Zangoose</t>
  </si>
  <si>
    <r>
      <rPr>
        <sz val="12"/>
        <rFont val="宋体"/>
        <charset val="134"/>
      </rPr>
      <t>336</t>
    </r>
  </si>
  <si>
    <t>336饭匙蛇</t>
  </si>
  <si>
    <t>ハブネーク</t>
  </si>
  <si>
    <t>Seviper</t>
  </si>
  <si>
    <r>
      <rPr>
        <sz val="12"/>
        <rFont val="宋体"/>
        <charset val="134"/>
      </rPr>
      <t>337</t>
    </r>
  </si>
  <si>
    <t>337月石</t>
  </si>
  <si>
    <t>ルナトーン</t>
  </si>
  <si>
    <t>Lunatone</t>
  </si>
  <si>
    <r>
      <rPr>
        <sz val="12"/>
        <rFont val="宋体"/>
        <charset val="134"/>
      </rPr>
      <t>338</t>
    </r>
  </si>
  <si>
    <t>338太阳岩</t>
  </si>
  <si>
    <t>ソルロック</t>
  </si>
  <si>
    <t>Solrock</t>
  </si>
  <si>
    <r>
      <rPr>
        <sz val="12"/>
        <rFont val="宋体"/>
        <charset val="134"/>
      </rPr>
      <t>339</t>
    </r>
  </si>
  <si>
    <t>339泥泥鳅</t>
  </si>
  <si>
    <t>ドジョッチ</t>
  </si>
  <si>
    <t>Barboach</t>
  </si>
  <si>
    <r>
      <rPr>
        <sz val="12"/>
        <rFont val="宋体"/>
        <charset val="134"/>
      </rPr>
      <t>340</t>
    </r>
  </si>
  <si>
    <t>340鲶鱼王</t>
  </si>
  <si>
    <t>ナマズン</t>
  </si>
  <si>
    <t>Whiscash</t>
  </si>
  <si>
    <r>
      <rPr>
        <sz val="12"/>
        <rFont val="宋体"/>
        <charset val="134"/>
      </rPr>
      <t>341</t>
    </r>
  </si>
  <si>
    <t>341龙虾小兵</t>
  </si>
  <si>
    <t>ヘイガニ</t>
  </si>
  <si>
    <t>Corphish</t>
  </si>
  <si>
    <r>
      <rPr>
        <sz val="12"/>
        <rFont val="宋体"/>
        <charset val="134"/>
      </rPr>
      <t>342</t>
    </r>
  </si>
  <si>
    <t>342铁螯龙虾</t>
  </si>
  <si>
    <t>シザリガー</t>
  </si>
  <si>
    <t>Crawdaunt</t>
  </si>
  <si>
    <r>
      <rPr>
        <sz val="12"/>
        <rFont val="宋体"/>
        <charset val="134"/>
      </rPr>
      <t>343</t>
    </r>
  </si>
  <si>
    <t>343天秤偶</t>
  </si>
  <si>
    <t>ヤジロン</t>
  </si>
  <si>
    <t>Baltoy</t>
  </si>
  <si>
    <r>
      <rPr>
        <sz val="12"/>
        <rFont val="宋体"/>
        <charset val="134"/>
      </rPr>
      <t>344</t>
    </r>
  </si>
  <si>
    <t>344念力土偶</t>
  </si>
  <si>
    <t>ネンドール</t>
  </si>
  <si>
    <t>Claydol</t>
  </si>
  <si>
    <r>
      <rPr>
        <sz val="12"/>
        <rFont val="宋体"/>
        <charset val="134"/>
      </rPr>
      <t>345</t>
    </r>
  </si>
  <si>
    <t>345触手百合</t>
  </si>
  <si>
    <t>リリーラ</t>
  </si>
  <si>
    <t>Lileep</t>
  </si>
  <si>
    <r>
      <rPr>
        <sz val="12"/>
        <rFont val="宋体"/>
        <charset val="134"/>
      </rPr>
      <t>346</t>
    </r>
  </si>
  <si>
    <t>346摇篮百合</t>
  </si>
  <si>
    <t>ユレイドル</t>
  </si>
  <si>
    <t>Cradily</t>
  </si>
  <si>
    <r>
      <rPr>
        <sz val="12"/>
        <rFont val="宋体"/>
        <charset val="134"/>
      </rPr>
      <t>347</t>
    </r>
  </si>
  <si>
    <t>347太古羽虫</t>
  </si>
  <si>
    <t>アノプス</t>
  </si>
  <si>
    <t>Anorith</t>
  </si>
  <si>
    <r>
      <rPr>
        <sz val="12"/>
        <rFont val="宋体"/>
        <charset val="134"/>
      </rPr>
      <t>348</t>
    </r>
  </si>
  <si>
    <t>348太古盔甲</t>
  </si>
  <si>
    <t>アーマルド</t>
  </si>
  <si>
    <t>Armaldo</t>
  </si>
  <si>
    <r>
      <rPr>
        <sz val="12"/>
        <rFont val="宋体"/>
        <charset val="134"/>
      </rPr>
      <t>349</t>
    </r>
  </si>
  <si>
    <t>349笨笨鱼</t>
  </si>
  <si>
    <t>ヒンバス</t>
  </si>
  <si>
    <t>Feebas</t>
  </si>
  <si>
    <r>
      <rPr>
        <sz val="12"/>
        <rFont val="宋体"/>
        <charset val="134"/>
      </rPr>
      <t>350</t>
    </r>
  </si>
  <si>
    <t>350美纳斯</t>
  </si>
  <si>
    <t>ミロカロス</t>
  </si>
  <si>
    <t>Milotic</t>
  </si>
  <si>
    <r>
      <rPr>
        <sz val="12"/>
        <rFont val="宋体"/>
        <charset val="134"/>
      </rPr>
      <t>351</t>
    </r>
  </si>
  <si>
    <t>351漂浮泡泡</t>
  </si>
  <si>
    <t>ポワルン</t>
  </si>
  <si>
    <t>Castform</t>
  </si>
  <si>
    <r>
      <rPr>
        <sz val="12"/>
        <rFont val="宋体"/>
        <charset val="134"/>
      </rPr>
      <t>352</t>
    </r>
  </si>
  <si>
    <t>352变隐龙</t>
  </si>
  <si>
    <t>カクレオン</t>
  </si>
  <si>
    <t>Kecleon</t>
  </si>
  <si>
    <r>
      <rPr>
        <sz val="12"/>
        <rFont val="宋体"/>
        <charset val="134"/>
      </rPr>
      <t>353</t>
    </r>
  </si>
  <si>
    <t>353怨影娃娃</t>
  </si>
  <si>
    <t>カゲボウズ</t>
  </si>
  <si>
    <t>Shuppet</t>
  </si>
  <si>
    <r>
      <rPr>
        <sz val="12"/>
        <rFont val="宋体"/>
        <charset val="134"/>
      </rPr>
      <t>354</t>
    </r>
  </si>
  <si>
    <t>354诅咒娃娃</t>
  </si>
  <si>
    <t>ジュペッタ</t>
  </si>
  <si>
    <t>Banette</t>
  </si>
  <si>
    <r>
      <rPr>
        <sz val="12"/>
        <rFont val="宋体"/>
        <charset val="134"/>
      </rPr>
      <t>355</t>
    </r>
  </si>
  <si>
    <t>355夜骷颅</t>
  </si>
  <si>
    <t>ヨマワル</t>
  </si>
  <si>
    <t>Duskull</t>
  </si>
  <si>
    <r>
      <rPr>
        <sz val="12"/>
        <rFont val="宋体"/>
        <charset val="134"/>
      </rPr>
      <t>356</t>
    </r>
  </si>
  <si>
    <t>356夜巨人</t>
  </si>
  <si>
    <t>サマヨール</t>
  </si>
  <si>
    <t>Dusclops</t>
  </si>
  <si>
    <r>
      <rPr>
        <sz val="12"/>
        <rFont val="宋体"/>
        <charset val="134"/>
      </rPr>
      <t>357</t>
    </r>
  </si>
  <si>
    <t>357热带龙</t>
  </si>
  <si>
    <t>トロピウス</t>
  </si>
  <si>
    <t>Tropius</t>
  </si>
  <si>
    <r>
      <rPr>
        <sz val="12"/>
        <rFont val="宋体"/>
        <charset val="134"/>
      </rPr>
      <t>358</t>
    </r>
  </si>
  <si>
    <t>358风铃铃</t>
  </si>
  <si>
    <t>チリーン</t>
  </si>
  <si>
    <t>Chimecho</t>
  </si>
  <si>
    <r>
      <rPr>
        <sz val="12"/>
        <rFont val="宋体"/>
        <charset val="134"/>
      </rPr>
      <t>359</t>
    </r>
  </si>
  <si>
    <t>359阿勃梭鲁</t>
  </si>
  <si>
    <t>アブソル</t>
  </si>
  <si>
    <t>Absol</t>
  </si>
  <si>
    <r>
      <rPr>
        <sz val="12"/>
        <rFont val="宋体"/>
        <charset val="134"/>
      </rPr>
      <t>360</t>
    </r>
  </si>
  <si>
    <t>360小果然</t>
  </si>
  <si>
    <t>ソーナノ</t>
  </si>
  <si>
    <t>Wynaut</t>
  </si>
  <si>
    <r>
      <rPr>
        <sz val="12"/>
        <rFont val="宋体"/>
        <charset val="134"/>
      </rPr>
      <t>361</t>
    </r>
  </si>
  <si>
    <t>361雪童子</t>
  </si>
  <si>
    <t>ユキワラシ</t>
  </si>
  <si>
    <t>Snorunt</t>
  </si>
  <si>
    <r>
      <rPr>
        <sz val="12"/>
        <rFont val="宋体"/>
        <charset val="134"/>
      </rPr>
      <t>362</t>
    </r>
  </si>
  <si>
    <t>362冰鬼护</t>
  </si>
  <si>
    <t>オニゴーリ</t>
  </si>
  <si>
    <t>Glalie</t>
  </si>
  <si>
    <r>
      <rPr>
        <sz val="12"/>
        <rFont val="宋体"/>
        <charset val="134"/>
      </rPr>
      <t>363</t>
    </r>
  </si>
  <si>
    <t>363海豹球</t>
  </si>
  <si>
    <t>タマザラシ</t>
  </si>
  <si>
    <t>Spheal</t>
  </si>
  <si>
    <r>
      <rPr>
        <sz val="12"/>
        <rFont val="宋体"/>
        <charset val="134"/>
      </rPr>
      <t>364</t>
    </r>
  </si>
  <si>
    <t>364海魔狮</t>
  </si>
  <si>
    <t>トドグラー</t>
  </si>
  <si>
    <t>Sealeo</t>
  </si>
  <si>
    <r>
      <rPr>
        <sz val="12"/>
        <rFont val="宋体"/>
        <charset val="134"/>
      </rPr>
      <t>365</t>
    </r>
  </si>
  <si>
    <t>365帝牙海狮</t>
  </si>
  <si>
    <t>トドゼルガ</t>
  </si>
  <si>
    <t>Walrein</t>
  </si>
  <si>
    <r>
      <rPr>
        <sz val="12"/>
        <rFont val="宋体"/>
        <charset val="134"/>
      </rPr>
      <t>366</t>
    </r>
  </si>
  <si>
    <t>366珍珠贝</t>
  </si>
  <si>
    <t>パールル</t>
  </si>
  <si>
    <t>Clamperl</t>
  </si>
  <si>
    <r>
      <rPr>
        <sz val="12"/>
        <rFont val="宋体"/>
        <charset val="134"/>
      </rPr>
      <t>367</t>
    </r>
  </si>
  <si>
    <t>367猎斑鱼</t>
  </si>
  <si>
    <t>ハンテール</t>
  </si>
  <si>
    <t>Huntail</t>
  </si>
  <si>
    <r>
      <rPr>
        <sz val="12"/>
        <rFont val="宋体"/>
        <charset val="134"/>
      </rPr>
      <t>368</t>
    </r>
  </si>
  <si>
    <t>368樱花鱼</t>
  </si>
  <si>
    <t>サクラビス</t>
  </si>
  <si>
    <t>Gorebyss</t>
  </si>
  <si>
    <r>
      <rPr>
        <sz val="12"/>
        <rFont val="宋体"/>
        <charset val="134"/>
      </rPr>
      <t>369</t>
    </r>
  </si>
  <si>
    <t>369古空棘鱼</t>
  </si>
  <si>
    <t>ジーランス</t>
  </si>
  <si>
    <t>Relicanth</t>
  </si>
  <si>
    <r>
      <rPr>
        <sz val="12"/>
        <rFont val="宋体"/>
        <charset val="134"/>
      </rPr>
      <t>370</t>
    </r>
  </si>
  <si>
    <t>370爱心鱼</t>
  </si>
  <si>
    <t>ラブカス</t>
  </si>
  <si>
    <t>Luvdisc</t>
  </si>
  <si>
    <r>
      <rPr>
        <sz val="12"/>
        <rFont val="宋体"/>
        <charset val="134"/>
      </rPr>
      <t>371</t>
    </r>
  </si>
  <si>
    <t>371宝贝龙</t>
  </si>
  <si>
    <t>タツベイ</t>
  </si>
  <si>
    <t>Bagon</t>
  </si>
  <si>
    <r>
      <rPr>
        <sz val="12"/>
        <rFont val="宋体"/>
        <charset val="134"/>
      </rPr>
      <t>372</t>
    </r>
  </si>
  <si>
    <t>372甲壳龙</t>
  </si>
  <si>
    <t>コモルー</t>
  </si>
  <si>
    <t>Shelgon</t>
  </si>
  <si>
    <r>
      <rPr>
        <sz val="12"/>
        <rFont val="宋体"/>
        <charset val="134"/>
      </rPr>
      <t>373</t>
    </r>
  </si>
  <si>
    <t>373暴蝾螈</t>
  </si>
  <si>
    <t>ボーマンダ</t>
  </si>
  <si>
    <t>Salamence</t>
  </si>
  <si>
    <r>
      <rPr>
        <sz val="12"/>
        <rFont val="宋体"/>
        <charset val="134"/>
      </rPr>
      <t>374</t>
    </r>
  </si>
  <si>
    <t>374铁哑铃</t>
  </si>
  <si>
    <t>ダンバル</t>
  </si>
  <si>
    <t>Beldum</t>
  </si>
  <si>
    <r>
      <rPr>
        <sz val="12"/>
        <rFont val="宋体"/>
        <charset val="134"/>
      </rPr>
      <t>375</t>
    </r>
  </si>
  <si>
    <t>375金属怪</t>
  </si>
  <si>
    <t>メタング</t>
  </si>
  <si>
    <t>Metang</t>
  </si>
  <si>
    <r>
      <rPr>
        <sz val="12"/>
        <rFont val="宋体"/>
        <charset val="134"/>
      </rPr>
      <t>376</t>
    </r>
  </si>
  <si>
    <t>376巨金怪</t>
  </si>
  <si>
    <t>メタグロス</t>
  </si>
  <si>
    <t>Metagross</t>
  </si>
  <si>
    <r>
      <rPr>
        <sz val="12"/>
        <rFont val="宋体"/>
        <charset val="134"/>
      </rPr>
      <t>377</t>
    </r>
  </si>
  <si>
    <t>377雷吉洛克</t>
  </si>
  <si>
    <t>レジロック</t>
  </si>
  <si>
    <t>Regirock</t>
  </si>
  <si>
    <r>
      <rPr>
        <sz val="12"/>
        <rFont val="宋体"/>
        <charset val="134"/>
      </rPr>
      <t>378</t>
    </r>
  </si>
  <si>
    <t>378雷吉艾斯</t>
  </si>
  <si>
    <t>レジアイス</t>
  </si>
  <si>
    <t>Regice</t>
  </si>
  <si>
    <r>
      <rPr>
        <sz val="12"/>
        <rFont val="宋体"/>
        <charset val="134"/>
      </rPr>
      <t>379</t>
    </r>
  </si>
  <si>
    <t>379雷吉斯奇鲁</t>
  </si>
  <si>
    <t>レジスチル</t>
  </si>
  <si>
    <t>Registeel</t>
  </si>
  <si>
    <r>
      <rPr>
        <sz val="12"/>
        <rFont val="宋体"/>
        <charset val="134"/>
      </rPr>
      <t>380</t>
    </r>
  </si>
  <si>
    <t>380拉帝亚斯</t>
  </si>
  <si>
    <t>ラティアス</t>
  </si>
  <si>
    <t>Latias</t>
  </si>
  <si>
    <r>
      <rPr>
        <sz val="12"/>
        <rFont val="宋体"/>
        <charset val="134"/>
      </rPr>
      <t>381</t>
    </r>
  </si>
  <si>
    <t>381拉帝欧斯</t>
  </si>
  <si>
    <t>ラティオス</t>
  </si>
  <si>
    <t>Latios</t>
  </si>
  <si>
    <r>
      <rPr>
        <sz val="12"/>
        <rFont val="宋体"/>
        <charset val="134"/>
      </rPr>
      <t>382</t>
    </r>
  </si>
  <si>
    <t>382盖欧卡</t>
  </si>
  <si>
    <t>カイオーガ</t>
  </si>
  <si>
    <t>Kyogre</t>
  </si>
  <si>
    <r>
      <rPr>
        <sz val="12"/>
        <rFont val="宋体"/>
        <charset val="134"/>
      </rPr>
      <t>383</t>
    </r>
  </si>
  <si>
    <t>383固拉多</t>
  </si>
  <si>
    <t>グラードン</t>
  </si>
  <si>
    <t>Groudon</t>
  </si>
  <si>
    <r>
      <rPr>
        <sz val="12"/>
        <rFont val="宋体"/>
        <charset val="134"/>
      </rPr>
      <t>384</t>
    </r>
  </si>
  <si>
    <t>384烈空坐</t>
  </si>
  <si>
    <t>レックウザ</t>
  </si>
  <si>
    <t>Rayquaza</t>
  </si>
  <si>
    <r>
      <rPr>
        <sz val="12"/>
        <rFont val="宋体"/>
        <charset val="134"/>
      </rPr>
      <t>385</t>
    </r>
  </si>
  <si>
    <t>385基拉祈</t>
  </si>
  <si>
    <t>ジラーチ</t>
  </si>
  <si>
    <t>Jirachi</t>
  </si>
  <si>
    <r>
      <rPr>
        <sz val="12"/>
        <rFont val="宋体"/>
        <charset val="134"/>
      </rPr>
      <t>386</t>
    </r>
  </si>
  <si>
    <t>386代欧奇希斯</t>
  </si>
  <si>
    <t>デオキシス</t>
  </si>
  <si>
    <t>Deoxys</t>
  </si>
  <si>
    <r>
      <rPr>
        <sz val="12"/>
        <rFont val="宋体"/>
        <charset val="134"/>
      </rPr>
      <t>387</t>
    </r>
  </si>
  <si>
    <t>387草苗龟</t>
  </si>
  <si>
    <t>ナエトル</t>
  </si>
  <si>
    <t>Turtwig</t>
  </si>
  <si>
    <r>
      <rPr>
        <sz val="12"/>
        <rFont val="宋体"/>
        <charset val="134"/>
      </rPr>
      <t>388</t>
    </r>
  </si>
  <si>
    <t>388树林龟</t>
  </si>
  <si>
    <t>ハヤシガメ</t>
  </si>
  <si>
    <t>Grotle</t>
  </si>
  <si>
    <r>
      <rPr>
        <sz val="12"/>
        <rFont val="宋体"/>
        <charset val="134"/>
      </rPr>
      <t>389</t>
    </r>
  </si>
  <si>
    <t>389土台龟</t>
  </si>
  <si>
    <t>ドダイトス</t>
  </si>
  <si>
    <t>Torterra</t>
  </si>
  <si>
    <r>
      <rPr>
        <sz val="12"/>
        <rFont val="宋体"/>
        <charset val="134"/>
      </rPr>
      <t>390</t>
    </r>
  </si>
  <si>
    <t>390小火焰猴</t>
  </si>
  <si>
    <t>ヒコザル</t>
  </si>
  <si>
    <t>Chimchar</t>
  </si>
  <si>
    <r>
      <rPr>
        <sz val="12"/>
        <rFont val="宋体"/>
        <charset val="134"/>
      </rPr>
      <t>391</t>
    </r>
  </si>
  <si>
    <t>391猛火猴</t>
  </si>
  <si>
    <t>モウカザル</t>
  </si>
  <si>
    <t>Monferno</t>
  </si>
  <si>
    <r>
      <rPr>
        <sz val="12"/>
        <rFont val="宋体"/>
        <charset val="134"/>
      </rPr>
      <t>392</t>
    </r>
  </si>
  <si>
    <t>392烈焰猴</t>
  </si>
  <si>
    <t>ゴウカザル</t>
  </si>
  <si>
    <t>Infernape</t>
  </si>
  <si>
    <r>
      <rPr>
        <sz val="12"/>
        <rFont val="宋体"/>
        <charset val="134"/>
      </rPr>
      <t>393</t>
    </r>
  </si>
  <si>
    <t>393波加曼</t>
  </si>
  <si>
    <t>ポッチャマ</t>
  </si>
  <si>
    <t>Piplup</t>
  </si>
  <si>
    <r>
      <rPr>
        <sz val="12"/>
        <rFont val="宋体"/>
        <charset val="134"/>
      </rPr>
      <t>394</t>
    </r>
  </si>
  <si>
    <t>394波皇子</t>
  </si>
  <si>
    <t>ポッタイシ</t>
  </si>
  <si>
    <t>Prinplup</t>
  </si>
  <si>
    <r>
      <rPr>
        <sz val="12"/>
        <rFont val="宋体"/>
        <charset val="134"/>
      </rPr>
      <t>395</t>
    </r>
  </si>
  <si>
    <t>395帝王拿波</t>
  </si>
  <si>
    <t>エンペルト</t>
  </si>
  <si>
    <t>Empoleon</t>
  </si>
  <si>
    <r>
      <rPr>
        <sz val="12"/>
        <rFont val="宋体"/>
        <charset val="134"/>
      </rPr>
      <t>396</t>
    </r>
  </si>
  <si>
    <t>396姆克儿</t>
  </si>
  <si>
    <t>ムックル</t>
  </si>
  <si>
    <t>Starly</t>
  </si>
  <si>
    <r>
      <rPr>
        <sz val="12"/>
        <rFont val="宋体"/>
        <charset val="134"/>
      </rPr>
      <t>397</t>
    </r>
  </si>
  <si>
    <t>397姆克鸟</t>
  </si>
  <si>
    <t>ムクバード</t>
  </si>
  <si>
    <t>Staravia</t>
  </si>
  <si>
    <r>
      <rPr>
        <sz val="12"/>
        <rFont val="宋体"/>
        <charset val="134"/>
      </rPr>
      <t>398</t>
    </r>
  </si>
  <si>
    <t>398姆克鹰</t>
  </si>
  <si>
    <t>ムクホーク</t>
  </si>
  <si>
    <t>Staraptor</t>
  </si>
  <si>
    <r>
      <rPr>
        <sz val="12"/>
        <rFont val="宋体"/>
        <charset val="134"/>
      </rPr>
      <t>399</t>
    </r>
  </si>
  <si>
    <t>399大牙狸</t>
  </si>
  <si>
    <t>ビッパ</t>
  </si>
  <si>
    <t>Bidoof</t>
  </si>
  <si>
    <r>
      <rPr>
        <sz val="12"/>
        <rFont val="宋体"/>
        <charset val="134"/>
      </rPr>
      <t>400</t>
    </r>
  </si>
  <si>
    <t>400大尾狸</t>
  </si>
  <si>
    <t>ビーダル</t>
  </si>
  <si>
    <t>Bibarel</t>
  </si>
  <si>
    <r>
      <rPr>
        <sz val="12"/>
        <rFont val="宋体"/>
        <charset val="134"/>
      </rPr>
      <t>401</t>
    </r>
  </si>
  <si>
    <t>401圆法师</t>
  </si>
  <si>
    <t>コロボーシ</t>
  </si>
  <si>
    <t>Kricketot</t>
  </si>
  <si>
    <r>
      <rPr>
        <sz val="12"/>
        <rFont val="宋体"/>
        <charset val="134"/>
      </rPr>
      <t>402</t>
    </r>
  </si>
  <si>
    <t>402音箱蟀</t>
  </si>
  <si>
    <t>コロトック</t>
  </si>
  <si>
    <t>Kricketune</t>
  </si>
  <si>
    <r>
      <rPr>
        <sz val="12"/>
        <rFont val="宋体"/>
        <charset val="134"/>
      </rPr>
      <t>403</t>
    </r>
  </si>
  <si>
    <t>403小猫怪</t>
  </si>
  <si>
    <t>コリンク</t>
  </si>
  <si>
    <t>Shinx</t>
  </si>
  <si>
    <r>
      <rPr>
        <sz val="12"/>
        <rFont val="宋体"/>
        <charset val="134"/>
      </rPr>
      <t>404</t>
    </r>
  </si>
  <si>
    <t>404勒克猫</t>
  </si>
  <si>
    <t>ルクシオ</t>
  </si>
  <si>
    <t>Luxio</t>
  </si>
  <si>
    <r>
      <rPr>
        <sz val="12"/>
        <rFont val="宋体"/>
        <charset val="134"/>
      </rPr>
      <t>405</t>
    </r>
  </si>
  <si>
    <t>405伦琴猫</t>
  </si>
  <si>
    <t>レントラー</t>
  </si>
  <si>
    <t>Luxray</t>
  </si>
  <si>
    <r>
      <rPr>
        <sz val="12"/>
        <rFont val="宋体"/>
        <charset val="134"/>
      </rPr>
      <t>406</t>
    </r>
  </si>
  <si>
    <t>406含羞苞</t>
  </si>
  <si>
    <t>スボミー</t>
  </si>
  <si>
    <t>Budew</t>
  </si>
  <si>
    <r>
      <rPr>
        <sz val="12"/>
        <rFont val="宋体"/>
        <charset val="134"/>
      </rPr>
      <t>407</t>
    </r>
  </si>
  <si>
    <t>407罗丝雷朵</t>
  </si>
  <si>
    <t>ロズレイド</t>
  </si>
  <si>
    <t>Roserade</t>
  </si>
  <si>
    <r>
      <rPr>
        <sz val="12"/>
        <rFont val="宋体"/>
        <charset val="134"/>
      </rPr>
      <t>408</t>
    </r>
  </si>
  <si>
    <t>408头盖龙</t>
  </si>
  <si>
    <t>ズガイドス</t>
  </si>
  <si>
    <t>Cranidos</t>
  </si>
  <si>
    <r>
      <rPr>
        <sz val="12"/>
        <rFont val="宋体"/>
        <charset val="134"/>
      </rPr>
      <t>409</t>
    </r>
  </si>
  <si>
    <t>409战槌龙</t>
  </si>
  <si>
    <t>ラムパルド</t>
  </si>
  <si>
    <t>Rampardos</t>
  </si>
  <si>
    <r>
      <rPr>
        <sz val="12"/>
        <rFont val="宋体"/>
        <charset val="134"/>
      </rPr>
      <t>410</t>
    </r>
  </si>
  <si>
    <t>410盾甲龙</t>
  </si>
  <si>
    <t>タテトプス</t>
  </si>
  <si>
    <t>Shieldon</t>
  </si>
  <si>
    <r>
      <rPr>
        <sz val="12"/>
        <rFont val="宋体"/>
        <charset val="134"/>
      </rPr>
      <t>411</t>
    </r>
  </si>
  <si>
    <t>411护城龙</t>
  </si>
  <si>
    <t>トリデプス</t>
  </si>
  <si>
    <t>Bastiodon</t>
  </si>
  <si>
    <r>
      <rPr>
        <sz val="12"/>
        <rFont val="宋体"/>
        <charset val="134"/>
      </rPr>
      <t>412</t>
    </r>
  </si>
  <si>
    <t>412结草儿</t>
  </si>
  <si>
    <t>ミノムッチ</t>
  </si>
  <si>
    <t>Burmy</t>
  </si>
  <si>
    <r>
      <rPr>
        <sz val="12"/>
        <rFont val="宋体"/>
        <charset val="134"/>
      </rPr>
      <t>413</t>
    </r>
  </si>
  <si>
    <t>413结草贵妇</t>
  </si>
  <si>
    <t>ミノマダム</t>
  </si>
  <si>
    <t>Wormadam</t>
  </si>
  <si>
    <r>
      <rPr>
        <sz val="12"/>
        <rFont val="宋体"/>
        <charset val="134"/>
      </rPr>
      <t>414</t>
    </r>
  </si>
  <si>
    <t>414绅士蛾</t>
  </si>
  <si>
    <t>ガーメイル</t>
  </si>
  <si>
    <t>Mothim</t>
  </si>
  <si>
    <r>
      <rPr>
        <sz val="12"/>
        <rFont val="宋体"/>
        <charset val="134"/>
      </rPr>
      <t>415</t>
    </r>
  </si>
  <si>
    <t>415三蜜蜂</t>
  </si>
  <si>
    <t>ミツハニー</t>
  </si>
  <si>
    <t>Combee</t>
  </si>
  <si>
    <r>
      <rPr>
        <sz val="12"/>
        <rFont val="宋体"/>
        <charset val="134"/>
      </rPr>
      <t>416</t>
    </r>
  </si>
  <si>
    <t>416蜂后</t>
  </si>
  <si>
    <t>ビークイン</t>
  </si>
  <si>
    <t>Vespiquen</t>
  </si>
  <si>
    <r>
      <rPr>
        <sz val="12"/>
        <rFont val="宋体"/>
        <charset val="134"/>
      </rPr>
      <t>417</t>
    </r>
  </si>
  <si>
    <t>417帕奇利兹</t>
  </si>
  <si>
    <t>パチリス</t>
  </si>
  <si>
    <t>Pachirisu</t>
  </si>
  <si>
    <r>
      <rPr>
        <sz val="12"/>
        <rFont val="宋体"/>
        <charset val="134"/>
      </rPr>
      <t>418</t>
    </r>
  </si>
  <si>
    <t>418泳气鼬</t>
  </si>
  <si>
    <t>ブイゼル</t>
  </si>
  <si>
    <t>Buizel</t>
  </si>
  <si>
    <r>
      <rPr>
        <sz val="12"/>
        <rFont val="宋体"/>
        <charset val="134"/>
      </rPr>
      <t>419</t>
    </r>
  </si>
  <si>
    <t>419浮潜鼬</t>
  </si>
  <si>
    <t>フローゼル</t>
  </si>
  <si>
    <t>Floatzel</t>
  </si>
  <si>
    <r>
      <rPr>
        <sz val="12"/>
        <rFont val="宋体"/>
        <charset val="134"/>
      </rPr>
      <t>420</t>
    </r>
  </si>
  <si>
    <t>420樱花宝</t>
  </si>
  <si>
    <t>チェリンボ</t>
  </si>
  <si>
    <t>Cherubi</t>
  </si>
  <si>
    <r>
      <rPr>
        <sz val="12"/>
        <rFont val="宋体"/>
        <charset val="134"/>
      </rPr>
      <t>421</t>
    </r>
  </si>
  <si>
    <t>421樱花儿</t>
  </si>
  <si>
    <t>チェリム</t>
  </si>
  <si>
    <t>Cherrim</t>
  </si>
  <si>
    <r>
      <rPr>
        <sz val="12"/>
        <rFont val="宋体"/>
        <charset val="134"/>
      </rPr>
      <t>422</t>
    </r>
  </si>
  <si>
    <t>422无壳海牛</t>
  </si>
  <si>
    <t>カラナクシ</t>
  </si>
  <si>
    <t>Shellos</t>
  </si>
  <si>
    <r>
      <rPr>
        <sz val="12"/>
        <rFont val="宋体"/>
        <charset val="134"/>
      </rPr>
      <t>423</t>
    </r>
  </si>
  <si>
    <t>423海牛兽</t>
  </si>
  <si>
    <t>トリトドン</t>
  </si>
  <si>
    <t>Gastrodon</t>
  </si>
  <si>
    <r>
      <rPr>
        <sz val="12"/>
        <rFont val="宋体"/>
        <charset val="134"/>
      </rPr>
      <t>424</t>
    </r>
  </si>
  <si>
    <t>424双尾怪手</t>
  </si>
  <si>
    <t>エテボース</t>
  </si>
  <si>
    <t>Ambipom</t>
  </si>
  <si>
    <r>
      <rPr>
        <sz val="12"/>
        <rFont val="宋体"/>
        <charset val="134"/>
      </rPr>
      <t>425</t>
    </r>
  </si>
  <si>
    <t>425飘飘球</t>
  </si>
  <si>
    <t>フワンテ</t>
  </si>
  <si>
    <t>Drifloon</t>
  </si>
  <si>
    <r>
      <rPr>
        <sz val="12"/>
        <rFont val="宋体"/>
        <charset val="134"/>
      </rPr>
      <t>426</t>
    </r>
  </si>
  <si>
    <t>426附和气球</t>
  </si>
  <si>
    <t>フワライド</t>
  </si>
  <si>
    <t>Drifblim</t>
  </si>
  <si>
    <r>
      <rPr>
        <sz val="12"/>
        <rFont val="宋体"/>
        <charset val="134"/>
      </rPr>
      <t>427</t>
    </r>
  </si>
  <si>
    <t>427卷卷耳</t>
  </si>
  <si>
    <t>ミミロル</t>
  </si>
  <si>
    <t>Buneary</t>
  </si>
  <si>
    <r>
      <rPr>
        <sz val="12"/>
        <rFont val="宋体"/>
        <charset val="134"/>
      </rPr>
      <t>428</t>
    </r>
  </si>
  <si>
    <t>428长耳兔</t>
  </si>
  <si>
    <t>ミミロップ</t>
  </si>
  <si>
    <t>Lopunny</t>
  </si>
  <si>
    <r>
      <rPr>
        <sz val="12"/>
        <rFont val="宋体"/>
        <charset val="134"/>
      </rPr>
      <t>429</t>
    </r>
  </si>
  <si>
    <t>429梦妖魔</t>
  </si>
  <si>
    <t>ムウマージ</t>
  </si>
  <si>
    <t>Mismagius</t>
  </si>
  <si>
    <r>
      <rPr>
        <sz val="12"/>
        <rFont val="宋体"/>
        <charset val="134"/>
      </rPr>
      <t>430</t>
    </r>
  </si>
  <si>
    <t>430乌鸦头头</t>
  </si>
  <si>
    <t>ドンカラス</t>
  </si>
  <si>
    <t>Honchkrow</t>
  </si>
  <si>
    <r>
      <rPr>
        <sz val="12"/>
        <rFont val="宋体"/>
        <charset val="134"/>
      </rPr>
      <t>431</t>
    </r>
  </si>
  <si>
    <t>431魅力喵</t>
  </si>
  <si>
    <t>ニャルマー</t>
  </si>
  <si>
    <t>Glameow</t>
  </si>
  <si>
    <r>
      <rPr>
        <sz val="12"/>
        <rFont val="宋体"/>
        <charset val="134"/>
      </rPr>
      <t>432</t>
    </r>
  </si>
  <si>
    <t>432东施喵</t>
  </si>
  <si>
    <t>ブニャット</t>
  </si>
  <si>
    <t>Purugly</t>
  </si>
  <si>
    <r>
      <rPr>
        <sz val="12"/>
        <rFont val="宋体"/>
        <charset val="134"/>
      </rPr>
      <t>433</t>
    </r>
  </si>
  <si>
    <t>433铃铛响</t>
  </si>
  <si>
    <t>リーシャン</t>
  </si>
  <si>
    <t>Chingling</t>
  </si>
  <si>
    <r>
      <rPr>
        <sz val="12"/>
        <rFont val="宋体"/>
        <charset val="134"/>
      </rPr>
      <t>434</t>
    </r>
  </si>
  <si>
    <t>434臭鼬噗</t>
  </si>
  <si>
    <t>スカンプー</t>
  </si>
  <si>
    <t>Stunky</t>
  </si>
  <si>
    <r>
      <rPr>
        <sz val="12"/>
        <rFont val="宋体"/>
        <charset val="134"/>
      </rPr>
      <t>435</t>
    </r>
  </si>
  <si>
    <t>435坦克臭鼬</t>
  </si>
  <si>
    <t>スカタンク</t>
  </si>
  <si>
    <t>Skuntank</t>
  </si>
  <si>
    <r>
      <rPr>
        <sz val="12"/>
        <rFont val="宋体"/>
        <charset val="134"/>
      </rPr>
      <t>436</t>
    </r>
  </si>
  <si>
    <t>436铜镜怪</t>
  </si>
  <si>
    <t>ドーミラー</t>
  </si>
  <si>
    <t>Bronzor</t>
  </si>
  <si>
    <r>
      <rPr>
        <sz val="12"/>
        <rFont val="宋体"/>
        <charset val="134"/>
      </rPr>
      <t>437</t>
    </r>
  </si>
  <si>
    <t>437青铜钟</t>
  </si>
  <si>
    <t>ドータクン</t>
  </si>
  <si>
    <t>Bronzong</t>
  </si>
  <si>
    <r>
      <rPr>
        <sz val="12"/>
        <rFont val="宋体"/>
        <charset val="134"/>
      </rPr>
      <t>438</t>
    </r>
  </si>
  <si>
    <t>438爱哭树</t>
  </si>
  <si>
    <t>ウソハチ</t>
  </si>
  <si>
    <t>Bonsly</t>
  </si>
  <si>
    <r>
      <rPr>
        <sz val="12"/>
        <rFont val="宋体"/>
        <charset val="134"/>
      </rPr>
      <t>439</t>
    </r>
  </si>
  <si>
    <t>439魔尼尼</t>
  </si>
  <si>
    <t>マネネ</t>
  </si>
  <si>
    <t>Mime Jr.</t>
  </si>
  <si>
    <r>
      <rPr>
        <sz val="12"/>
        <rFont val="宋体"/>
        <charset val="134"/>
      </rPr>
      <t>440</t>
    </r>
  </si>
  <si>
    <t>440好运蛋</t>
  </si>
  <si>
    <t>ピンプク</t>
  </si>
  <si>
    <t>Happiny</t>
  </si>
  <si>
    <r>
      <rPr>
        <sz val="12"/>
        <rFont val="宋体"/>
        <charset val="134"/>
      </rPr>
      <t>441</t>
    </r>
  </si>
  <si>
    <t>441聒噪鸟</t>
  </si>
  <si>
    <t>ペラップ</t>
  </si>
  <si>
    <t>Chatot</t>
  </si>
  <si>
    <r>
      <rPr>
        <sz val="12"/>
        <rFont val="宋体"/>
        <charset val="134"/>
      </rPr>
      <t>442</t>
    </r>
  </si>
  <si>
    <t>442花岩怪</t>
  </si>
  <si>
    <t>ミカルゲ</t>
  </si>
  <si>
    <t>Spiritomb</t>
  </si>
  <si>
    <r>
      <rPr>
        <sz val="12"/>
        <rFont val="宋体"/>
        <charset val="134"/>
      </rPr>
      <t>443</t>
    </r>
  </si>
  <si>
    <t>443圆陆鲨</t>
  </si>
  <si>
    <t>フカマル</t>
  </si>
  <si>
    <t>Gible</t>
  </si>
  <si>
    <r>
      <rPr>
        <sz val="12"/>
        <rFont val="宋体"/>
        <charset val="134"/>
      </rPr>
      <t>444</t>
    </r>
  </si>
  <si>
    <t>444尖牙陆鲨</t>
  </si>
  <si>
    <t>ガバイト</t>
  </si>
  <si>
    <t>Gabite</t>
  </si>
  <si>
    <r>
      <rPr>
        <sz val="12"/>
        <rFont val="宋体"/>
        <charset val="134"/>
      </rPr>
      <t>445</t>
    </r>
  </si>
  <si>
    <t>445烈咬陆鲨</t>
  </si>
  <si>
    <t>ガブリアス</t>
  </si>
  <si>
    <t>Garchomp</t>
  </si>
  <si>
    <r>
      <rPr>
        <sz val="12"/>
        <rFont val="宋体"/>
        <charset val="134"/>
      </rPr>
      <t>446</t>
    </r>
  </si>
  <si>
    <t>446小卡比兽</t>
  </si>
  <si>
    <t>ゴンベ</t>
  </si>
  <si>
    <t>Munchlax</t>
  </si>
  <si>
    <r>
      <rPr>
        <sz val="12"/>
        <rFont val="宋体"/>
        <charset val="134"/>
      </rPr>
      <t>447</t>
    </r>
  </si>
  <si>
    <t>447利欧路</t>
  </si>
  <si>
    <t>リオル</t>
  </si>
  <si>
    <t>Riolu</t>
  </si>
  <si>
    <r>
      <rPr>
        <sz val="12"/>
        <rFont val="宋体"/>
        <charset val="134"/>
      </rPr>
      <t>448</t>
    </r>
  </si>
  <si>
    <t>448路卡利欧</t>
  </si>
  <si>
    <t>ルカリオ</t>
  </si>
  <si>
    <t>Lucario</t>
  </si>
  <si>
    <r>
      <rPr>
        <sz val="12"/>
        <rFont val="宋体"/>
        <charset val="134"/>
      </rPr>
      <t>449</t>
    </r>
  </si>
  <si>
    <t>449怪河马</t>
  </si>
  <si>
    <t>ヒポポタス</t>
  </si>
  <si>
    <t>Hippopotas</t>
  </si>
  <si>
    <r>
      <rPr>
        <sz val="12"/>
        <rFont val="宋体"/>
        <charset val="134"/>
      </rPr>
      <t>450</t>
    </r>
  </si>
  <si>
    <t>450河马兽</t>
  </si>
  <si>
    <t>カバルドン</t>
  </si>
  <si>
    <t>Hippowdon</t>
  </si>
  <si>
    <r>
      <rPr>
        <sz val="12"/>
        <rFont val="宋体"/>
        <charset val="134"/>
      </rPr>
      <t>451</t>
    </r>
  </si>
  <si>
    <t>451紫天蝎</t>
  </si>
  <si>
    <t>スコルピ</t>
  </si>
  <si>
    <t>Skorupi</t>
  </si>
  <si>
    <r>
      <rPr>
        <sz val="12"/>
        <rFont val="宋体"/>
        <charset val="134"/>
      </rPr>
      <t>452</t>
    </r>
  </si>
  <si>
    <t>452龙王蝎</t>
  </si>
  <si>
    <t>ドラピオン</t>
  </si>
  <si>
    <t>Drapion</t>
  </si>
  <si>
    <r>
      <rPr>
        <sz val="12"/>
        <rFont val="宋体"/>
        <charset val="134"/>
      </rPr>
      <t>453</t>
    </r>
  </si>
  <si>
    <t>453不良蛙</t>
  </si>
  <si>
    <t>グレッグル</t>
  </si>
  <si>
    <t>Croagunk</t>
  </si>
  <si>
    <r>
      <rPr>
        <sz val="12"/>
        <rFont val="宋体"/>
        <charset val="134"/>
      </rPr>
      <t>454</t>
    </r>
  </si>
  <si>
    <t>454毒骷蛙</t>
  </si>
  <si>
    <t>ドクロッグ</t>
  </si>
  <si>
    <t>Toxicroak</t>
  </si>
  <si>
    <r>
      <rPr>
        <sz val="12"/>
        <rFont val="宋体"/>
        <charset val="134"/>
      </rPr>
      <t>455</t>
    </r>
  </si>
  <si>
    <t>455尖牙笼</t>
  </si>
  <si>
    <t>マスキッパ</t>
  </si>
  <si>
    <t>Carnivine</t>
  </si>
  <si>
    <r>
      <rPr>
        <sz val="12"/>
        <rFont val="宋体"/>
        <charset val="134"/>
      </rPr>
      <t>456</t>
    </r>
  </si>
  <si>
    <t>456萤光鱼</t>
  </si>
  <si>
    <t>ケイコウオ</t>
  </si>
  <si>
    <t>Finneon</t>
  </si>
  <si>
    <r>
      <rPr>
        <sz val="12"/>
        <rFont val="宋体"/>
        <charset val="134"/>
      </rPr>
      <t>457</t>
    </r>
  </si>
  <si>
    <t>457霓虹鱼</t>
  </si>
  <si>
    <t>ネオラント</t>
  </si>
  <si>
    <t>Lumineon</t>
  </si>
  <si>
    <r>
      <rPr>
        <sz val="12"/>
        <rFont val="宋体"/>
        <charset val="134"/>
      </rPr>
      <t>458</t>
    </r>
  </si>
  <si>
    <t>458小球飞鱼</t>
  </si>
  <si>
    <t>タマンタ</t>
  </si>
  <si>
    <t>Mantyke</t>
  </si>
  <si>
    <r>
      <rPr>
        <sz val="12"/>
        <rFont val="宋体"/>
        <charset val="134"/>
      </rPr>
      <t>459</t>
    </r>
  </si>
  <si>
    <t>459雪笠怪</t>
  </si>
  <si>
    <t>ユキカブリ</t>
  </si>
  <si>
    <t>Snover</t>
  </si>
  <si>
    <r>
      <rPr>
        <sz val="12"/>
        <rFont val="宋体"/>
        <charset val="134"/>
      </rPr>
      <t>460</t>
    </r>
  </si>
  <si>
    <t>460暴雪王</t>
  </si>
  <si>
    <t>ユキノオー</t>
  </si>
  <si>
    <t>Abomasnow</t>
  </si>
  <si>
    <r>
      <rPr>
        <sz val="12"/>
        <rFont val="宋体"/>
        <charset val="134"/>
      </rPr>
      <t>461</t>
    </r>
  </si>
  <si>
    <t>461玛狃拉</t>
  </si>
  <si>
    <t>マニューラ</t>
  </si>
  <si>
    <t>Weavile</t>
  </si>
  <si>
    <r>
      <rPr>
        <sz val="12"/>
        <rFont val="宋体"/>
        <charset val="134"/>
      </rPr>
      <t>462</t>
    </r>
  </si>
  <si>
    <t>462自爆磁怪</t>
  </si>
  <si>
    <t>ジバコイル</t>
  </si>
  <si>
    <t>Magnezone</t>
  </si>
  <si>
    <r>
      <rPr>
        <sz val="12"/>
        <rFont val="宋体"/>
        <charset val="134"/>
      </rPr>
      <t>463</t>
    </r>
  </si>
  <si>
    <t>463大舌舔</t>
  </si>
  <si>
    <t>ベロベルト</t>
  </si>
  <si>
    <t>Lickilicky</t>
  </si>
  <si>
    <r>
      <rPr>
        <sz val="12"/>
        <rFont val="宋体"/>
        <charset val="134"/>
      </rPr>
      <t>464</t>
    </r>
  </si>
  <si>
    <t>464超铁暴龙</t>
  </si>
  <si>
    <t>ドサイドン</t>
  </si>
  <si>
    <t>Rhyperior</t>
  </si>
  <si>
    <r>
      <rPr>
        <sz val="12"/>
        <rFont val="宋体"/>
        <charset val="134"/>
      </rPr>
      <t>465</t>
    </r>
  </si>
  <si>
    <t>465巨蔓藤</t>
  </si>
  <si>
    <t>モジャンボ</t>
  </si>
  <si>
    <t>Tangrowth</t>
  </si>
  <si>
    <r>
      <rPr>
        <sz val="12"/>
        <rFont val="宋体"/>
        <charset val="134"/>
      </rPr>
      <t>466</t>
    </r>
  </si>
  <si>
    <t>466电击魔兽</t>
  </si>
  <si>
    <t>エレキブル</t>
  </si>
  <si>
    <t>Electivire</t>
  </si>
  <si>
    <r>
      <rPr>
        <sz val="12"/>
        <rFont val="宋体"/>
        <charset val="134"/>
      </rPr>
      <t>467</t>
    </r>
  </si>
  <si>
    <t>467鸭嘴焰龙</t>
  </si>
  <si>
    <t>ブーバーン</t>
  </si>
  <si>
    <t>Magmortar</t>
  </si>
  <si>
    <r>
      <rPr>
        <sz val="12"/>
        <rFont val="宋体"/>
        <charset val="134"/>
      </rPr>
      <t>468</t>
    </r>
  </si>
  <si>
    <t>468波克基斯</t>
  </si>
  <si>
    <t>トゲキッス</t>
  </si>
  <si>
    <t>Togekiss</t>
  </si>
  <si>
    <r>
      <rPr>
        <sz val="12"/>
        <rFont val="宋体"/>
        <charset val="134"/>
      </rPr>
      <t>469</t>
    </r>
  </si>
  <si>
    <t>469梅卡阳玛</t>
  </si>
  <si>
    <t>メガヤンマ</t>
  </si>
  <si>
    <t>Yanmega</t>
  </si>
  <si>
    <r>
      <rPr>
        <sz val="12"/>
        <rFont val="宋体"/>
        <charset val="134"/>
      </rPr>
      <t>470</t>
    </r>
  </si>
  <si>
    <t>470叶精灵</t>
  </si>
  <si>
    <t>リーフィア</t>
  </si>
  <si>
    <t>Leafeon</t>
  </si>
  <si>
    <r>
      <rPr>
        <sz val="12"/>
        <rFont val="宋体"/>
        <charset val="134"/>
      </rPr>
      <t>471</t>
    </r>
  </si>
  <si>
    <t>471冰精灵</t>
  </si>
  <si>
    <t>グレイシア</t>
  </si>
  <si>
    <t>Glaceon</t>
  </si>
  <si>
    <r>
      <rPr>
        <sz val="12"/>
        <rFont val="宋体"/>
        <charset val="134"/>
      </rPr>
      <t>472</t>
    </r>
  </si>
  <si>
    <t>472天蝎王</t>
  </si>
  <si>
    <t>グライオン</t>
  </si>
  <si>
    <t>Gliscor</t>
  </si>
  <si>
    <r>
      <rPr>
        <sz val="12"/>
        <rFont val="宋体"/>
        <charset val="134"/>
      </rPr>
      <t>473</t>
    </r>
  </si>
  <si>
    <t>473象牙猪</t>
  </si>
  <si>
    <t>マンムー</t>
  </si>
  <si>
    <t>Mamoswine</t>
  </si>
  <si>
    <r>
      <rPr>
        <sz val="12"/>
        <rFont val="宋体"/>
        <charset val="134"/>
      </rPr>
      <t>474</t>
    </r>
  </si>
  <si>
    <t>4743D龙Z</t>
  </si>
  <si>
    <t>ポリゴンＺ</t>
  </si>
  <si>
    <t>Porygon-Z</t>
  </si>
  <si>
    <r>
      <rPr>
        <sz val="12"/>
        <rFont val="宋体"/>
        <charset val="134"/>
      </rPr>
      <t>475</t>
    </r>
  </si>
  <si>
    <t>475艾路雷朵</t>
  </si>
  <si>
    <t>エルレイド</t>
  </si>
  <si>
    <t>Gallade</t>
  </si>
  <si>
    <r>
      <rPr>
        <sz val="12"/>
        <rFont val="宋体"/>
        <charset val="134"/>
      </rPr>
      <t>476</t>
    </r>
  </si>
  <si>
    <t>476大朝北鼻</t>
  </si>
  <si>
    <t>ダイノーズ</t>
  </si>
  <si>
    <t>Probopass</t>
  </si>
  <si>
    <r>
      <rPr>
        <sz val="12"/>
        <rFont val="宋体"/>
        <charset val="134"/>
      </rPr>
      <t>477</t>
    </r>
  </si>
  <si>
    <t>477夜黑魔人</t>
  </si>
  <si>
    <t>ヨノワール</t>
  </si>
  <si>
    <t>Dusknoir</t>
  </si>
  <si>
    <r>
      <rPr>
        <sz val="12"/>
        <rFont val="宋体"/>
        <charset val="134"/>
      </rPr>
      <t>478</t>
    </r>
  </si>
  <si>
    <t>478雪妖女</t>
  </si>
  <si>
    <t>ユキメノコ</t>
  </si>
  <si>
    <t>Froslass</t>
  </si>
  <si>
    <r>
      <rPr>
        <sz val="12"/>
        <rFont val="宋体"/>
        <charset val="134"/>
      </rPr>
      <t>479</t>
    </r>
  </si>
  <si>
    <t>479洛托姆</t>
  </si>
  <si>
    <t>ロトム</t>
  </si>
  <si>
    <t>Rotom</t>
  </si>
  <si>
    <r>
      <rPr>
        <sz val="12"/>
        <rFont val="宋体"/>
        <charset val="134"/>
      </rPr>
      <t>480</t>
    </r>
  </si>
  <si>
    <t>480由克希</t>
  </si>
  <si>
    <t>ユクシー</t>
  </si>
  <si>
    <t>Uxie</t>
  </si>
  <si>
    <r>
      <rPr>
        <sz val="12"/>
        <rFont val="宋体"/>
        <charset val="134"/>
      </rPr>
      <t>481</t>
    </r>
  </si>
  <si>
    <t>481艾姆利多</t>
  </si>
  <si>
    <t>エムリット</t>
  </si>
  <si>
    <t>Mesprit</t>
  </si>
  <si>
    <r>
      <rPr>
        <sz val="12"/>
        <rFont val="宋体"/>
        <charset val="134"/>
      </rPr>
      <t>482</t>
    </r>
  </si>
  <si>
    <t>482亚克诺姆</t>
  </si>
  <si>
    <t>アグノム</t>
  </si>
  <si>
    <t>Azelf</t>
  </si>
  <si>
    <r>
      <rPr>
        <sz val="12"/>
        <rFont val="宋体"/>
        <charset val="134"/>
      </rPr>
      <t>483</t>
    </r>
  </si>
  <si>
    <t>483帝牙卢卡</t>
  </si>
  <si>
    <t>ディアルガ</t>
  </si>
  <si>
    <t>Dialga</t>
  </si>
  <si>
    <r>
      <rPr>
        <sz val="12"/>
        <rFont val="宋体"/>
        <charset val="134"/>
      </rPr>
      <t>484</t>
    </r>
  </si>
  <si>
    <t>484帕路奇犽</t>
  </si>
  <si>
    <t>パルキア</t>
  </si>
  <si>
    <t>Palkia</t>
  </si>
  <si>
    <r>
      <rPr>
        <sz val="12"/>
        <rFont val="宋体"/>
        <charset val="134"/>
      </rPr>
      <t>485</t>
    </r>
  </si>
  <si>
    <t>485席多蓝恩</t>
  </si>
  <si>
    <t>ヒードラン</t>
  </si>
  <si>
    <t>Heatran</t>
  </si>
  <si>
    <r>
      <rPr>
        <sz val="12"/>
        <rFont val="宋体"/>
        <charset val="134"/>
      </rPr>
      <t>486</t>
    </r>
  </si>
  <si>
    <t>486雷吉奇卡斯</t>
  </si>
  <si>
    <t>レジギガス</t>
  </si>
  <si>
    <t>Regigigas</t>
  </si>
  <si>
    <r>
      <rPr>
        <sz val="12"/>
        <rFont val="宋体"/>
        <charset val="134"/>
      </rPr>
      <t>487</t>
    </r>
  </si>
  <si>
    <t>487骑拉帝纳</t>
  </si>
  <si>
    <t>ギラティナ</t>
  </si>
  <si>
    <t>Giratina</t>
  </si>
  <si>
    <r>
      <rPr>
        <sz val="12"/>
        <rFont val="宋体"/>
        <charset val="134"/>
      </rPr>
      <t>488</t>
    </r>
  </si>
  <si>
    <t>488克雷色利亚</t>
  </si>
  <si>
    <t>クレセリア</t>
  </si>
  <si>
    <t>Cresselia</t>
  </si>
  <si>
    <r>
      <rPr>
        <sz val="12"/>
        <rFont val="宋体"/>
        <charset val="134"/>
      </rPr>
      <t>489</t>
    </r>
  </si>
  <si>
    <t>489霏欧纳</t>
  </si>
  <si>
    <t>フィオネ</t>
  </si>
  <si>
    <t>Phione</t>
  </si>
  <si>
    <r>
      <rPr>
        <sz val="12"/>
        <rFont val="宋体"/>
        <charset val="134"/>
      </rPr>
      <t>490</t>
    </r>
  </si>
  <si>
    <t>490玛纳霏</t>
  </si>
  <si>
    <t>マナフィ</t>
  </si>
  <si>
    <t>Manaphy</t>
  </si>
  <si>
    <r>
      <rPr>
        <sz val="12"/>
        <rFont val="宋体"/>
        <charset val="134"/>
      </rPr>
      <t>491</t>
    </r>
  </si>
  <si>
    <t>491达克莱伊</t>
  </si>
  <si>
    <t>ダークライ</t>
  </si>
  <si>
    <t>Darkrai</t>
  </si>
  <si>
    <r>
      <rPr>
        <sz val="12"/>
        <rFont val="宋体"/>
        <charset val="134"/>
      </rPr>
      <t>492</t>
    </r>
  </si>
  <si>
    <t>492洁咪</t>
  </si>
  <si>
    <t>シェイミ</t>
  </si>
  <si>
    <t>Shaymin</t>
  </si>
  <si>
    <r>
      <rPr>
        <sz val="12"/>
        <rFont val="宋体"/>
        <charset val="134"/>
      </rPr>
      <t>493</t>
    </r>
  </si>
  <si>
    <t>493阿尔宙斯</t>
  </si>
  <si>
    <t>アルセウス</t>
  </si>
  <si>
    <t>Arceus</t>
  </si>
  <si>
    <r>
      <rPr>
        <sz val="12"/>
        <rFont val="宋体"/>
        <charset val="134"/>
      </rPr>
      <t>494</t>
    </r>
  </si>
  <si>
    <t>494比克提尼</t>
  </si>
  <si>
    <t>ビクティニ</t>
  </si>
  <si>
    <t>Victini</t>
  </si>
  <si>
    <r>
      <rPr>
        <sz val="12"/>
        <rFont val="宋体"/>
        <charset val="134"/>
      </rPr>
      <t>495</t>
    </r>
  </si>
  <si>
    <t>495藤藤蛇</t>
  </si>
  <si>
    <t>ツタージャ</t>
  </si>
  <si>
    <t>Snivy</t>
  </si>
  <si>
    <r>
      <rPr>
        <sz val="12"/>
        <rFont val="宋体"/>
        <charset val="134"/>
      </rPr>
      <t>496</t>
    </r>
  </si>
  <si>
    <t>496青藤蛇</t>
  </si>
  <si>
    <t>ジャノビー</t>
  </si>
  <si>
    <t>Servine</t>
  </si>
  <si>
    <r>
      <rPr>
        <sz val="12"/>
        <rFont val="宋体"/>
        <charset val="134"/>
      </rPr>
      <t>497</t>
    </r>
  </si>
  <si>
    <t>497君主蛇</t>
  </si>
  <si>
    <t>ジャローダ</t>
  </si>
  <si>
    <t>Serperior</t>
  </si>
  <si>
    <r>
      <rPr>
        <sz val="12"/>
        <rFont val="宋体"/>
        <charset val="134"/>
      </rPr>
      <t>498</t>
    </r>
  </si>
  <si>
    <t>498暖暖猪</t>
  </si>
  <si>
    <t>ポカブ</t>
  </si>
  <si>
    <t>Tepig</t>
  </si>
  <si>
    <r>
      <rPr>
        <sz val="12"/>
        <rFont val="宋体"/>
        <charset val="134"/>
      </rPr>
      <t>499</t>
    </r>
  </si>
  <si>
    <t>499炒炒猪</t>
  </si>
  <si>
    <t>チャオブー</t>
  </si>
  <si>
    <t>Pignite</t>
  </si>
  <si>
    <r>
      <rPr>
        <sz val="12"/>
        <rFont val="宋体"/>
        <charset val="134"/>
      </rPr>
      <t>500</t>
    </r>
  </si>
  <si>
    <t>500炎武王</t>
  </si>
  <si>
    <t>エンブオー</t>
  </si>
  <si>
    <t>Emboar</t>
  </si>
  <si>
    <r>
      <rPr>
        <sz val="12"/>
        <rFont val="宋体"/>
        <charset val="134"/>
      </rPr>
      <t>501</t>
    </r>
  </si>
  <si>
    <t>501水水獭</t>
  </si>
  <si>
    <t>ミジュマル</t>
  </si>
  <si>
    <t>Oshawott</t>
  </si>
  <si>
    <r>
      <rPr>
        <sz val="12"/>
        <rFont val="宋体"/>
        <charset val="134"/>
      </rPr>
      <t>502</t>
    </r>
  </si>
  <si>
    <t>502双刃丸</t>
  </si>
  <si>
    <t>フタチマル</t>
  </si>
  <si>
    <t>Dewott</t>
  </si>
  <si>
    <r>
      <rPr>
        <sz val="12"/>
        <rFont val="宋体"/>
        <charset val="134"/>
      </rPr>
      <t>503</t>
    </r>
  </si>
  <si>
    <t>503大剑鬼</t>
  </si>
  <si>
    <t>ダイケンキ</t>
  </si>
  <si>
    <t>Samurott</t>
  </si>
  <si>
    <r>
      <rPr>
        <sz val="12"/>
        <rFont val="宋体"/>
        <charset val="134"/>
      </rPr>
      <t>504</t>
    </r>
  </si>
  <si>
    <t>504探探鼠</t>
  </si>
  <si>
    <t>ミネズミ</t>
  </si>
  <si>
    <t>Patrat</t>
  </si>
  <si>
    <r>
      <rPr>
        <sz val="12"/>
        <rFont val="宋体"/>
        <charset val="134"/>
      </rPr>
      <t>505</t>
    </r>
  </si>
  <si>
    <t>505步哨鼠</t>
  </si>
  <si>
    <t>ミルホッグ</t>
  </si>
  <si>
    <t>Watchog</t>
  </si>
  <si>
    <r>
      <rPr>
        <sz val="12"/>
        <rFont val="宋体"/>
        <charset val="134"/>
      </rPr>
      <t>506</t>
    </r>
  </si>
  <si>
    <t>506小约克</t>
  </si>
  <si>
    <t>ヨーテリー</t>
  </si>
  <si>
    <t>Lillipup</t>
  </si>
  <si>
    <r>
      <rPr>
        <sz val="12"/>
        <rFont val="宋体"/>
        <charset val="134"/>
      </rPr>
      <t>507</t>
    </r>
  </si>
  <si>
    <t>507哈约克</t>
  </si>
  <si>
    <t>ハーデリア</t>
  </si>
  <si>
    <t>Herdier</t>
  </si>
  <si>
    <r>
      <rPr>
        <sz val="12"/>
        <rFont val="宋体"/>
        <charset val="134"/>
      </rPr>
      <t>508</t>
    </r>
  </si>
  <si>
    <t>508长毛狗</t>
  </si>
  <si>
    <t>ムーランド</t>
  </si>
  <si>
    <t>Stoutland</t>
  </si>
  <si>
    <r>
      <rPr>
        <sz val="12"/>
        <rFont val="宋体"/>
        <charset val="134"/>
      </rPr>
      <t>509</t>
    </r>
  </si>
  <si>
    <t>509扒手猫</t>
  </si>
  <si>
    <t>チョロネコ</t>
  </si>
  <si>
    <t>Purrloin</t>
  </si>
  <si>
    <r>
      <rPr>
        <sz val="12"/>
        <rFont val="宋体"/>
        <charset val="134"/>
      </rPr>
      <t>510</t>
    </r>
  </si>
  <si>
    <t>510酷豹</t>
  </si>
  <si>
    <t>レパルダス</t>
  </si>
  <si>
    <t>Liepard</t>
  </si>
  <si>
    <r>
      <rPr>
        <sz val="12"/>
        <rFont val="宋体"/>
        <charset val="134"/>
      </rPr>
      <t>511</t>
    </r>
  </si>
  <si>
    <t>511花椰猴</t>
  </si>
  <si>
    <t>ヤナップ</t>
  </si>
  <si>
    <t>Pansage</t>
  </si>
  <si>
    <r>
      <rPr>
        <sz val="12"/>
        <rFont val="宋体"/>
        <charset val="134"/>
      </rPr>
      <t>512</t>
    </r>
  </si>
  <si>
    <t>512花椰猿</t>
  </si>
  <si>
    <t>ヤナッキー</t>
  </si>
  <si>
    <t>Simisage</t>
  </si>
  <si>
    <r>
      <rPr>
        <sz val="12"/>
        <rFont val="宋体"/>
        <charset val="134"/>
      </rPr>
      <t>513</t>
    </r>
  </si>
  <si>
    <t>513爆香猴</t>
  </si>
  <si>
    <t>バオップ</t>
  </si>
  <si>
    <t>Pansear</t>
  </si>
  <si>
    <r>
      <rPr>
        <sz val="12"/>
        <rFont val="宋体"/>
        <charset val="134"/>
      </rPr>
      <t>514</t>
    </r>
  </si>
  <si>
    <t>514爆香猿</t>
  </si>
  <si>
    <t>バオッキー</t>
  </si>
  <si>
    <t>Simisear</t>
  </si>
  <si>
    <r>
      <rPr>
        <sz val="12"/>
        <rFont val="宋体"/>
        <charset val="134"/>
      </rPr>
      <t>515</t>
    </r>
  </si>
  <si>
    <t>515冷水猴</t>
  </si>
  <si>
    <t>ヒヤップ</t>
  </si>
  <si>
    <t>Panpour</t>
  </si>
  <si>
    <r>
      <rPr>
        <sz val="12"/>
        <rFont val="宋体"/>
        <charset val="134"/>
      </rPr>
      <t>516</t>
    </r>
  </si>
  <si>
    <t>516冷水猿</t>
  </si>
  <si>
    <t>ヒヤッキー</t>
  </si>
  <si>
    <t>Simipour</t>
  </si>
  <si>
    <r>
      <rPr>
        <sz val="12"/>
        <rFont val="宋体"/>
        <charset val="134"/>
      </rPr>
      <t>517</t>
    </r>
  </si>
  <si>
    <t>517食梦梦</t>
  </si>
  <si>
    <t>ムンナ</t>
  </si>
  <si>
    <t>Munna</t>
  </si>
  <si>
    <r>
      <rPr>
        <sz val="12"/>
        <rFont val="宋体"/>
        <charset val="134"/>
      </rPr>
      <t>518</t>
    </r>
  </si>
  <si>
    <t>518梦梦蚀</t>
  </si>
  <si>
    <t>ムシャーナ</t>
  </si>
  <si>
    <t>Musharna</t>
  </si>
  <si>
    <r>
      <rPr>
        <sz val="12"/>
        <rFont val="宋体"/>
        <charset val="134"/>
      </rPr>
      <t>519</t>
    </r>
  </si>
  <si>
    <t>519豆豆鸽</t>
  </si>
  <si>
    <t>マメパト</t>
  </si>
  <si>
    <t>Pidove</t>
  </si>
  <si>
    <r>
      <rPr>
        <sz val="12"/>
        <rFont val="宋体"/>
        <charset val="134"/>
      </rPr>
      <t>520</t>
    </r>
  </si>
  <si>
    <t>520波波鸽</t>
  </si>
  <si>
    <t>ハトーボー</t>
  </si>
  <si>
    <t>Tranquill</t>
  </si>
  <si>
    <r>
      <rPr>
        <sz val="12"/>
        <rFont val="宋体"/>
        <charset val="134"/>
      </rPr>
      <t>521</t>
    </r>
  </si>
  <si>
    <t>521轰隆雉鸡</t>
  </si>
  <si>
    <t>ケンホロウ</t>
  </si>
  <si>
    <t>Unfezant</t>
  </si>
  <si>
    <r>
      <rPr>
        <sz val="12"/>
        <rFont val="宋体"/>
        <charset val="134"/>
      </rPr>
      <t>522</t>
    </r>
  </si>
  <si>
    <t>522斑斑马</t>
  </si>
  <si>
    <t>シママ</t>
  </si>
  <si>
    <t>Blitzle</t>
  </si>
  <si>
    <r>
      <rPr>
        <sz val="12"/>
        <rFont val="宋体"/>
        <charset val="134"/>
      </rPr>
      <t>523</t>
    </r>
  </si>
  <si>
    <t>523雷电斑马</t>
  </si>
  <si>
    <t>ゼブライカ</t>
  </si>
  <si>
    <t>Zebstrika</t>
  </si>
  <si>
    <r>
      <rPr>
        <sz val="12"/>
        <rFont val="宋体"/>
        <charset val="134"/>
      </rPr>
      <t>524</t>
    </r>
  </si>
  <si>
    <t>524石丸子</t>
  </si>
  <si>
    <t>ダンゴロ</t>
  </si>
  <si>
    <t>Roggenrola</t>
  </si>
  <si>
    <r>
      <rPr>
        <sz val="12"/>
        <rFont val="宋体"/>
        <charset val="134"/>
      </rPr>
      <t>525</t>
    </r>
  </si>
  <si>
    <t>525地幔岩</t>
  </si>
  <si>
    <t>ガントル</t>
  </si>
  <si>
    <t>Boldore</t>
  </si>
  <si>
    <r>
      <rPr>
        <sz val="12"/>
        <rFont val="宋体"/>
        <charset val="134"/>
      </rPr>
      <t>526</t>
    </r>
  </si>
  <si>
    <t>526庞岩怪</t>
  </si>
  <si>
    <t>ギガイアス</t>
  </si>
  <si>
    <t>Gigalith</t>
  </si>
  <si>
    <r>
      <rPr>
        <sz val="12"/>
        <rFont val="宋体"/>
        <charset val="134"/>
      </rPr>
      <t>527</t>
    </r>
  </si>
  <si>
    <t>527滚滚蝙蝠</t>
  </si>
  <si>
    <t>コロモリ</t>
  </si>
  <si>
    <t>Woobat</t>
  </si>
  <si>
    <r>
      <rPr>
        <sz val="12"/>
        <rFont val="宋体"/>
        <charset val="134"/>
      </rPr>
      <t>528</t>
    </r>
  </si>
  <si>
    <t>528心蝙蝠</t>
  </si>
  <si>
    <t>ココロモリ</t>
  </si>
  <si>
    <t>Swoobat</t>
  </si>
  <si>
    <r>
      <rPr>
        <sz val="12"/>
        <rFont val="宋体"/>
        <charset val="134"/>
      </rPr>
      <t>529</t>
    </r>
  </si>
  <si>
    <t>529螺钉地鼠</t>
  </si>
  <si>
    <t>モグリュー</t>
  </si>
  <si>
    <t>Drilbur</t>
  </si>
  <si>
    <r>
      <rPr>
        <sz val="12"/>
        <rFont val="宋体"/>
        <charset val="134"/>
      </rPr>
      <t>530</t>
    </r>
  </si>
  <si>
    <t>530龙头地鼠</t>
  </si>
  <si>
    <t>ドリュウズ</t>
  </si>
  <si>
    <t>Excadrill</t>
  </si>
  <si>
    <r>
      <rPr>
        <sz val="12"/>
        <rFont val="宋体"/>
        <charset val="134"/>
      </rPr>
      <t>531</t>
    </r>
  </si>
  <si>
    <t>531差不多娃娃</t>
  </si>
  <si>
    <t>タブンネ</t>
  </si>
  <si>
    <t>Audino</t>
  </si>
  <si>
    <r>
      <rPr>
        <sz val="12"/>
        <rFont val="宋体"/>
        <charset val="134"/>
      </rPr>
      <t>532</t>
    </r>
  </si>
  <si>
    <t>532搬运小匠</t>
  </si>
  <si>
    <t>ドッコラー</t>
  </si>
  <si>
    <t>Timburr</t>
  </si>
  <si>
    <r>
      <rPr>
        <sz val="12"/>
        <rFont val="宋体"/>
        <charset val="134"/>
      </rPr>
      <t>533</t>
    </r>
  </si>
  <si>
    <t>533铁骨土人</t>
  </si>
  <si>
    <t>ドテッコツ</t>
  </si>
  <si>
    <t>Gurdurr</t>
  </si>
  <si>
    <r>
      <rPr>
        <sz val="12"/>
        <rFont val="宋体"/>
        <charset val="134"/>
      </rPr>
      <t>534</t>
    </r>
  </si>
  <si>
    <t>534修缮老头</t>
  </si>
  <si>
    <t>ローブシン</t>
  </si>
  <si>
    <t>Conkeldurr</t>
  </si>
  <si>
    <r>
      <rPr>
        <sz val="12"/>
        <rFont val="宋体"/>
        <charset val="134"/>
      </rPr>
      <t>535</t>
    </r>
  </si>
  <si>
    <t>535圆蝌蚪</t>
  </si>
  <si>
    <t>オタマロ</t>
  </si>
  <si>
    <t>Tympole</t>
  </si>
  <si>
    <r>
      <rPr>
        <sz val="12"/>
        <rFont val="宋体"/>
        <charset val="134"/>
      </rPr>
      <t>536</t>
    </r>
  </si>
  <si>
    <t>536蓝蟾蜍</t>
  </si>
  <si>
    <t>ガマガル</t>
  </si>
  <si>
    <t>Palpitoad</t>
  </si>
  <si>
    <r>
      <rPr>
        <sz val="12"/>
        <rFont val="宋体"/>
        <charset val="134"/>
      </rPr>
      <t>537</t>
    </r>
  </si>
  <si>
    <t>537蟾蜍王</t>
  </si>
  <si>
    <t>ガマゲロゲ</t>
  </si>
  <si>
    <t>Seismitoad</t>
  </si>
  <si>
    <r>
      <rPr>
        <sz val="12"/>
        <rFont val="宋体"/>
        <charset val="134"/>
      </rPr>
      <t>538</t>
    </r>
  </si>
  <si>
    <t>538投射鬼</t>
  </si>
  <si>
    <t>ナゲキ</t>
  </si>
  <si>
    <t>Throh</t>
  </si>
  <si>
    <r>
      <rPr>
        <sz val="12"/>
        <rFont val="宋体"/>
        <charset val="134"/>
      </rPr>
      <t>539</t>
    </r>
  </si>
  <si>
    <t>539打击鬼</t>
  </si>
  <si>
    <t>ダゲキ</t>
  </si>
  <si>
    <t>Sawk</t>
  </si>
  <si>
    <r>
      <rPr>
        <sz val="12"/>
        <rFont val="宋体"/>
        <charset val="134"/>
      </rPr>
      <t>540</t>
    </r>
  </si>
  <si>
    <t>540虫宝包</t>
  </si>
  <si>
    <t>クルミル</t>
  </si>
  <si>
    <t>Sewaddle</t>
  </si>
  <si>
    <r>
      <rPr>
        <sz val="12"/>
        <rFont val="宋体"/>
        <charset val="134"/>
      </rPr>
      <t>541</t>
    </r>
  </si>
  <si>
    <t>541宝包茧</t>
  </si>
  <si>
    <t>クルマユ</t>
  </si>
  <si>
    <t>Swadloon</t>
  </si>
  <si>
    <r>
      <rPr>
        <sz val="12"/>
        <rFont val="宋体"/>
        <charset val="134"/>
      </rPr>
      <t>542</t>
    </r>
  </si>
  <si>
    <t>542保母虫</t>
  </si>
  <si>
    <t>ハハコモリ</t>
  </si>
  <si>
    <t>Leavanny</t>
  </si>
  <si>
    <r>
      <rPr>
        <sz val="12"/>
        <rFont val="宋体"/>
        <charset val="134"/>
      </rPr>
      <t>543</t>
    </r>
  </si>
  <si>
    <t>543百足蜈蚣</t>
  </si>
  <si>
    <t>フシデ</t>
  </si>
  <si>
    <t>Venipede</t>
  </si>
  <si>
    <r>
      <rPr>
        <sz val="12"/>
        <rFont val="宋体"/>
        <charset val="134"/>
      </rPr>
      <t>544</t>
    </r>
  </si>
  <si>
    <t>544车轮球</t>
  </si>
  <si>
    <t>ホイーガ</t>
  </si>
  <si>
    <t>Whirlipede</t>
  </si>
  <si>
    <r>
      <rPr>
        <sz val="12"/>
        <rFont val="宋体"/>
        <charset val="134"/>
      </rPr>
      <t>545</t>
    </r>
  </si>
  <si>
    <t>545蜈蚣王</t>
  </si>
  <si>
    <t>ペンドラー</t>
  </si>
  <si>
    <t>Scolipede</t>
  </si>
  <si>
    <r>
      <rPr>
        <sz val="12"/>
        <rFont val="宋体"/>
        <charset val="134"/>
      </rPr>
      <t>546</t>
    </r>
  </si>
  <si>
    <t>546木棉球</t>
  </si>
  <si>
    <t>モンメン</t>
  </si>
  <si>
    <t>Cottonee</t>
  </si>
  <si>
    <r>
      <rPr>
        <sz val="12"/>
        <rFont val="宋体"/>
        <charset val="134"/>
      </rPr>
      <t>547</t>
    </r>
  </si>
  <si>
    <t>547风妖精</t>
  </si>
  <si>
    <t>エルフーン</t>
  </si>
  <si>
    <t>Whimsicott</t>
  </si>
  <si>
    <r>
      <rPr>
        <sz val="12"/>
        <rFont val="宋体"/>
        <charset val="134"/>
      </rPr>
      <t>548</t>
    </r>
  </si>
  <si>
    <t>548百合根娃娃</t>
  </si>
  <si>
    <t>チュリネ</t>
  </si>
  <si>
    <t>Petilil</t>
  </si>
  <si>
    <r>
      <rPr>
        <sz val="12"/>
        <rFont val="宋体"/>
        <charset val="134"/>
      </rPr>
      <t>549</t>
    </r>
  </si>
  <si>
    <t>549裙儿小姐</t>
  </si>
  <si>
    <t>ドレディア</t>
  </si>
  <si>
    <t>Lilligant</t>
  </si>
  <si>
    <r>
      <rPr>
        <sz val="12"/>
        <rFont val="宋体"/>
        <charset val="134"/>
      </rPr>
      <t>550</t>
    </r>
  </si>
  <si>
    <t>550勇士鲈鱼</t>
  </si>
  <si>
    <t>バスラオ</t>
  </si>
  <si>
    <t>Basculin</t>
  </si>
  <si>
    <r>
      <rPr>
        <sz val="12"/>
        <rFont val="宋体"/>
        <charset val="134"/>
      </rPr>
      <t>551</t>
    </r>
  </si>
  <si>
    <t>551黑眼鳄</t>
  </si>
  <si>
    <t>メグロコ</t>
  </si>
  <si>
    <t>Sandile</t>
  </si>
  <si>
    <r>
      <rPr>
        <sz val="12"/>
        <rFont val="宋体"/>
        <charset val="134"/>
      </rPr>
      <t>552</t>
    </r>
  </si>
  <si>
    <t>552混混鳄</t>
  </si>
  <si>
    <t>ワルビル</t>
  </si>
  <si>
    <t>Krokorok</t>
  </si>
  <si>
    <r>
      <rPr>
        <sz val="12"/>
        <rFont val="宋体"/>
        <charset val="134"/>
      </rPr>
      <t>553</t>
    </r>
  </si>
  <si>
    <t>553流氓鳄</t>
  </si>
  <si>
    <t>ワルビアル</t>
  </si>
  <si>
    <t>Krookodile</t>
  </si>
  <si>
    <r>
      <rPr>
        <sz val="12"/>
        <rFont val="宋体"/>
        <charset val="134"/>
      </rPr>
      <t>554</t>
    </r>
  </si>
  <si>
    <t>554火红不倒翁</t>
  </si>
  <si>
    <t>ダルマッカ</t>
  </si>
  <si>
    <t>Darumaka</t>
  </si>
  <si>
    <r>
      <rPr>
        <sz val="12"/>
        <rFont val="宋体"/>
        <charset val="134"/>
      </rPr>
      <t>555</t>
    </r>
  </si>
  <si>
    <t>555达摩狒狒</t>
  </si>
  <si>
    <t>ヒヒダルマ</t>
  </si>
  <si>
    <t>Darmanitan</t>
  </si>
  <si>
    <r>
      <rPr>
        <sz val="12"/>
        <rFont val="宋体"/>
        <charset val="134"/>
      </rPr>
      <t>556</t>
    </r>
  </si>
  <si>
    <t>556街头沙铃</t>
  </si>
  <si>
    <t>マラカッチ</t>
  </si>
  <si>
    <t>Maractus</t>
  </si>
  <si>
    <r>
      <rPr>
        <sz val="12"/>
        <rFont val="宋体"/>
        <charset val="134"/>
      </rPr>
      <t>557</t>
    </r>
  </si>
  <si>
    <t>557石居蟹</t>
  </si>
  <si>
    <t>イシズマイ</t>
  </si>
  <si>
    <t>Dwebble</t>
  </si>
  <si>
    <r>
      <rPr>
        <sz val="12"/>
        <rFont val="宋体"/>
        <charset val="134"/>
      </rPr>
      <t>558</t>
    </r>
  </si>
  <si>
    <t>558岩殿居蟹</t>
  </si>
  <si>
    <t>イワパレス</t>
  </si>
  <si>
    <t>Crustle</t>
  </si>
  <si>
    <r>
      <rPr>
        <sz val="12"/>
        <rFont val="宋体"/>
        <charset val="134"/>
      </rPr>
      <t>559</t>
    </r>
  </si>
  <si>
    <t>559滑头小子</t>
  </si>
  <si>
    <t>ズルッグ</t>
  </si>
  <si>
    <t>Scraggy</t>
  </si>
  <si>
    <r>
      <rPr>
        <sz val="12"/>
        <rFont val="宋体"/>
        <charset val="134"/>
      </rPr>
      <t>560</t>
    </r>
  </si>
  <si>
    <t>560头巾混混</t>
  </si>
  <si>
    <t>ズルズキン</t>
  </si>
  <si>
    <t>Scrafty</t>
  </si>
  <si>
    <r>
      <rPr>
        <sz val="12"/>
        <rFont val="宋体"/>
        <charset val="134"/>
      </rPr>
      <t>561</t>
    </r>
  </si>
  <si>
    <t>561象征鸟</t>
  </si>
  <si>
    <t>シンボラー</t>
  </si>
  <si>
    <t>Sigilyph</t>
  </si>
  <si>
    <r>
      <rPr>
        <sz val="12"/>
        <rFont val="宋体"/>
        <charset val="134"/>
      </rPr>
      <t>562</t>
    </r>
  </si>
  <si>
    <t>562哭哭面具</t>
  </si>
  <si>
    <t>デスマス</t>
  </si>
  <si>
    <t>Yamask</t>
  </si>
  <si>
    <r>
      <rPr>
        <sz val="12"/>
        <rFont val="宋体"/>
        <charset val="134"/>
      </rPr>
      <t>563</t>
    </r>
  </si>
  <si>
    <t>563死神棺</t>
  </si>
  <si>
    <t>デスカーン</t>
  </si>
  <si>
    <t>Cofagrigus</t>
  </si>
  <si>
    <r>
      <rPr>
        <sz val="12"/>
        <rFont val="宋体"/>
        <charset val="134"/>
      </rPr>
      <t>564</t>
    </r>
  </si>
  <si>
    <t>564原盖海龟</t>
  </si>
  <si>
    <t>プロトーガ</t>
  </si>
  <si>
    <t>Tirtouga</t>
  </si>
  <si>
    <r>
      <rPr>
        <sz val="12"/>
        <rFont val="宋体"/>
        <charset val="134"/>
      </rPr>
      <t>565</t>
    </r>
  </si>
  <si>
    <t>565肋骨海龟</t>
  </si>
  <si>
    <t>アバゴーラ</t>
  </si>
  <si>
    <t>Carracosta</t>
  </si>
  <si>
    <r>
      <rPr>
        <sz val="12"/>
        <rFont val="宋体"/>
        <charset val="134"/>
      </rPr>
      <t>566</t>
    </r>
  </si>
  <si>
    <t>566始祖小鸟</t>
  </si>
  <si>
    <t>アーケン</t>
  </si>
  <si>
    <t>Archen</t>
  </si>
  <si>
    <r>
      <rPr>
        <sz val="12"/>
        <rFont val="宋体"/>
        <charset val="134"/>
      </rPr>
      <t>567</t>
    </r>
  </si>
  <si>
    <t>567始祖大鸟</t>
  </si>
  <si>
    <t>アーケオス</t>
  </si>
  <si>
    <t>Archeops</t>
  </si>
  <si>
    <r>
      <rPr>
        <sz val="12"/>
        <rFont val="宋体"/>
        <charset val="134"/>
      </rPr>
      <t>568</t>
    </r>
  </si>
  <si>
    <t>568破破袋</t>
  </si>
  <si>
    <t>ヤブクロン</t>
  </si>
  <si>
    <t>Trubbish</t>
  </si>
  <si>
    <r>
      <rPr>
        <sz val="12"/>
        <rFont val="宋体"/>
        <charset val="134"/>
      </rPr>
      <t>569</t>
    </r>
  </si>
  <si>
    <t>569灰尘山</t>
  </si>
  <si>
    <t>ダストダス</t>
  </si>
  <si>
    <t>Garbodor</t>
  </si>
  <si>
    <r>
      <rPr>
        <sz val="12"/>
        <rFont val="宋体"/>
        <charset val="134"/>
      </rPr>
      <t>570</t>
    </r>
  </si>
  <si>
    <t>570索罗亚</t>
  </si>
  <si>
    <t>ゾロア</t>
  </si>
  <si>
    <t>Zorua</t>
  </si>
  <si>
    <r>
      <rPr>
        <sz val="12"/>
        <rFont val="宋体"/>
        <charset val="134"/>
      </rPr>
      <t>571</t>
    </r>
  </si>
  <si>
    <t>571索罗亚克</t>
  </si>
  <si>
    <t>ゾロアーク</t>
  </si>
  <si>
    <t>Zoroark</t>
  </si>
  <si>
    <r>
      <rPr>
        <sz val="12"/>
        <rFont val="宋体"/>
        <charset val="134"/>
      </rPr>
      <t>572</t>
    </r>
  </si>
  <si>
    <t>572泡沫栗鼠</t>
  </si>
  <si>
    <t>チラーミィ</t>
  </si>
  <si>
    <t>Minccino</t>
  </si>
  <si>
    <r>
      <rPr>
        <sz val="12"/>
        <rFont val="宋体"/>
        <charset val="134"/>
      </rPr>
      <t>573</t>
    </r>
  </si>
  <si>
    <t>573奇诺栗鼠</t>
  </si>
  <si>
    <t>チラチーノ</t>
  </si>
  <si>
    <t>Cinccino</t>
  </si>
  <si>
    <r>
      <rPr>
        <sz val="12"/>
        <rFont val="宋体"/>
        <charset val="134"/>
      </rPr>
      <t>574</t>
    </r>
  </si>
  <si>
    <t>574哥德宝宝</t>
  </si>
  <si>
    <t>ゴチム</t>
  </si>
  <si>
    <t>Gothita</t>
  </si>
  <si>
    <r>
      <rPr>
        <sz val="12"/>
        <rFont val="宋体"/>
        <charset val="134"/>
      </rPr>
      <t>575</t>
    </r>
  </si>
  <si>
    <t>575哥德小童</t>
  </si>
  <si>
    <t>ゴチミル</t>
  </si>
  <si>
    <t>Gothorita</t>
  </si>
  <si>
    <r>
      <rPr>
        <sz val="12"/>
        <rFont val="宋体"/>
        <charset val="134"/>
      </rPr>
      <t>576</t>
    </r>
  </si>
  <si>
    <t>576哥德小姐</t>
  </si>
  <si>
    <t>ゴチルゼル</t>
  </si>
  <si>
    <t>Gothitelle</t>
  </si>
  <si>
    <r>
      <rPr>
        <sz val="12"/>
        <rFont val="宋体"/>
        <charset val="134"/>
      </rPr>
      <t>577</t>
    </r>
  </si>
  <si>
    <t>577单卵细胞球</t>
  </si>
  <si>
    <t>ユニラン</t>
  </si>
  <si>
    <t>Solosis</t>
  </si>
  <si>
    <r>
      <rPr>
        <sz val="12"/>
        <rFont val="宋体"/>
        <charset val="134"/>
      </rPr>
      <t>578</t>
    </r>
  </si>
  <si>
    <t>578双卵细胞球</t>
  </si>
  <si>
    <t>ダブラン</t>
  </si>
  <si>
    <t>Duosion</t>
  </si>
  <si>
    <r>
      <rPr>
        <sz val="12"/>
        <rFont val="宋体"/>
        <charset val="134"/>
      </rPr>
      <t>579</t>
    </r>
  </si>
  <si>
    <t>579人造细胞卵</t>
  </si>
  <si>
    <t>ランクルス</t>
  </si>
  <si>
    <t>Reuniclus</t>
  </si>
  <si>
    <r>
      <rPr>
        <sz val="12"/>
        <rFont val="宋体"/>
        <charset val="134"/>
      </rPr>
      <t>580</t>
    </r>
  </si>
  <si>
    <t>580鸭宝宝</t>
  </si>
  <si>
    <t>コアルヒー</t>
  </si>
  <si>
    <t>Ducklett</t>
  </si>
  <si>
    <r>
      <rPr>
        <sz val="12"/>
        <rFont val="宋体"/>
        <charset val="134"/>
      </rPr>
      <t>581</t>
    </r>
  </si>
  <si>
    <t>581首席天鹅</t>
  </si>
  <si>
    <t>スワンナ</t>
  </si>
  <si>
    <t>Swanna</t>
  </si>
  <si>
    <r>
      <rPr>
        <sz val="12"/>
        <rFont val="宋体"/>
        <charset val="134"/>
      </rPr>
      <t>582</t>
    </r>
  </si>
  <si>
    <t>582迷你冰</t>
  </si>
  <si>
    <t>バニプッチ</t>
  </si>
  <si>
    <t>Vanillite</t>
  </si>
  <si>
    <r>
      <rPr>
        <sz val="12"/>
        <rFont val="宋体"/>
        <charset val="134"/>
      </rPr>
      <t>583</t>
    </r>
  </si>
  <si>
    <t>583多多冰</t>
  </si>
  <si>
    <t>バニリッチ</t>
  </si>
  <si>
    <t>Vanillish</t>
  </si>
  <si>
    <r>
      <rPr>
        <sz val="12"/>
        <rFont val="宋体"/>
        <charset val="134"/>
      </rPr>
      <t>584</t>
    </r>
  </si>
  <si>
    <t>584双倍多多冰</t>
  </si>
  <si>
    <t>バイバニラ</t>
  </si>
  <si>
    <t>Vanilluxe</t>
  </si>
  <si>
    <r>
      <rPr>
        <sz val="12"/>
        <rFont val="宋体"/>
        <charset val="134"/>
      </rPr>
      <t>585</t>
    </r>
  </si>
  <si>
    <t>585四季鹿</t>
  </si>
  <si>
    <t>シキジカ</t>
  </si>
  <si>
    <t>Deerling</t>
  </si>
  <si>
    <r>
      <rPr>
        <sz val="12"/>
        <rFont val="宋体"/>
        <charset val="134"/>
      </rPr>
      <t>586</t>
    </r>
  </si>
  <si>
    <t>586芽吹鹿</t>
  </si>
  <si>
    <t>メブキジカ</t>
  </si>
  <si>
    <t>Sawsbuck</t>
  </si>
  <si>
    <r>
      <rPr>
        <sz val="12"/>
        <rFont val="宋体"/>
        <charset val="134"/>
      </rPr>
      <t>587</t>
    </r>
  </si>
  <si>
    <t>587导电飞鼠</t>
  </si>
  <si>
    <t>エモンガ</t>
  </si>
  <si>
    <t>Emolga</t>
  </si>
  <si>
    <r>
      <rPr>
        <sz val="12"/>
        <rFont val="宋体"/>
        <charset val="134"/>
      </rPr>
      <t>588</t>
    </r>
  </si>
  <si>
    <t>588盖盖虫</t>
  </si>
  <si>
    <t>カブルモ</t>
  </si>
  <si>
    <t>Karrablast</t>
  </si>
  <si>
    <r>
      <rPr>
        <sz val="12"/>
        <rFont val="宋体"/>
        <charset val="134"/>
      </rPr>
      <t>589</t>
    </r>
  </si>
  <si>
    <t>589骑士蜗牛</t>
  </si>
  <si>
    <t>シュバルゴ</t>
  </si>
  <si>
    <t>Escavalier</t>
  </si>
  <si>
    <r>
      <rPr>
        <sz val="12"/>
        <rFont val="宋体"/>
        <charset val="134"/>
      </rPr>
      <t>590</t>
    </r>
  </si>
  <si>
    <t>590宝贝球菇</t>
  </si>
  <si>
    <t>タマゲタケ</t>
  </si>
  <si>
    <t>Foongus</t>
  </si>
  <si>
    <r>
      <rPr>
        <sz val="12"/>
        <rFont val="宋体"/>
        <charset val="134"/>
      </rPr>
      <t>591</t>
    </r>
  </si>
  <si>
    <t>591暴露菇</t>
  </si>
  <si>
    <t>モロバレル</t>
  </si>
  <si>
    <t>Amoonguss</t>
  </si>
  <si>
    <r>
      <rPr>
        <sz val="12"/>
        <rFont val="宋体"/>
        <charset val="134"/>
      </rPr>
      <t>592</t>
    </r>
  </si>
  <si>
    <t>592轻飘飘</t>
  </si>
  <si>
    <t>プルリル</t>
  </si>
  <si>
    <t>Frillish</t>
  </si>
  <si>
    <r>
      <rPr>
        <sz val="12"/>
        <rFont val="宋体"/>
        <charset val="134"/>
      </rPr>
      <t>593</t>
    </r>
  </si>
  <si>
    <t>593胖嘟嘟</t>
  </si>
  <si>
    <t>ブルンゲル</t>
  </si>
  <si>
    <t>Jellicent</t>
  </si>
  <si>
    <r>
      <rPr>
        <sz val="12"/>
        <rFont val="宋体"/>
        <charset val="134"/>
      </rPr>
      <t>594</t>
    </r>
  </si>
  <si>
    <t>594保母曼波</t>
  </si>
  <si>
    <t>ママンボウ</t>
  </si>
  <si>
    <t>Alomomola</t>
  </si>
  <si>
    <r>
      <rPr>
        <sz val="12"/>
        <rFont val="宋体"/>
        <charset val="134"/>
      </rPr>
      <t>595</t>
    </r>
  </si>
  <si>
    <t>595电电虫</t>
  </si>
  <si>
    <t>バチュル</t>
  </si>
  <si>
    <t>Joltik</t>
  </si>
  <si>
    <r>
      <rPr>
        <sz val="12"/>
        <rFont val="宋体"/>
        <charset val="134"/>
      </rPr>
      <t>596</t>
    </r>
  </si>
  <si>
    <t>596电蜘蛛</t>
  </si>
  <si>
    <t>デンチュラ</t>
  </si>
  <si>
    <t>Galvantula</t>
  </si>
  <si>
    <r>
      <rPr>
        <sz val="12"/>
        <rFont val="宋体"/>
        <charset val="134"/>
      </rPr>
      <t>597</t>
    </r>
  </si>
  <si>
    <t>597种子铁球</t>
  </si>
  <si>
    <t>テッシード</t>
  </si>
  <si>
    <t>Ferroseed</t>
  </si>
  <si>
    <r>
      <rPr>
        <sz val="12"/>
        <rFont val="宋体"/>
        <charset val="134"/>
      </rPr>
      <t>598</t>
    </r>
  </si>
  <si>
    <t>598坚果哑铃</t>
  </si>
  <si>
    <t>ナットレイ</t>
  </si>
  <si>
    <t>Ferrothorn</t>
  </si>
  <si>
    <r>
      <rPr>
        <sz val="12"/>
        <rFont val="宋体"/>
        <charset val="134"/>
      </rPr>
      <t>599</t>
    </r>
  </si>
  <si>
    <t>599齿轮儿</t>
  </si>
  <si>
    <t>ギアル</t>
  </si>
  <si>
    <t>Klink</t>
  </si>
  <si>
    <r>
      <rPr>
        <sz val="12"/>
        <rFont val="宋体"/>
        <charset val="134"/>
      </rPr>
      <t>600</t>
    </r>
  </si>
  <si>
    <t>600齿轮组</t>
  </si>
  <si>
    <t>ギギアル</t>
  </si>
  <si>
    <t>Klang</t>
  </si>
  <si>
    <r>
      <rPr>
        <sz val="12"/>
        <rFont val="宋体"/>
        <charset val="134"/>
      </rPr>
      <t>601</t>
    </r>
  </si>
  <si>
    <t>601齿轮怪</t>
  </si>
  <si>
    <t>ギギギアル</t>
  </si>
  <si>
    <t>Klinklang</t>
  </si>
  <si>
    <r>
      <rPr>
        <sz val="12"/>
        <rFont val="宋体"/>
        <charset val="134"/>
      </rPr>
      <t>602</t>
    </r>
  </si>
  <si>
    <t>602麻麻小鱼</t>
  </si>
  <si>
    <t>シビシラス</t>
  </si>
  <si>
    <t>Tynamo</t>
  </si>
  <si>
    <r>
      <rPr>
        <sz val="12"/>
        <rFont val="宋体"/>
        <charset val="134"/>
      </rPr>
      <t>603</t>
    </r>
  </si>
  <si>
    <t>603麻麻鳗</t>
  </si>
  <si>
    <t>シビビール</t>
  </si>
  <si>
    <t>Eelektrik</t>
  </si>
  <si>
    <r>
      <rPr>
        <sz val="12"/>
        <rFont val="宋体"/>
        <charset val="134"/>
      </rPr>
      <t>604</t>
    </r>
  </si>
  <si>
    <t>604麻麻鳗鱼王</t>
  </si>
  <si>
    <t>シビルドン</t>
  </si>
  <si>
    <t>Eelektross</t>
  </si>
  <si>
    <r>
      <rPr>
        <sz val="12"/>
        <rFont val="宋体"/>
        <charset val="134"/>
      </rPr>
      <t>605</t>
    </r>
  </si>
  <si>
    <t>605小灰怪</t>
  </si>
  <si>
    <t>リグレー</t>
  </si>
  <si>
    <t>Elgyem</t>
  </si>
  <si>
    <r>
      <rPr>
        <sz val="12"/>
        <rFont val="宋体"/>
        <charset val="134"/>
      </rPr>
      <t>606</t>
    </r>
  </si>
  <si>
    <t>606大宇怪</t>
  </si>
  <si>
    <t>オーベム</t>
  </si>
  <si>
    <t>Beheeyem</t>
  </si>
  <si>
    <r>
      <rPr>
        <sz val="12"/>
        <rFont val="宋体"/>
        <charset val="134"/>
      </rPr>
      <t>607</t>
    </r>
  </si>
  <si>
    <t>607烛光灵</t>
  </si>
  <si>
    <t>ヒトモシ</t>
  </si>
  <si>
    <t>Litwick</t>
  </si>
  <si>
    <r>
      <rPr>
        <sz val="12"/>
        <rFont val="宋体"/>
        <charset val="134"/>
      </rPr>
      <t>608</t>
    </r>
  </si>
  <si>
    <t>608灯火幽灵</t>
  </si>
  <si>
    <t>ランプラー</t>
  </si>
  <si>
    <t>Lampent</t>
  </si>
  <si>
    <r>
      <rPr>
        <sz val="12"/>
        <rFont val="宋体"/>
        <charset val="134"/>
      </rPr>
      <t>609</t>
    </r>
  </si>
  <si>
    <t>609水晶灯火灵</t>
  </si>
  <si>
    <t>シャンデラ</t>
  </si>
  <si>
    <t>Chandelure</t>
  </si>
  <si>
    <r>
      <rPr>
        <sz val="12"/>
        <rFont val="宋体"/>
        <charset val="134"/>
      </rPr>
      <t>610</t>
    </r>
  </si>
  <si>
    <t>610牙牙</t>
  </si>
  <si>
    <t>キバゴ</t>
  </si>
  <si>
    <t>Axew</t>
  </si>
  <si>
    <r>
      <rPr>
        <sz val="12"/>
        <rFont val="宋体"/>
        <charset val="134"/>
      </rPr>
      <t>611</t>
    </r>
  </si>
  <si>
    <t>611斧牙龙</t>
  </si>
  <si>
    <t>オノンド</t>
  </si>
  <si>
    <t>Fraxure</t>
  </si>
  <si>
    <r>
      <rPr>
        <sz val="12"/>
        <rFont val="宋体"/>
        <charset val="134"/>
      </rPr>
      <t>612</t>
    </r>
  </si>
  <si>
    <t>612双斧战龙</t>
  </si>
  <si>
    <t>オノノクス</t>
  </si>
  <si>
    <t>Haxorus</t>
  </si>
  <si>
    <r>
      <rPr>
        <sz val="12"/>
        <rFont val="宋体"/>
        <charset val="134"/>
      </rPr>
      <t>613</t>
    </r>
  </si>
  <si>
    <t>613喷嚏熊</t>
  </si>
  <si>
    <t>クマシュン</t>
  </si>
  <si>
    <t>Cubchoo</t>
  </si>
  <si>
    <r>
      <rPr>
        <sz val="12"/>
        <rFont val="宋体"/>
        <charset val="134"/>
      </rPr>
      <t>614</t>
    </r>
  </si>
  <si>
    <t>614冻原熊</t>
  </si>
  <si>
    <t>ツンベアー</t>
  </si>
  <si>
    <t>Beartic</t>
  </si>
  <si>
    <r>
      <rPr>
        <sz val="12"/>
        <rFont val="宋体"/>
        <charset val="134"/>
      </rPr>
      <t>615</t>
    </r>
  </si>
  <si>
    <t>615几何雪花</t>
  </si>
  <si>
    <t>フリージオ</t>
  </si>
  <si>
    <t>Cryogonal</t>
  </si>
  <si>
    <r>
      <rPr>
        <sz val="12"/>
        <rFont val="宋体"/>
        <charset val="134"/>
      </rPr>
      <t>616</t>
    </r>
  </si>
  <si>
    <t>616小嘴蜗</t>
  </si>
  <si>
    <t>チョボマキ</t>
  </si>
  <si>
    <t>Shelmet</t>
  </si>
  <si>
    <r>
      <rPr>
        <sz val="12"/>
        <rFont val="宋体"/>
        <charset val="134"/>
      </rPr>
      <t>617</t>
    </r>
  </si>
  <si>
    <t>617敏捷虫</t>
  </si>
  <si>
    <t>アギルダー</t>
  </si>
  <si>
    <t>Accelgor</t>
  </si>
  <si>
    <r>
      <rPr>
        <sz val="12"/>
        <rFont val="宋体"/>
        <charset val="134"/>
      </rPr>
      <t>618</t>
    </r>
  </si>
  <si>
    <t>618泥巴鱼</t>
  </si>
  <si>
    <t>マッギョ</t>
  </si>
  <si>
    <t>Stunfisk</t>
  </si>
  <si>
    <r>
      <rPr>
        <sz val="12"/>
        <rFont val="宋体"/>
        <charset val="134"/>
      </rPr>
      <t>619</t>
    </r>
  </si>
  <si>
    <t>619功夫鼬</t>
  </si>
  <si>
    <t>コジョフー</t>
  </si>
  <si>
    <t>Mienfoo</t>
  </si>
  <si>
    <r>
      <rPr>
        <sz val="12"/>
        <rFont val="宋体"/>
        <charset val="134"/>
      </rPr>
      <t>620</t>
    </r>
  </si>
  <si>
    <t>620师父鼬</t>
  </si>
  <si>
    <t>コジョンド</t>
  </si>
  <si>
    <t>Mienshao</t>
  </si>
  <si>
    <r>
      <rPr>
        <sz val="12"/>
        <rFont val="宋体"/>
        <charset val="134"/>
      </rPr>
      <t>621</t>
    </r>
  </si>
  <si>
    <t>621赤面龙</t>
  </si>
  <si>
    <t>クリムガン</t>
  </si>
  <si>
    <t>Druddigon</t>
  </si>
  <si>
    <r>
      <rPr>
        <sz val="12"/>
        <rFont val="宋体"/>
        <charset val="134"/>
      </rPr>
      <t>622</t>
    </r>
  </si>
  <si>
    <t>622泥偶小人</t>
  </si>
  <si>
    <t>ゴビット</t>
  </si>
  <si>
    <t>Golett</t>
  </si>
  <si>
    <r>
      <rPr>
        <sz val="12"/>
        <rFont val="宋体"/>
        <charset val="134"/>
      </rPr>
      <t>623</t>
    </r>
  </si>
  <si>
    <t>623泥偶巨人</t>
  </si>
  <si>
    <t>ゴルーグ</t>
  </si>
  <si>
    <t>Golurk</t>
  </si>
  <si>
    <r>
      <rPr>
        <sz val="12"/>
        <rFont val="宋体"/>
        <charset val="134"/>
      </rPr>
      <t>624</t>
    </r>
  </si>
  <si>
    <t>624驹刀小兵</t>
  </si>
  <si>
    <t>コマタナ</t>
  </si>
  <si>
    <t>Pawniard</t>
  </si>
  <si>
    <r>
      <rPr>
        <sz val="12"/>
        <rFont val="宋体"/>
        <charset val="134"/>
      </rPr>
      <t>625</t>
    </r>
  </si>
  <si>
    <t>625劈斩司令</t>
  </si>
  <si>
    <t>キリキザン</t>
  </si>
  <si>
    <t>Bisharp</t>
  </si>
  <si>
    <r>
      <rPr>
        <sz val="12"/>
        <rFont val="宋体"/>
        <charset val="134"/>
      </rPr>
      <t>626</t>
    </r>
  </si>
  <si>
    <t>626爆爆头水牛</t>
  </si>
  <si>
    <t>バッフロン</t>
  </si>
  <si>
    <t>Bouffalant</t>
  </si>
  <si>
    <r>
      <rPr>
        <sz val="12"/>
        <rFont val="宋体"/>
        <charset val="134"/>
      </rPr>
      <t>627</t>
    </r>
  </si>
  <si>
    <t>627毛头小鹰</t>
  </si>
  <si>
    <t>ワシボン</t>
  </si>
  <si>
    <t>Rufflet</t>
  </si>
  <si>
    <r>
      <rPr>
        <sz val="12"/>
        <rFont val="宋体"/>
        <charset val="134"/>
      </rPr>
      <t>628</t>
    </r>
  </si>
  <si>
    <t>628勇士鹰</t>
  </si>
  <si>
    <t>ウォーグル</t>
  </si>
  <si>
    <t>Braviary</t>
  </si>
  <si>
    <r>
      <rPr>
        <sz val="12"/>
        <rFont val="宋体"/>
        <charset val="134"/>
      </rPr>
      <t>629</t>
    </r>
  </si>
  <si>
    <t>629秃鹰小子</t>
  </si>
  <si>
    <t>バルチャイ</t>
  </si>
  <si>
    <t>Vullaby</t>
  </si>
  <si>
    <r>
      <rPr>
        <sz val="12"/>
        <rFont val="宋体"/>
        <charset val="134"/>
      </rPr>
      <t>630</t>
    </r>
  </si>
  <si>
    <t>630秃鹰娜</t>
  </si>
  <si>
    <t>バルジーナ</t>
  </si>
  <si>
    <t>Mandibuzz</t>
  </si>
  <si>
    <r>
      <rPr>
        <sz val="12"/>
        <rFont val="宋体"/>
        <charset val="134"/>
      </rPr>
      <t>631</t>
    </r>
  </si>
  <si>
    <t>631食蚁炉</t>
  </si>
  <si>
    <t>クイタラン</t>
  </si>
  <si>
    <t>Heatmor</t>
  </si>
  <si>
    <r>
      <rPr>
        <sz val="12"/>
        <rFont val="宋体"/>
        <charset val="134"/>
      </rPr>
      <t>632</t>
    </r>
  </si>
  <si>
    <t>632铁蚁</t>
  </si>
  <si>
    <t>アイアント</t>
  </si>
  <si>
    <t>Durant</t>
  </si>
  <si>
    <r>
      <rPr>
        <sz val="12"/>
        <rFont val="宋体"/>
        <charset val="134"/>
      </rPr>
      <t>633</t>
    </r>
  </si>
  <si>
    <t>633单首龙</t>
  </si>
  <si>
    <t>モノズ</t>
  </si>
  <si>
    <t>Deino</t>
  </si>
  <si>
    <r>
      <rPr>
        <sz val="12"/>
        <rFont val="宋体"/>
        <charset val="134"/>
      </rPr>
      <t>634</t>
    </r>
  </si>
  <si>
    <t>634双头龙</t>
  </si>
  <si>
    <t>ジヘッド</t>
  </si>
  <si>
    <t>Zweilous</t>
  </si>
  <si>
    <r>
      <rPr>
        <sz val="12"/>
        <rFont val="宋体"/>
        <charset val="134"/>
      </rPr>
      <t>635</t>
    </r>
  </si>
  <si>
    <t>635三头龙</t>
  </si>
  <si>
    <t>サザンドラ</t>
  </si>
  <si>
    <t>Hydreigon</t>
  </si>
  <si>
    <r>
      <rPr>
        <sz val="12"/>
        <rFont val="宋体"/>
        <charset val="134"/>
      </rPr>
      <t>636</t>
    </r>
  </si>
  <si>
    <t>636燃烧虫</t>
  </si>
  <si>
    <t>メラルバ</t>
  </si>
  <si>
    <t>Larvesta</t>
  </si>
  <si>
    <r>
      <rPr>
        <sz val="12"/>
        <rFont val="宋体"/>
        <charset val="134"/>
      </rPr>
      <t>637</t>
    </r>
  </si>
  <si>
    <t>637火神虫</t>
  </si>
  <si>
    <t>ウルガモス</t>
  </si>
  <si>
    <t>Volcarona</t>
  </si>
  <si>
    <r>
      <rPr>
        <sz val="12"/>
        <rFont val="宋体"/>
        <charset val="134"/>
      </rPr>
      <t>638</t>
    </r>
  </si>
  <si>
    <t>638勾帕路翁</t>
  </si>
  <si>
    <t>コバルオン</t>
  </si>
  <si>
    <t>Cobalion</t>
  </si>
  <si>
    <r>
      <rPr>
        <sz val="12"/>
        <rFont val="宋体"/>
        <charset val="134"/>
      </rPr>
      <t>639</t>
    </r>
  </si>
  <si>
    <t>639代拉基翁</t>
  </si>
  <si>
    <t>テラキオン</t>
  </si>
  <si>
    <t>Terrakion</t>
  </si>
  <si>
    <r>
      <rPr>
        <sz val="12"/>
        <rFont val="宋体"/>
        <charset val="134"/>
      </rPr>
      <t>640</t>
    </r>
  </si>
  <si>
    <t>640毕力吉翁</t>
  </si>
  <si>
    <t>ビリジオン</t>
  </si>
  <si>
    <t>Virizion</t>
  </si>
  <si>
    <r>
      <rPr>
        <sz val="12"/>
        <rFont val="宋体"/>
        <charset val="134"/>
      </rPr>
      <t>641</t>
    </r>
  </si>
  <si>
    <t>641龙卷云</t>
  </si>
  <si>
    <t>トルネロス</t>
  </si>
  <si>
    <t>Tornadus</t>
  </si>
  <si>
    <r>
      <rPr>
        <sz val="12"/>
        <rFont val="宋体"/>
        <charset val="134"/>
      </rPr>
      <t>642</t>
    </r>
  </si>
  <si>
    <t>642雷电云</t>
  </si>
  <si>
    <t>ボルトロス</t>
  </si>
  <si>
    <t>Thundurus</t>
  </si>
  <si>
    <r>
      <rPr>
        <sz val="12"/>
        <rFont val="宋体"/>
        <charset val="134"/>
      </rPr>
      <t>643</t>
    </r>
  </si>
  <si>
    <t>643雷希拉姆</t>
  </si>
  <si>
    <t>レシラム</t>
  </si>
  <si>
    <t>Reshiram</t>
  </si>
  <si>
    <r>
      <rPr>
        <sz val="12"/>
        <rFont val="宋体"/>
        <charset val="134"/>
      </rPr>
      <t>644</t>
    </r>
  </si>
  <si>
    <t>644捷克罗姆</t>
  </si>
  <si>
    <t>ゼクロム</t>
  </si>
  <si>
    <t>Zekrom</t>
  </si>
  <si>
    <r>
      <rPr>
        <sz val="12"/>
        <rFont val="宋体"/>
        <charset val="134"/>
      </rPr>
      <t>645</t>
    </r>
  </si>
  <si>
    <t>645土地云</t>
  </si>
  <si>
    <t>ランドロス</t>
  </si>
  <si>
    <t>Landorus</t>
  </si>
  <si>
    <r>
      <rPr>
        <sz val="12"/>
        <rFont val="宋体"/>
        <charset val="134"/>
      </rPr>
      <t>646</t>
    </r>
  </si>
  <si>
    <t>646酋雷姆</t>
  </si>
  <si>
    <t>キュレム</t>
  </si>
  <si>
    <t>Kyurem</t>
  </si>
  <si>
    <r>
      <rPr>
        <sz val="12"/>
        <rFont val="宋体"/>
        <charset val="134"/>
      </rPr>
      <t>647</t>
    </r>
  </si>
  <si>
    <t>647凯路迪欧</t>
  </si>
  <si>
    <t>ケルディオ</t>
  </si>
  <si>
    <t>Keldeo</t>
  </si>
  <si>
    <r>
      <rPr>
        <sz val="12"/>
        <rFont val="宋体"/>
        <charset val="134"/>
      </rPr>
      <t>648</t>
    </r>
  </si>
  <si>
    <t>648美洛耶塔</t>
  </si>
  <si>
    <t>メロエッタ</t>
  </si>
  <si>
    <t>Meloetta</t>
  </si>
  <si>
    <r>
      <rPr>
        <sz val="12"/>
        <rFont val="宋体"/>
        <charset val="134"/>
      </rPr>
      <t>649</t>
    </r>
  </si>
  <si>
    <t>649盖诺赛克特</t>
  </si>
  <si>
    <t>ゲノセクト</t>
  </si>
  <si>
    <t>Genesect</t>
  </si>
  <si>
    <r>
      <rPr>
        <sz val="12"/>
        <rFont val="宋体"/>
        <charset val="134"/>
      </rPr>
      <t>650</t>
    </r>
  </si>
  <si>
    <t>ハリマロン</t>
  </si>
  <si>
    <t>Chespin</t>
  </si>
  <si>
    <r>
      <rPr>
        <sz val="12"/>
        <rFont val="宋体"/>
        <charset val="134"/>
      </rPr>
      <t>651</t>
    </r>
  </si>
  <si>
    <t>ハリボーグ</t>
  </si>
  <si>
    <t>Quilladin</t>
  </si>
  <si>
    <r>
      <rPr>
        <sz val="12"/>
        <rFont val="宋体"/>
        <charset val="134"/>
      </rPr>
      <t>652</t>
    </r>
  </si>
  <si>
    <t>ブリガロン</t>
  </si>
  <si>
    <t>Chesnaught</t>
  </si>
  <si>
    <r>
      <rPr>
        <sz val="12"/>
        <rFont val="宋体"/>
        <charset val="134"/>
      </rPr>
      <t>653</t>
    </r>
  </si>
  <si>
    <t>フォッコ</t>
  </si>
  <si>
    <t>Fennekin</t>
  </si>
  <si>
    <r>
      <rPr>
        <sz val="12"/>
        <rFont val="宋体"/>
        <charset val="134"/>
      </rPr>
      <t>654</t>
    </r>
  </si>
  <si>
    <t>テールナー</t>
  </si>
  <si>
    <t>Braixen</t>
  </si>
  <si>
    <r>
      <rPr>
        <sz val="12"/>
        <rFont val="宋体"/>
        <charset val="134"/>
      </rPr>
      <t>655</t>
    </r>
  </si>
  <si>
    <t>マフォクシー</t>
  </si>
  <si>
    <t>Delphox</t>
  </si>
  <si>
    <r>
      <rPr>
        <sz val="12"/>
        <rFont val="宋体"/>
        <charset val="134"/>
      </rPr>
      <t>656</t>
    </r>
  </si>
  <si>
    <t>ケロマツ</t>
  </si>
  <si>
    <t>Froakie</t>
  </si>
  <si>
    <r>
      <rPr>
        <sz val="12"/>
        <rFont val="宋体"/>
        <charset val="134"/>
      </rPr>
      <t>657</t>
    </r>
  </si>
  <si>
    <t>ゲコガシラ</t>
  </si>
  <si>
    <t>Frogadier</t>
  </si>
  <si>
    <r>
      <rPr>
        <sz val="12"/>
        <rFont val="宋体"/>
        <charset val="134"/>
      </rPr>
      <t>658</t>
    </r>
  </si>
  <si>
    <t>ゲッコウガ</t>
  </si>
  <si>
    <t>Greninja</t>
  </si>
  <si>
    <r>
      <rPr>
        <sz val="12"/>
        <rFont val="宋体"/>
        <charset val="134"/>
      </rPr>
      <t>659</t>
    </r>
  </si>
  <si>
    <t>ホルビー</t>
  </si>
  <si>
    <t>Bunnelby</t>
  </si>
  <si>
    <r>
      <rPr>
        <sz val="12"/>
        <rFont val="宋体"/>
        <charset val="134"/>
      </rPr>
      <t>660</t>
    </r>
  </si>
  <si>
    <t>ホルード</t>
  </si>
  <si>
    <t>Diggersby</t>
  </si>
  <si>
    <r>
      <rPr>
        <sz val="12"/>
        <rFont val="宋体"/>
        <charset val="134"/>
      </rPr>
      <t>661</t>
    </r>
  </si>
  <si>
    <t>ヤヤコマ</t>
  </si>
  <si>
    <t>Fletchling</t>
  </si>
  <si>
    <r>
      <rPr>
        <sz val="12"/>
        <rFont val="宋体"/>
        <charset val="134"/>
      </rPr>
      <t>662</t>
    </r>
  </si>
  <si>
    <t>ヒノヤコマ</t>
  </si>
  <si>
    <t>Fletchinder</t>
  </si>
  <si>
    <r>
      <rPr>
        <sz val="12"/>
        <rFont val="宋体"/>
        <charset val="134"/>
      </rPr>
      <t>663</t>
    </r>
  </si>
  <si>
    <t>ファイアロー</t>
  </si>
  <si>
    <t>Talonflame</t>
  </si>
  <si>
    <r>
      <rPr>
        <sz val="12"/>
        <rFont val="宋体"/>
        <charset val="134"/>
      </rPr>
      <t>664</t>
    </r>
  </si>
  <si>
    <t>コフキムシ</t>
  </si>
  <si>
    <t>Scatterbug</t>
  </si>
  <si>
    <r>
      <rPr>
        <sz val="12"/>
        <rFont val="宋体"/>
        <charset val="134"/>
      </rPr>
      <t>665</t>
    </r>
  </si>
  <si>
    <t>コフーライ</t>
  </si>
  <si>
    <t>Spewpa</t>
  </si>
  <si>
    <r>
      <rPr>
        <sz val="12"/>
        <rFont val="宋体"/>
        <charset val="134"/>
      </rPr>
      <t>666</t>
    </r>
  </si>
  <si>
    <t>ビビヨン</t>
  </si>
  <si>
    <t>Vivillon</t>
  </si>
  <si>
    <r>
      <rPr>
        <sz val="12"/>
        <rFont val="宋体"/>
        <charset val="134"/>
      </rPr>
      <t>667</t>
    </r>
  </si>
  <si>
    <t>シシコ</t>
  </si>
  <si>
    <t>Litleo</t>
  </si>
  <si>
    <r>
      <rPr>
        <sz val="12"/>
        <rFont val="宋体"/>
        <charset val="134"/>
      </rPr>
      <t>668</t>
    </r>
  </si>
  <si>
    <t>カエンジシ</t>
  </si>
  <si>
    <t>Pyroar</t>
  </si>
  <si>
    <r>
      <rPr>
        <sz val="12"/>
        <rFont val="宋体"/>
        <charset val="134"/>
      </rPr>
      <t>669</t>
    </r>
  </si>
  <si>
    <t>フラベベ</t>
  </si>
  <si>
    <t>Flabébé</t>
  </si>
  <si>
    <r>
      <rPr>
        <sz val="12"/>
        <rFont val="宋体"/>
        <charset val="134"/>
      </rPr>
      <t>670</t>
    </r>
  </si>
  <si>
    <t>フラエッテ</t>
  </si>
  <si>
    <t>Floette</t>
  </si>
  <si>
    <r>
      <rPr>
        <sz val="12"/>
        <rFont val="宋体"/>
        <charset val="134"/>
      </rPr>
      <t>671</t>
    </r>
  </si>
  <si>
    <t>フラージェス</t>
  </si>
  <si>
    <t>Florges</t>
  </si>
  <si>
    <r>
      <rPr>
        <sz val="12"/>
        <rFont val="宋体"/>
        <charset val="134"/>
      </rPr>
      <t>672</t>
    </r>
  </si>
  <si>
    <t>メェークル</t>
  </si>
  <si>
    <t>Skiddo</t>
  </si>
  <si>
    <r>
      <rPr>
        <sz val="12"/>
        <rFont val="宋体"/>
        <charset val="134"/>
      </rPr>
      <t>673</t>
    </r>
  </si>
  <si>
    <t>ゴーゴート</t>
  </si>
  <si>
    <t>Gogoat</t>
  </si>
  <si>
    <r>
      <rPr>
        <sz val="12"/>
        <rFont val="宋体"/>
        <charset val="134"/>
      </rPr>
      <t>674</t>
    </r>
  </si>
  <si>
    <t>ヤンチャム</t>
  </si>
  <si>
    <t>Pancham</t>
  </si>
  <si>
    <r>
      <rPr>
        <sz val="12"/>
        <rFont val="宋体"/>
        <charset val="134"/>
      </rPr>
      <t>675</t>
    </r>
  </si>
  <si>
    <t>ゴロンダ</t>
  </si>
  <si>
    <t>Pangoro</t>
  </si>
  <si>
    <r>
      <rPr>
        <sz val="12"/>
        <rFont val="宋体"/>
        <charset val="134"/>
      </rPr>
      <t>676</t>
    </r>
  </si>
  <si>
    <t>トリミアン</t>
  </si>
  <si>
    <t>Furfrou</t>
  </si>
  <si>
    <r>
      <rPr>
        <sz val="12"/>
        <rFont val="宋体"/>
        <charset val="134"/>
      </rPr>
      <t>677</t>
    </r>
  </si>
  <si>
    <t>ニャスパー</t>
  </si>
  <si>
    <t>Espurr</t>
  </si>
  <si>
    <r>
      <rPr>
        <sz val="12"/>
        <rFont val="宋体"/>
        <charset val="134"/>
      </rPr>
      <t>678</t>
    </r>
  </si>
  <si>
    <t>ニャオニクス</t>
  </si>
  <si>
    <t>Meowstic</t>
  </si>
  <si>
    <r>
      <rPr>
        <sz val="12"/>
        <rFont val="宋体"/>
        <charset val="134"/>
      </rPr>
      <t>679</t>
    </r>
  </si>
  <si>
    <t>ヒトツキ</t>
  </si>
  <si>
    <t>Honedge</t>
  </si>
  <si>
    <r>
      <rPr>
        <sz val="12"/>
        <rFont val="宋体"/>
        <charset val="134"/>
      </rPr>
      <t>680</t>
    </r>
  </si>
  <si>
    <t>ニダンギル</t>
  </si>
  <si>
    <t>Doublade</t>
  </si>
  <si>
    <r>
      <rPr>
        <sz val="12"/>
        <rFont val="宋体"/>
        <charset val="134"/>
      </rPr>
      <t>681</t>
    </r>
  </si>
  <si>
    <t>ギルガルド</t>
  </si>
  <si>
    <t>Aegislash</t>
  </si>
  <si>
    <r>
      <rPr>
        <sz val="12"/>
        <rFont val="宋体"/>
        <charset val="134"/>
      </rPr>
      <t>682</t>
    </r>
  </si>
  <si>
    <t>シュシュプ</t>
  </si>
  <si>
    <t>Spritzee</t>
  </si>
  <si>
    <r>
      <rPr>
        <sz val="12"/>
        <rFont val="宋体"/>
        <charset val="134"/>
      </rPr>
      <t>683</t>
    </r>
  </si>
  <si>
    <t>フレフワン</t>
  </si>
  <si>
    <t>Aromatisse</t>
  </si>
  <si>
    <r>
      <rPr>
        <sz val="12"/>
        <rFont val="宋体"/>
        <charset val="134"/>
      </rPr>
      <t>684</t>
    </r>
  </si>
  <si>
    <t>ペロッパフ</t>
  </si>
  <si>
    <t>Swirlix</t>
  </si>
  <si>
    <r>
      <rPr>
        <sz val="12"/>
        <rFont val="宋体"/>
        <charset val="134"/>
      </rPr>
      <t>685</t>
    </r>
  </si>
  <si>
    <t>ペロリーム</t>
  </si>
  <si>
    <t>Slurpuff</t>
  </si>
  <si>
    <r>
      <rPr>
        <sz val="12"/>
        <rFont val="宋体"/>
        <charset val="134"/>
      </rPr>
      <t>686</t>
    </r>
  </si>
  <si>
    <t>マーイーカ</t>
  </si>
  <si>
    <t>Inkay</t>
  </si>
  <si>
    <r>
      <rPr>
        <sz val="12"/>
        <rFont val="宋体"/>
        <charset val="134"/>
      </rPr>
      <t>687</t>
    </r>
  </si>
  <si>
    <t>カラマネロ</t>
  </si>
  <si>
    <t>Malamar</t>
  </si>
  <si>
    <r>
      <rPr>
        <sz val="12"/>
        <rFont val="宋体"/>
        <charset val="134"/>
      </rPr>
      <t>688</t>
    </r>
  </si>
  <si>
    <t>カメテテ</t>
  </si>
  <si>
    <t>Binacle</t>
  </si>
  <si>
    <r>
      <rPr>
        <sz val="12"/>
        <rFont val="宋体"/>
        <charset val="134"/>
      </rPr>
      <t>689</t>
    </r>
  </si>
  <si>
    <t>ガメノデス</t>
  </si>
  <si>
    <t>Barbaracle</t>
  </si>
  <si>
    <r>
      <rPr>
        <sz val="12"/>
        <rFont val="宋体"/>
        <charset val="134"/>
      </rPr>
      <t>690</t>
    </r>
  </si>
  <si>
    <t>クズモー</t>
  </si>
  <si>
    <t>Skrelp</t>
  </si>
  <si>
    <r>
      <rPr>
        <sz val="12"/>
        <rFont val="宋体"/>
        <charset val="134"/>
      </rPr>
      <t>691</t>
    </r>
  </si>
  <si>
    <t>ドラミドロ</t>
  </si>
  <si>
    <t>Dragalge</t>
  </si>
  <si>
    <r>
      <rPr>
        <sz val="12"/>
        <rFont val="宋体"/>
        <charset val="134"/>
      </rPr>
      <t>692</t>
    </r>
  </si>
  <si>
    <t>ウデッポウ</t>
  </si>
  <si>
    <t>Clauncher</t>
  </si>
  <si>
    <r>
      <rPr>
        <sz val="12"/>
        <rFont val="宋体"/>
        <charset val="134"/>
      </rPr>
      <t>693</t>
    </r>
  </si>
  <si>
    <t>ブロスター</t>
  </si>
  <si>
    <t>Clawitzer</t>
  </si>
  <si>
    <r>
      <rPr>
        <sz val="12"/>
        <rFont val="宋体"/>
        <charset val="134"/>
      </rPr>
      <t>694</t>
    </r>
  </si>
  <si>
    <t>エリキテル</t>
  </si>
  <si>
    <t>Helioptile</t>
  </si>
  <si>
    <r>
      <rPr>
        <sz val="12"/>
        <rFont val="宋体"/>
        <charset val="134"/>
      </rPr>
      <t>695</t>
    </r>
  </si>
  <si>
    <t>エレザード</t>
  </si>
  <si>
    <t>Heliolisk</t>
  </si>
  <si>
    <r>
      <rPr>
        <sz val="12"/>
        <rFont val="宋体"/>
        <charset val="134"/>
      </rPr>
      <t>696</t>
    </r>
  </si>
  <si>
    <t>チゴラス</t>
  </si>
  <si>
    <t>Tyrunt</t>
  </si>
  <si>
    <r>
      <rPr>
        <sz val="12"/>
        <rFont val="宋体"/>
        <charset val="134"/>
      </rPr>
      <t>697</t>
    </r>
  </si>
  <si>
    <t>ガチゴラス</t>
  </si>
  <si>
    <t>Tyrantrum</t>
  </si>
  <si>
    <r>
      <rPr>
        <sz val="12"/>
        <rFont val="宋体"/>
        <charset val="134"/>
      </rPr>
      <t>698</t>
    </r>
  </si>
  <si>
    <t>アマルス</t>
  </si>
  <si>
    <t>Amaura</t>
  </si>
  <si>
    <r>
      <rPr>
        <sz val="12"/>
        <rFont val="宋体"/>
        <charset val="134"/>
      </rPr>
      <t>699</t>
    </r>
  </si>
  <si>
    <t>アマルルガ</t>
  </si>
  <si>
    <t>Aurorus</t>
  </si>
  <si>
    <r>
      <rPr>
        <sz val="12"/>
        <rFont val="宋体"/>
        <charset val="134"/>
      </rPr>
      <t>700</t>
    </r>
  </si>
  <si>
    <t>ニンフィア</t>
  </si>
  <si>
    <t>Sylveon</t>
  </si>
  <si>
    <r>
      <rPr>
        <sz val="12"/>
        <rFont val="宋体"/>
        <charset val="134"/>
      </rPr>
      <t>701</t>
    </r>
  </si>
  <si>
    <t>ルチャブル</t>
  </si>
  <si>
    <t>Hawlucha</t>
  </si>
  <si>
    <r>
      <rPr>
        <sz val="12"/>
        <rFont val="宋体"/>
        <charset val="134"/>
      </rPr>
      <t>702</t>
    </r>
  </si>
  <si>
    <t>デデンネ</t>
  </si>
  <si>
    <t>Dedenne</t>
  </si>
  <si>
    <r>
      <rPr>
        <sz val="12"/>
        <rFont val="宋体"/>
        <charset val="134"/>
      </rPr>
      <t>703</t>
    </r>
  </si>
  <si>
    <t>メレシー</t>
  </si>
  <si>
    <t>Carbink</t>
  </si>
  <si>
    <r>
      <rPr>
        <sz val="12"/>
        <rFont val="宋体"/>
        <charset val="134"/>
      </rPr>
      <t>704</t>
    </r>
  </si>
  <si>
    <t>ヌメラ</t>
  </si>
  <si>
    <t>Goomy</t>
  </si>
  <si>
    <r>
      <rPr>
        <sz val="12"/>
        <rFont val="宋体"/>
        <charset val="134"/>
      </rPr>
      <t>705</t>
    </r>
  </si>
  <si>
    <t>ヌメイル</t>
  </si>
  <si>
    <t>Sliggoo</t>
  </si>
  <si>
    <r>
      <rPr>
        <sz val="12"/>
        <rFont val="宋体"/>
        <charset val="134"/>
      </rPr>
      <t>706</t>
    </r>
  </si>
  <si>
    <t>ヌメルゴン</t>
  </si>
  <si>
    <t>Goodra</t>
  </si>
  <si>
    <r>
      <rPr>
        <sz val="12"/>
        <rFont val="宋体"/>
        <charset val="134"/>
      </rPr>
      <t>707</t>
    </r>
  </si>
  <si>
    <t>クレッフィ</t>
  </si>
  <si>
    <t>Klefki</t>
  </si>
  <si>
    <r>
      <rPr>
        <sz val="12"/>
        <rFont val="宋体"/>
        <charset val="134"/>
      </rPr>
      <t>708</t>
    </r>
  </si>
  <si>
    <t>ボクレー</t>
  </si>
  <si>
    <t>Phantump</t>
  </si>
  <si>
    <r>
      <rPr>
        <sz val="12"/>
        <rFont val="宋体"/>
        <charset val="134"/>
      </rPr>
      <t>709</t>
    </r>
  </si>
  <si>
    <t>オーロット</t>
  </si>
  <si>
    <t>Trevenant</t>
  </si>
  <si>
    <r>
      <rPr>
        <sz val="12"/>
        <rFont val="宋体"/>
        <charset val="134"/>
      </rPr>
      <t>710</t>
    </r>
  </si>
  <si>
    <t>バケッチャ</t>
  </si>
  <si>
    <t>Pumpkaboo</t>
  </si>
  <si>
    <r>
      <rPr>
        <sz val="12"/>
        <rFont val="宋体"/>
        <charset val="134"/>
      </rPr>
      <t>711</t>
    </r>
  </si>
  <si>
    <t>パンプジン</t>
  </si>
  <si>
    <t>Gourgeist</t>
  </si>
  <si>
    <r>
      <rPr>
        <sz val="12"/>
        <rFont val="宋体"/>
        <charset val="134"/>
      </rPr>
      <t>712</t>
    </r>
  </si>
  <si>
    <t>カチコール</t>
  </si>
  <si>
    <t>Bergmite</t>
  </si>
  <si>
    <r>
      <rPr>
        <sz val="12"/>
        <rFont val="宋体"/>
        <charset val="134"/>
      </rPr>
      <t>713</t>
    </r>
  </si>
  <si>
    <t>クレベース</t>
  </si>
  <si>
    <t>Avalugg</t>
  </si>
  <si>
    <r>
      <rPr>
        <sz val="12"/>
        <rFont val="宋体"/>
        <charset val="134"/>
      </rPr>
      <t>714</t>
    </r>
  </si>
  <si>
    <t>オンバット</t>
  </si>
  <si>
    <t>Noibat</t>
  </si>
  <si>
    <r>
      <rPr>
        <sz val="12"/>
        <rFont val="宋体"/>
        <charset val="134"/>
      </rPr>
      <t>715</t>
    </r>
  </si>
  <si>
    <t>オンバーン</t>
  </si>
  <si>
    <t>Noivern</t>
  </si>
  <si>
    <r>
      <rPr>
        <sz val="12"/>
        <rFont val="宋体"/>
        <charset val="134"/>
      </rPr>
      <t>716</t>
    </r>
  </si>
  <si>
    <t>ゼルネアス</t>
  </si>
  <si>
    <t>Xerneas</t>
  </si>
  <si>
    <r>
      <rPr>
        <sz val="12"/>
        <rFont val="宋体"/>
        <charset val="134"/>
      </rPr>
      <t>717</t>
    </r>
  </si>
  <si>
    <t>イベルタル</t>
  </si>
  <si>
    <t>Yveltal</t>
  </si>
  <si>
    <r>
      <rPr>
        <sz val="12"/>
        <rFont val="宋体"/>
        <charset val="134"/>
      </rPr>
      <t>718</t>
    </r>
  </si>
  <si>
    <t>ジガルデ</t>
  </si>
  <si>
    <t>Zygarde</t>
  </si>
  <si>
    <r>
      <rPr>
        <sz val="12"/>
        <rFont val="宋体"/>
        <charset val="134"/>
      </rPr>
      <t>719</t>
    </r>
  </si>
  <si>
    <t>ディアンシー</t>
  </si>
  <si>
    <t>Diancie</t>
  </si>
  <si>
    <t>个体值计算器</t>
  </si>
  <si>
    <t>383 固拉多</t>
  </si>
  <si>
    <t>number</t>
  </si>
  <si>
    <t>name_chs</t>
  </si>
  <si>
    <t>name_jp</t>
  </si>
  <si>
    <t>name_eng</t>
  </si>
  <si>
    <t>trait1</t>
  </si>
  <si>
    <t>trait2</t>
  </si>
  <si>
    <t>trait3</t>
  </si>
  <si>
    <t>hp</t>
  </si>
  <si>
    <t>atk</t>
  </si>
  <si>
    <t>def</t>
  </si>
  <si>
    <t>satk</t>
  </si>
  <si>
    <t>sdef</t>
  </si>
  <si>
    <t>spd</t>
  </si>
  <si>
    <t>sum</t>
  </si>
  <si>
    <t>type1</t>
  </si>
  <si>
    <t>type2</t>
  </si>
  <si>
    <t>weight</t>
  </si>
  <si>
    <t>sex</t>
  </si>
  <si>
    <t>capture</t>
  </si>
  <si>
    <t>egggroup1</t>
  </si>
  <si>
    <t>egggroup2</t>
  </si>
  <si>
    <t>lay</t>
  </si>
  <si>
    <t>exp</t>
  </si>
  <si>
    <t>编号</t>
  </si>
  <si>
    <t>精灵</t>
  </si>
  <si>
    <t>性别</t>
  </si>
  <si>
    <t>捕捉率</t>
  </si>
  <si>
    <t>生蛋组1</t>
  </si>
  <si>
    <t>生蛋组2</t>
  </si>
  <si>
    <t>孵化步数</t>
  </si>
  <si>
    <t>经验值</t>
  </si>
  <si>
    <t>001</t>
  </si>
  <si>
    <t>妙蛙种子</t>
  </si>
  <si>
    <t>nulll</t>
  </si>
  <si>
    <t>叶绿素</t>
  </si>
  <si>
    <t>怪兽</t>
  </si>
  <si>
    <t>植物</t>
  </si>
  <si>
    <t>002</t>
  </si>
  <si>
    <t>妙蛙草</t>
  </si>
  <si>
    <t>003</t>
  </si>
  <si>
    <t>妙蛙花</t>
  </si>
  <si>
    <t>004</t>
  </si>
  <si>
    <t>小火龙</t>
  </si>
  <si>
    <t>005</t>
  </si>
  <si>
    <t>火恐龙</t>
  </si>
  <si>
    <t>006</t>
  </si>
  <si>
    <t>喷火龙</t>
  </si>
  <si>
    <t>007</t>
  </si>
  <si>
    <t>杰尼龟</t>
  </si>
  <si>
    <t>接雨盘</t>
  </si>
  <si>
    <t>008</t>
  </si>
  <si>
    <t>卡咪龟</t>
  </si>
  <si>
    <t>009</t>
  </si>
  <si>
    <t>水箭龟</t>
  </si>
  <si>
    <t>010</t>
  </si>
  <si>
    <t>绿毛虫</t>
  </si>
  <si>
    <t>鳞粉</t>
  </si>
  <si>
    <t>逃足</t>
  </si>
  <si>
    <t>null</t>
  </si>
  <si>
    <t>011</t>
  </si>
  <si>
    <t>铁甲蛹</t>
  </si>
  <si>
    <t>蜕皮</t>
  </si>
  <si>
    <r>
      <rPr>
        <sz val="11"/>
        <rFont val="微软雅黑"/>
        <charset val="134"/>
      </rPr>
      <t>蜕</t>
    </r>
    <r>
      <rPr>
        <sz val="11"/>
        <color indexed="1"/>
        <rFont val="微软雅黑"/>
        <charset val="134"/>
      </rPr>
      <t>皮</t>
    </r>
  </si>
  <si>
    <t>012</t>
  </si>
  <si>
    <t>巴大蝴</t>
  </si>
  <si>
    <t>013</t>
  </si>
  <si>
    <t>独角虫</t>
  </si>
  <si>
    <t>014</t>
  </si>
  <si>
    <t>铁壳昆</t>
  </si>
  <si>
    <t>015</t>
  </si>
  <si>
    <t>大针蜂</t>
  </si>
  <si>
    <t>虫之预感</t>
  </si>
  <si>
    <t>016</t>
  </si>
  <si>
    <t>波波</t>
  </si>
  <si>
    <t>锐利目光</t>
  </si>
  <si>
    <t>胸甲</t>
  </si>
  <si>
    <t>飞行</t>
  </si>
  <si>
    <t>017</t>
  </si>
  <si>
    <t>比比鸟</t>
  </si>
  <si>
    <t>018</t>
  </si>
  <si>
    <t>比雕</t>
  </si>
  <si>
    <t>019</t>
  </si>
  <si>
    <t>小拉达</t>
  </si>
  <si>
    <t>地面</t>
  </si>
  <si>
    <t>020</t>
  </si>
  <si>
    <t>拉达</t>
  </si>
  <si>
    <t>021</t>
  </si>
  <si>
    <t>烈雀</t>
  </si>
  <si>
    <t>022</t>
  </si>
  <si>
    <t>大嘴雀</t>
  </si>
  <si>
    <t>023</t>
  </si>
  <si>
    <t>阿柏蛇</t>
  </si>
  <si>
    <t>威吓</t>
  </si>
  <si>
    <t>紧张感</t>
  </si>
  <si>
    <t>024</t>
  </si>
  <si>
    <t>阿柏怪</t>
  </si>
  <si>
    <r>
      <rPr>
        <sz val="11"/>
        <rFont val="微软雅黑"/>
        <charset val="134"/>
      </rPr>
      <t>紧</t>
    </r>
    <r>
      <rPr>
        <sz val="11"/>
        <color indexed="1"/>
        <rFont val="微软雅黑"/>
        <charset val="134"/>
      </rPr>
      <t>张感</t>
    </r>
  </si>
  <si>
    <t>025</t>
  </si>
  <si>
    <t>皮卡丘</t>
  </si>
  <si>
    <t>静电</t>
  </si>
  <si>
    <t>妖精</t>
  </si>
  <si>
    <t>026</t>
  </si>
  <si>
    <t>雷丘</t>
  </si>
  <si>
    <r>
      <rPr>
        <sz val="11"/>
        <rFont val="微软雅黑"/>
        <charset val="134"/>
      </rPr>
      <t>避</t>
    </r>
    <r>
      <rPr>
        <sz val="11"/>
        <color indexed="1"/>
        <rFont val="微软雅黑"/>
        <charset val="134"/>
      </rPr>
      <t>雷针</t>
    </r>
  </si>
  <si>
    <t>027</t>
  </si>
  <si>
    <t>穿山鼠</t>
  </si>
  <si>
    <t>挖沙</t>
  </si>
  <si>
    <t>028</t>
  </si>
  <si>
    <t>穿山王</t>
  </si>
  <si>
    <t>029</t>
  </si>
  <si>
    <t>尼多兰</t>
  </si>
  <si>
    <t>毒刺</t>
  </si>
  <si>
    <r>
      <rPr>
        <sz val="11"/>
        <rFont val="微软雅黑"/>
        <charset val="134"/>
      </rPr>
      <t>斗</t>
    </r>
    <r>
      <rPr>
        <sz val="11"/>
        <color indexed="1"/>
        <rFont val="微软雅黑"/>
        <charset val="134"/>
      </rPr>
      <t>争心</t>
    </r>
  </si>
  <si>
    <r>
      <rPr>
        <sz val="11"/>
        <rFont val="微软雅黑"/>
        <charset val="134"/>
      </rPr>
      <t>紧</t>
    </r>
    <r>
      <rPr>
        <sz val="11"/>
        <color indexed="1"/>
        <rFont val="微软雅黑"/>
        <charset val="134"/>
      </rPr>
      <t>张</t>
    </r>
  </si>
  <si>
    <t>030</t>
  </si>
  <si>
    <t>尼多娜</t>
  </si>
  <si>
    <t>不能生蛋</t>
  </si>
  <si>
    <t>031</t>
  </si>
  <si>
    <t>尼多后</t>
  </si>
  <si>
    <t>斗争心</t>
  </si>
  <si>
    <t>032</t>
  </si>
  <si>
    <t>尼多郎</t>
  </si>
  <si>
    <t>033</t>
  </si>
  <si>
    <t>尼多力诺</t>
  </si>
  <si>
    <t>034</t>
  </si>
  <si>
    <t>尼多王</t>
  </si>
  <si>
    <t>035</t>
  </si>
  <si>
    <t>皮皮</t>
  </si>
  <si>
    <t>魅惑身躯</t>
  </si>
  <si>
    <t>魔法守护</t>
  </si>
  <si>
    <t>队友守护</t>
  </si>
  <si>
    <t>036</t>
  </si>
  <si>
    <t>皮可西</t>
  </si>
  <si>
    <t>天然</t>
  </si>
  <si>
    <t>037</t>
  </si>
  <si>
    <t>六尾</t>
  </si>
  <si>
    <t>干旱</t>
  </si>
  <si>
    <t>038</t>
  </si>
  <si>
    <t>九尾</t>
  </si>
  <si>
    <t>039</t>
  </si>
  <si>
    <t>胖丁</t>
  </si>
  <si>
    <t>争强好胜</t>
  </si>
  <si>
    <t>040</t>
  </si>
  <si>
    <t>胖可丁</t>
  </si>
  <si>
    <t>洞察</t>
  </si>
  <si>
    <t>041</t>
  </si>
  <si>
    <t>超音蝠</t>
  </si>
  <si>
    <t>精神力</t>
  </si>
  <si>
    <t>穿透</t>
  </si>
  <si>
    <t>042</t>
  </si>
  <si>
    <t>大嘴蝠</t>
  </si>
  <si>
    <t>043</t>
  </si>
  <si>
    <t>走路草</t>
  </si>
  <si>
    <t>044</t>
  </si>
  <si>
    <t>臭臭花</t>
  </si>
  <si>
    <t>恶臭</t>
  </si>
  <si>
    <t>045</t>
  </si>
  <si>
    <t>霸王花</t>
  </si>
  <si>
    <t>孢子</t>
  </si>
  <si>
    <t>046</t>
  </si>
  <si>
    <t>派拉斯</t>
  </si>
  <si>
    <t>干燥肌肤</t>
  </si>
  <si>
    <t>潮湿</t>
  </si>
  <si>
    <t>047</t>
  </si>
  <si>
    <t>派拉斯特</t>
  </si>
  <si>
    <t>048</t>
  </si>
  <si>
    <t>毛球</t>
  </si>
  <si>
    <t>049</t>
  </si>
  <si>
    <t>末入蛾</t>
  </si>
  <si>
    <t>奇迹皮肤</t>
  </si>
  <si>
    <t>050</t>
  </si>
  <si>
    <t>地鼠</t>
  </si>
  <si>
    <t>蚁地狱</t>
  </si>
  <si>
    <t>051</t>
  </si>
  <si>
    <t>三地鼠</t>
  </si>
  <si>
    <r>
      <rPr>
        <sz val="11"/>
        <rFont val="微软雅黑"/>
        <charset val="134"/>
      </rPr>
      <t>蚁</t>
    </r>
    <r>
      <rPr>
        <sz val="11"/>
        <color indexed="1"/>
        <rFont val="微软雅黑"/>
        <charset val="134"/>
      </rPr>
      <t>地狱</t>
    </r>
  </si>
  <si>
    <r>
      <rPr>
        <sz val="11"/>
        <rFont val="微软雅黑"/>
        <charset val="134"/>
      </rPr>
      <t>沙</t>
    </r>
    <r>
      <rPr>
        <sz val="11"/>
        <color indexed="1"/>
        <rFont val="微软雅黑"/>
        <charset val="134"/>
      </rPr>
      <t>之力量</t>
    </r>
  </si>
  <si>
    <t>052</t>
  </si>
  <si>
    <t>喵喵</t>
  </si>
  <si>
    <t>拾取</t>
  </si>
  <si>
    <t>053</t>
  </si>
  <si>
    <t>猫老大</t>
  </si>
  <si>
    <t>柔软</t>
  </si>
  <si>
    <r>
      <rPr>
        <sz val="11"/>
        <rFont val="微软雅黑"/>
        <charset val="134"/>
      </rPr>
      <t>技</t>
    </r>
    <r>
      <rPr>
        <sz val="11"/>
        <color indexed="1"/>
        <rFont val="微软雅黑"/>
        <charset val="134"/>
      </rPr>
      <t>师</t>
    </r>
  </si>
  <si>
    <t>054</t>
  </si>
  <si>
    <t>可达鸭</t>
  </si>
  <si>
    <t>轻快</t>
  </si>
  <si>
    <t>055</t>
  </si>
  <si>
    <t>哥达鸭</t>
  </si>
  <si>
    <t>056</t>
  </si>
  <si>
    <t>猴怪</t>
  </si>
  <si>
    <t>干劲</t>
  </si>
  <si>
    <t>怒穴</t>
  </si>
  <si>
    <t>不服输</t>
  </si>
  <si>
    <t>057</t>
  </si>
  <si>
    <t>火爆猴</t>
  </si>
  <si>
    <t>058</t>
  </si>
  <si>
    <t>卡蒂狗</t>
  </si>
  <si>
    <t>正义之心</t>
  </si>
  <si>
    <t>059</t>
  </si>
  <si>
    <t>风速狗</t>
  </si>
  <si>
    <t>060</t>
  </si>
  <si>
    <t>蚊香蝌蚪</t>
  </si>
  <si>
    <t>061</t>
  </si>
  <si>
    <t>蚊香蛙</t>
  </si>
  <si>
    <t>062</t>
  </si>
  <si>
    <t>快泳蛙</t>
  </si>
  <si>
    <t>063</t>
  </si>
  <si>
    <t>凯西</t>
  </si>
  <si>
    <t>同步率</t>
  </si>
  <si>
    <t>人型</t>
  </si>
  <si>
    <t>064</t>
  </si>
  <si>
    <t>勇吉拉</t>
  </si>
  <si>
    <t>065</t>
  </si>
  <si>
    <t>胡地</t>
  </si>
  <si>
    <t>066</t>
  </si>
  <si>
    <t>腕力</t>
  </si>
  <si>
    <t>不屈之心</t>
  </si>
  <si>
    <t>067</t>
  </si>
  <si>
    <t>豪力</t>
  </si>
  <si>
    <t>068</t>
  </si>
  <si>
    <t>怪力</t>
  </si>
  <si>
    <t>069</t>
  </si>
  <si>
    <t>喇叭芽</t>
  </si>
  <si>
    <t>贪吃</t>
  </si>
  <si>
    <t>070</t>
  </si>
  <si>
    <t>口呆花</t>
  </si>
  <si>
    <t>071</t>
  </si>
  <si>
    <t>大食花</t>
  </si>
  <si>
    <t>072</t>
  </si>
  <si>
    <t>玛瑙水母</t>
  </si>
  <si>
    <t>净体</t>
  </si>
  <si>
    <t>毒液</t>
  </si>
  <si>
    <t>073</t>
  </si>
  <si>
    <t>毒刺水母</t>
  </si>
  <si>
    <t>074</t>
  </si>
  <si>
    <t>小拳石</t>
  </si>
  <si>
    <t>石脑</t>
  </si>
  <si>
    <t>坚硬</t>
  </si>
  <si>
    <t>矿物</t>
  </si>
  <si>
    <t>075</t>
  </si>
  <si>
    <t>隆隆石</t>
  </si>
  <si>
    <t>076</t>
  </si>
  <si>
    <t>隆隆岩</t>
  </si>
  <si>
    <t>077</t>
  </si>
  <si>
    <t>小火马</t>
  </si>
  <si>
    <t>火焰之躯</t>
  </si>
  <si>
    <t>078</t>
  </si>
  <si>
    <t>烈焰马</t>
  </si>
  <si>
    <t>079</t>
  </si>
  <si>
    <t>呆呆兽</t>
  </si>
  <si>
    <t>钝感</t>
  </si>
  <si>
    <t>自我中心</t>
  </si>
  <si>
    <t>再生力</t>
  </si>
  <si>
    <t>080</t>
  </si>
  <si>
    <t>呆河马</t>
  </si>
  <si>
    <t>081</t>
  </si>
  <si>
    <t>小磁怪</t>
  </si>
  <si>
    <t>磁力</t>
  </si>
  <si>
    <t>082</t>
  </si>
  <si>
    <t>三合一磁怪</t>
  </si>
  <si>
    <t>083</t>
  </si>
  <si>
    <t>大葱鸭</t>
  </si>
  <si>
    <t>084</t>
  </si>
  <si>
    <t>嘟嘟</t>
  </si>
  <si>
    <t>早起</t>
  </si>
  <si>
    <t>085</t>
  </si>
  <si>
    <t>嘟嘟利</t>
  </si>
  <si>
    <t>086</t>
  </si>
  <si>
    <t>小海狮</t>
  </si>
  <si>
    <t>湿润身躯</t>
  </si>
  <si>
    <t>寒冰身躯</t>
  </si>
  <si>
    <t>087</t>
  </si>
  <si>
    <t>白海狮</t>
  </si>
  <si>
    <t>088</t>
  </si>
  <si>
    <t>臭泥</t>
  </si>
  <si>
    <t>黏着</t>
  </si>
  <si>
    <t>毒手</t>
  </si>
  <si>
    <t>089</t>
  </si>
  <si>
    <t>臭臭泥</t>
  </si>
  <si>
    <t>090</t>
  </si>
  <si>
    <t>大舌贝</t>
  </si>
  <si>
    <t>贝壳盔甲</t>
  </si>
  <si>
    <t>技能连锁</t>
  </si>
  <si>
    <t>防尘</t>
  </si>
  <si>
    <t>091</t>
  </si>
  <si>
    <t>铁甲贝</t>
  </si>
  <si>
    <t>092</t>
  </si>
  <si>
    <t>鬼斯</t>
  </si>
  <si>
    <t>诅咒身躯</t>
  </si>
  <si>
    <t>093</t>
  </si>
  <si>
    <t>鬼斯通</t>
  </si>
  <si>
    <t>094</t>
  </si>
  <si>
    <t>耿鬼</t>
  </si>
  <si>
    <t>095</t>
  </si>
  <si>
    <t>大岩蛇</t>
  </si>
  <si>
    <t>破碎铠甲</t>
  </si>
  <si>
    <t>096</t>
  </si>
  <si>
    <t>素利普</t>
  </si>
  <si>
    <t>不眠</t>
  </si>
  <si>
    <r>
      <rPr>
        <sz val="11"/>
        <rFont val="微软雅黑"/>
        <charset val="134"/>
      </rPr>
      <t>预</t>
    </r>
    <r>
      <rPr>
        <sz val="11"/>
        <color indexed="1"/>
        <rFont val="微软雅黑"/>
        <charset val="134"/>
      </rPr>
      <t>知梦</t>
    </r>
  </si>
  <si>
    <r>
      <rPr>
        <sz val="11"/>
        <rFont val="微软雅黑"/>
        <charset val="134"/>
      </rPr>
      <t>精</t>
    </r>
    <r>
      <rPr>
        <sz val="11"/>
        <color indexed="1"/>
        <rFont val="微软雅黑"/>
        <charset val="134"/>
      </rPr>
      <t>神力</t>
    </r>
  </si>
  <si>
    <t>097</t>
  </si>
  <si>
    <t>素利拍</t>
  </si>
  <si>
    <t>预知梦</t>
  </si>
  <si>
    <t>098</t>
  </si>
  <si>
    <t>大钳蟹</t>
  </si>
  <si>
    <t>怪力钳</t>
  </si>
  <si>
    <t>099</t>
  </si>
  <si>
    <t>巨钳蟹</t>
  </si>
  <si>
    <t>100</t>
  </si>
  <si>
    <t>雷电球</t>
  </si>
  <si>
    <t>引爆</t>
  </si>
  <si>
    <t>101</t>
  </si>
  <si>
    <t>顽皮弹</t>
  </si>
  <si>
    <t>102</t>
  </si>
  <si>
    <t>蛋蛋</t>
  </si>
  <si>
    <t>收获</t>
  </si>
  <si>
    <t>103</t>
  </si>
  <si>
    <t>椰蛋树</t>
  </si>
  <si>
    <t>104</t>
  </si>
  <si>
    <t>可拉可拉</t>
  </si>
  <si>
    <t>战斗盔甲</t>
  </si>
  <si>
    <t>105</t>
  </si>
  <si>
    <t>嘎拉嘎拉</t>
  </si>
  <si>
    <t>106</t>
  </si>
  <si>
    <t>沙瓦郎</t>
  </si>
  <si>
    <t>轻技</t>
  </si>
  <si>
    <t>107</t>
  </si>
  <si>
    <t>艾比郎</t>
  </si>
  <si>
    <t>108</t>
  </si>
  <si>
    <t>大舌头</t>
  </si>
  <si>
    <t>109</t>
  </si>
  <si>
    <t>瓦斯弹</t>
  </si>
  <si>
    <t>110</t>
  </si>
  <si>
    <t>双弹瓦斯</t>
  </si>
  <si>
    <t>111</t>
  </si>
  <si>
    <t>铁甲犀牛</t>
  </si>
  <si>
    <t>112</t>
  </si>
  <si>
    <t>铁甲暴龙</t>
  </si>
  <si>
    <t>113</t>
  </si>
  <si>
    <t>吉利蛋</t>
  </si>
  <si>
    <t>自然回复</t>
  </si>
  <si>
    <t>天之恩惠</t>
  </si>
  <si>
    <t>治愈之心</t>
  </si>
  <si>
    <t>114</t>
  </si>
  <si>
    <t>蔓藤怪</t>
  </si>
  <si>
    <t>绿叶守护</t>
  </si>
  <si>
    <t>115</t>
  </si>
  <si>
    <t>袋龙</t>
  </si>
  <si>
    <t>胆气</t>
  </si>
  <si>
    <t>116</t>
  </si>
  <si>
    <t>墨海马</t>
  </si>
  <si>
    <t>117</t>
  </si>
  <si>
    <t>海刺龙</t>
  </si>
  <si>
    <t>118</t>
  </si>
  <si>
    <t>角金鱼</t>
  </si>
  <si>
    <t>水之掩护</t>
  </si>
  <si>
    <t>119</t>
  </si>
  <si>
    <t>金鱼王</t>
  </si>
  <si>
    <t>120</t>
  </si>
  <si>
    <t>海星星</t>
  </si>
  <si>
    <t>发光</t>
  </si>
  <si>
    <t>121</t>
  </si>
  <si>
    <t>宝石海星</t>
  </si>
  <si>
    <t>122</t>
  </si>
  <si>
    <t>吸盘魔偶</t>
  </si>
  <si>
    <t>123</t>
  </si>
  <si>
    <t>飞天螳螂</t>
  </si>
  <si>
    <t>124</t>
  </si>
  <si>
    <t>迷唇姐</t>
  </si>
  <si>
    <t>125</t>
  </si>
  <si>
    <t>电击兽</t>
  </si>
  <si>
    <r>
      <rPr>
        <sz val="11"/>
        <rFont val="微软雅黑"/>
        <charset val="134"/>
      </rPr>
      <t>干</t>
    </r>
    <r>
      <rPr>
        <sz val="11"/>
        <color indexed="1"/>
        <rFont val="微软雅黑"/>
        <charset val="134"/>
      </rPr>
      <t>劲</t>
    </r>
  </si>
  <si>
    <t>126</t>
  </si>
  <si>
    <t>鸭嘴火龙</t>
  </si>
  <si>
    <t>127</t>
  </si>
  <si>
    <t>大甲</t>
  </si>
  <si>
    <t>自信过剩</t>
  </si>
  <si>
    <t>128</t>
  </si>
  <si>
    <t>肯泰罗</t>
  </si>
  <si>
    <t>129</t>
  </si>
  <si>
    <t>鲤鱼王</t>
  </si>
  <si>
    <t>颤抖</t>
  </si>
  <si>
    <t>130</t>
  </si>
  <si>
    <t>暴鲤龙</t>
  </si>
  <si>
    <t>131</t>
  </si>
  <si>
    <t>乘龙</t>
  </si>
  <si>
    <t>132</t>
  </si>
  <si>
    <t>百变怪</t>
  </si>
  <si>
    <t>替代物</t>
  </si>
  <si>
    <t>133</t>
  </si>
  <si>
    <t>伊布</t>
  </si>
  <si>
    <t>危险预知</t>
  </si>
  <si>
    <t>134</t>
  </si>
  <si>
    <t>水精灵</t>
  </si>
  <si>
    <r>
      <rPr>
        <sz val="11"/>
        <rFont val="微软雅黑"/>
        <charset val="134"/>
      </rPr>
      <t>贮</t>
    </r>
    <r>
      <rPr>
        <sz val="11"/>
        <color indexed="1"/>
        <rFont val="微软雅黑"/>
        <charset val="134"/>
      </rPr>
      <t>水</t>
    </r>
  </si>
  <si>
    <r>
      <rPr>
        <sz val="11"/>
        <rFont val="微软雅黑"/>
        <charset val="134"/>
      </rPr>
      <t>湿</t>
    </r>
    <r>
      <rPr>
        <sz val="11"/>
        <color indexed="1"/>
        <rFont val="微软雅黑"/>
        <charset val="134"/>
      </rPr>
      <t>润身躯</t>
    </r>
  </si>
  <si>
    <t>135</t>
  </si>
  <si>
    <t>雷精灵</t>
  </si>
  <si>
    <t>早足</t>
  </si>
  <si>
    <t>136</t>
  </si>
  <si>
    <t>火精灵</t>
  </si>
  <si>
    <t>137</t>
  </si>
  <si>
    <t>3D龙</t>
  </si>
  <si>
    <t>复制</t>
  </si>
  <si>
    <t>下载</t>
  </si>
  <si>
    <t>138</t>
  </si>
  <si>
    <t>菊石兽</t>
  </si>
  <si>
    <t>139</t>
  </si>
  <si>
    <t>多刺菊石兽</t>
  </si>
  <si>
    <t>140</t>
  </si>
  <si>
    <t>化石盔</t>
  </si>
  <si>
    <t>141</t>
  </si>
  <si>
    <t>镰刀盔</t>
  </si>
  <si>
    <t>142</t>
  </si>
  <si>
    <t>化石翼龙</t>
  </si>
  <si>
    <t>压力</t>
  </si>
  <si>
    <t>143</t>
  </si>
  <si>
    <t>卡比兽</t>
  </si>
  <si>
    <t>免疫</t>
  </si>
  <si>
    <r>
      <rPr>
        <sz val="11"/>
        <rFont val="微软雅黑"/>
        <charset val="134"/>
      </rPr>
      <t>厚</t>
    </r>
    <r>
      <rPr>
        <sz val="11"/>
        <color indexed="1"/>
        <rFont val="微软雅黑"/>
        <charset val="134"/>
      </rPr>
      <t>脂肪</t>
    </r>
  </si>
  <si>
    <r>
      <rPr>
        <sz val="11"/>
        <rFont val="微软雅黑"/>
        <charset val="134"/>
      </rPr>
      <t>贪</t>
    </r>
    <r>
      <rPr>
        <sz val="11"/>
        <color indexed="1"/>
        <rFont val="微软雅黑"/>
        <charset val="134"/>
      </rPr>
      <t>吃</t>
    </r>
  </si>
  <si>
    <t>144</t>
  </si>
  <si>
    <t>急冻鸟</t>
  </si>
  <si>
    <t>145</t>
  </si>
  <si>
    <t>闪电鸟</t>
  </si>
  <si>
    <t>146</t>
  </si>
  <si>
    <t>火焰鸟</t>
  </si>
  <si>
    <t>147</t>
  </si>
  <si>
    <t>迷你龙</t>
  </si>
  <si>
    <r>
      <rPr>
        <sz val="11"/>
        <rFont val="微软雅黑"/>
        <charset val="134"/>
      </rPr>
      <t>神</t>
    </r>
    <r>
      <rPr>
        <sz val="11"/>
        <color indexed="1"/>
        <rFont val="微软雅黑"/>
        <charset val="134"/>
      </rPr>
      <t>秘鳞片</t>
    </r>
  </si>
  <si>
    <t>148</t>
  </si>
  <si>
    <t>哈克龙</t>
  </si>
  <si>
    <t>149</t>
  </si>
  <si>
    <t>快龙</t>
  </si>
  <si>
    <t>150</t>
  </si>
  <si>
    <t>超梦</t>
  </si>
  <si>
    <t>151</t>
  </si>
  <si>
    <t>梦幻</t>
  </si>
  <si>
    <t>152</t>
  </si>
  <si>
    <t>菊草叶</t>
  </si>
  <si>
    <t>153</t>
  </si>
  <si>
    <t>月桂叶</t>
  </si>
  <si>
    <t>154</t>
  </si>
  <si>
    <t>大菊花</t>
  </si>
  <si>
    <t>155</t>
  </si>
  <si>
    <t>火球鼠</t>
  </si>
  <si>
    <t>156</t>
  </si>
  <si>
    <t>火岩鼠</t>
  </si>
  <si>
    <r>
      <rPr>
        <sz val="11"/>
        <rFont val="微软雅黑"/>
        <charset val="134"/>
      </rPr>
      <t>引</t>
    </r>
    <r>
      <rPr>
        <sz val="11"/>
        <color indexed="1"/>
        <rFont val="微软雅黑"/>
        <charset val="134"/>
      </rPr>
      <t>火</t>
    </r>
  </si>
  <si>
    <t>157</t>
  </si>
  <si>
    <t>火暴兽</t>
  </si>
  <si>
    <t>158</t>
  </si>
  <si>
    <t>小锯鳄</t>
  </si>
  <si>
    <r>
      <rPr>
        <sz val="11"/>
        <rFont val="微软雅黑"/>
        <charset val="134"/>
      </rPr>
      <t>全</t>
    </r>
    <r>
      <rPr>
        <sz val="11"/>
        <color indexed="1"/>
        <rFont val="微软雅黑"/>
        <charset val="134"/>
      </rPr>
      <t>力攻击</t>
    </r>
  </si>
  <si>
    <t>159</t>
  </si>
  <si>
    <t>蓝鳄</t>
  </si>
  <si>
    <t>160</t>
  </si>
  <si>
    <t>大力鳄</t>
  </si>
  <si>
    <t>161</t>
  </si>
  <si>
    <t>尾立</t>
  </si>
  <si>
    <t>162</t>
  </si>
  <si>
    <t>大尾立</t>
  </si>
  <si>
    <t>163</t>
  </si>
  <si>
    <t>咕咕</t>
  </si>
  <si>
    <t>164</t>
  </si>
  <si>
    <t>猫头夜鹰</t>
  </si>
  <si>
    <t>165</t>
  </si>
  <si>
    <t>芭瓢虫</t>
  </si>
  <si>
    <t>166</t>
  </si>
  <si>
    <t>安瓢虫</t>
  </si>
  <si>
    <t>167</t>
  </si>
  <si>
    <t>线球</t>
  </si>
  <si>
    <t>168</t>
  </si>
  <si>
    <t>阿利多斯</t>
  </si>
  <si>
    <t>169</t>
  </si>
  <si>
    <t>叉字蝠</t>
  </si>
  <si>
    <t>170</t>
  </si>
  <si>
    <t>灯笼鱼</t>
  </si>
  <si>
    <t>171</t>
  </si>
  <si>
    <t>电灯怪</t>
  </si>
  <si>
    <t>172</t>
  </si>
  <si>
    <t>皮丘</t>
  </si>
  <si>
    <t>173</t>
  </si>
  <si>
    <t>皮宝宝</t>
  </si>
  <si>
    <t>174</t>
  </si>
  <si>
    <t>宝宝丁</t>
  </si>
  <si>
    <t>175</t>
  </si>
  <si>
    <t>波克比</t>
  </si>
  <si>
    <r>
      <rPr>
        <sz val="11"/>
        <rFont val="微软雅黑"/>
        <charset val="134"/>
      </rPr>
      <t>天</t>
    </r>
    <r>
      <rPr>
        <sz val="11"/>
        <color indexed="1"/>
        <rFont val="微软雅黑"/>
        <charset val="134"/>
      </rPr>
      <t>之恩惠</t>
    </r>
  </si>
  <si>
    <r>
      <rPr>
        <sz val="11"/>
        <rFont val="微软雅黑"/>
        <charset val="134"/>
      </rPr>
      <t>强</t>
    </r>
    <r>
      <rPr>
        <sz val="11"/>
        <color indexed="1"/>
        <rFont val="微软雅黑"/>
        <charset val="134"/>
      </rPr>
      <t>运</t>
    </r>
  </si>
  <si>
    <t>176</t>
  </si>
  <si>
    <t>波克基古</t>
  </si>
  <si>
    <t>强运</t>
  </si>
  <si>
    <t>177</t>
  </si>
  <si>
    <t>天然雀</t>
  </si>
  <si>
    <t>魔法反射</t>
  </si>
  <si>
    <t>178</t>
  </si>
  <si>
    <t>天然鸟</t>
  </si>
  <si>
    <t>179</t>
  </si>
  <si>
    <t>咩利羊</t>
  </si>
  <si>
    <t>正极</t>
  </si>
  <si>
    <t>180</t>
  </si>
  <si>
    <t>绵绵</t>
  </si>
  <si>
    <t>181</t>
  </si>
  <si>
    <t>电龙</t>
  </si>
  <si>
    <t>Mega电龙</t>
  </si>
  <si>
    <t>182</t>
  </si>
  <si>
    <t>美丽花</t>
  </si>
  <si>
    <t>183</t>
  </si>
  <si>
    <t>玛力露</t>
  </si>
  <si>
    <t>184</t>
  </si>
  <si>
    <t>玛力露丽</t>
  </si>
  <si>
    <t>185</t>
  </si>
  <si>
    <t>胡说树</t>
  </si>
  <si>
    <t>186</t>
  </si>
  <si>
    <t>牛蛙君</t>
  </si>
  <si>
    <r>
      <rPr>
        <sz val="11"/>
        <rFont val="微软雅黑"/>
        <charset val="134"/>
      </rPr>
      <t>潮</t>
    </r>
    <r>
      <rPr>
        <sz val="11"/>
        <color indexed="1"/>
        <rFont val="微软雅黑"/>
        <charset val="134"/>
      </rPr>
      <t>湿</t>
    </r>
  </si>
  <si>
    <r>
      <rPr>
        <sz val="11"/>
        <rFont val="微软雅黑"/>
        <charset val="134"/>
      </rPr>
      <t>降</t>
    </r>
    <r>
      <rPr>
        <sz val="11"/>
        <color indexed="1"/>
        <rFont val="微软雅黑"/>
        <charset val="134"/>
      </rPr>
      <t>雨</t>
    </r>
  </si>
  <si>
    <t>187</t>
  </si>
  <si>
    <t>毽子草</t>
  </si>
  <si>
    <t>188</t>
  </si>
  <si>
    <t>毽子花</t>
  </si>
  <si>
    <t>189</t>
  </si>
  <si>
    <t>毽子绵</t>
  </si>
  <si>
    <t>190</t>
  </si>
  <si>
    <t>长尾怪手</t>
  </si>
  <si>
    <r>
      <rPr>
        <sz val="11"/>
        <rFont val="微软雅黑"/>
        <charset val="134"/>
      </rPr>
      <t>拾</t>
    </r>
    <r>
      <rPr>
        <sz val="11"/>
        <color indexed="1"/>
        <rFont val="微软雅黑"/>
        <charset val="134"/>
      </rPr>
      <t>取</t>
    </r>
  </si>
  <si>
    <r>
      <rPr>
        <sz val="11"/>
        <rFont val="微软雅黑"/>
        <charset val="134"/>
      </rPr>
      <t>技</t>
    </r>
    <r>
      <rPr>
        <sz val="11"/>
        <color indexed="1"/>
        <rFont val="微软雅黑"/>
        <charset val="134"/>
      </rPr>
      <t>能连锁</t>
    </r>
  </si>
  <si>
    <t>191</t>
  </si>
  <si>
    <t>向日种子</t>
  </si>
  <si>
    <r>
      <rPr>
        <sz val="11"/>
        <rFont val="微软雅黑"/>
        <charset val="134"/>
      </rPr>
      <t>太</t>
    </r>
    <r>
      <rPr>
        <sz val="11"/>
        <color indexed="1"/>
        <rFont val="微软雅黑"/>
        <charset val="134"/>
      </rPr>
      <t>阳力量</t>
    </r>
  </si>
  <si>
    <r>
      <rPr>
        <sz val="11"/>
        <rFont val="微软雅黑"/>
        <charset val="134"/>
      </rPr>
      <t>早</t>
    </r>
    <r>
      <rPr>
        <sz val="11"/>
        <color indexed="1"/>
        <rFont val="微软雅黑"/>
        <charset val="134"/>
      </rPr>
      <t>起</t>
    </r>
  </si>
  <si>
    <t>192</t>
  </si>
  <si>
    <t>向日花怪</t>
  </si>
  <si>
    <t>193</t>
  </si>
  <si>
    <t>阳阳玛</t>
  </si>
  <si>
    <t>加速</t>
  </si>
  <si>
    <t>194</t>
  </si>
  <si>
    <t>乌波</t>
  </si>
  <si>
    <t>195</t>
  </si>
  <si>
    <t>沼王</t>
  </si>
  <si>
    <t>196</t>
  </si>
  <si>
    <t>太阳精灵</t>
  </si>
  <si>
    <r>
      <rPr>
        <sz val="11"/>
        <rFont val="微软雅黑"/>
        <charset val="134"/>
      </rPr>
      <t>魔</t>
    </r>
    <r>
      <rPr>
        <sz val="11"/>
        <color indexed="1"/>
        <rFont val="微软雅黑"/>
        <charset val="134"/>
      </rPr>
      <t>法反射</t>
    </r>
  </si>
  <si>
    <t>197</t>
  </si>
  <si>
    <t>月精灵</t>
  </si>
  <si>
    <t>198</t>
  </si>
  <si>
    <t>黑暗鸦</t>
  </si>
  <si>
    <t>恶作剧之心</t>
  </si>
  <si>
    <t>199</t>
  </si>
  <si>
    <t>河马王</t>
  </si>
  <si>
    <t>200</t>
  </si>
  <si>
    <t>梦妖</t>
  </si>
  <si>
    <t>201</t>
  </si>
  <si>
    <t>未知图腾</t>
  </si>
  <si>
    <t>202</t>
  </si>
  <si>
    <t>果然翁</t>
  </si>
  <si>
    <t>踩影</t>
  </si>
  <si>
    <t>超感知觉</t>
  </si>
  <si>
    <t>203</t>
  </si>
  <si>
    <t>麒麟奇</t>
  </si>
  <si>
    <t>204</t>
  </si>
  <si>
    <t>榛果球</t>
  </si>
  <si>
    <r>
      <rPr>
        <sz val="11"/>
        <rFont val="微软雅黑"/>
        <charset val="134"/>
      </rPr>
      <t>防</t>
    </r>
    <r>
      <rPr>
        <sz val="11"/>
        <color indexed="1"/>
        <rFont val="微软雅黑"/>
        <charset val="134"/>
      </rPr>
      <t>尘</t>
    </r>
  </si>
  <si>
    <t>205</t>
  </si>
  <si>
    <t>佛烈托斯</t>
  </si>
  <si>
    <t>206</t>
  </si>
  <si>
    <t>土龙弟弟</t>
  </si>
  <si>
    <r>
      <rPr>
        <sz val="11"/>
        <rFont val="微软雅黑"/>
        <charset val="134"/>
      </rPr>
      <t>逃</t>
    </r>
    <r>
      <rPr>
        <sz val="11"/>
        <color indexed="1"/>
        <rFont val="微软雅黑"/>
        <charset val="134"/>
      </rPr>
      <t>足</t>
    </r>
  </si>
  <si>
    <r>
      <rPr>
        <sz val="11"/>
        <rFont val="微软雅黑"/>
        <charset val="134"/>
      </rPr>
      <t>颤</t>
    </r>
    <r>
      <rPr>
        <sz val="11"/>
        <color indexed="1"/>
        <rFont val="微软雅黑"/>
        <charset val="134"/>
      </rPr>
      <t>抖</t>
    </r>
  </si>
  <si>
    <t>207</t>
  </si>
  <si>
    <t>天蝎</t>
  </si>
  <si>
    <t>208</t>
  </si>
  <si>
    <t>大钢蛇</t>
  </si>
  <si>
    <t>Mega大钢蛇</t>
  </si>
  <si>
    <t>209</t>
  </si>
  <si>
    <t>布卢</t>
  </si>
  <si>
    <t>210</t>
  </si>
  <si>
    <t>布卢皇</t>
  </si>
  <si>
    <r>
      <rPr>
        <sz val="11"/>
        <rFont val="微软雅黑"/>
        <charset val="134"/>
      </rPr>
      <t>早</t>
    </r>
    <r>
      <rPr>
        <sz val="11"/>
        <color indexed="1"/>
        <rFont val="微软雅黑"/>
        <charset val="134"/>
      </rPr>
      <t>足</t>
    </r>
  </si>
  <si>
    <t>211</t>
  </si>
  <si>
    <t>千针鱼</t>
  </si>
  <si>
    <t>212</t>
  </si>
  <si>
    <t>巨钳螳螂</t>
  </si>
  <si>
    <t>轻金属</t>
  </si>
  <si>
    <t>Mega巨钳螳螂</t>
  </si>
  <si>
    <t>213</t>
  </si>
  <si>
    <t>壶壶</t>
  </si>
  <si>
    <t>性情乖僻</t>
  </si>
  <si>
    <t>214</t>
  </si>
  <si>
    <t>赫拉克罗斯</t>
  </si>
  <si>
    <t>Mega赫拉克罗斯</t>
  </si>
  <si>
    <t>215</t>
  </si>
  <si>
    <t>狃拉</t>
  </si>
  <si>
    <t>偷盗恶习</t>
  </si>
  <si>
    <t>216</t>
  </si>
  <si>
    <t>熊宝宝</t>
  </si>
  <si>
    <r>
      <rPr>
        <sz val="11"/>
        <rFont val="微软雅黑"/>
        <charset val="134"/>
      </rPr>
      <t>集</t>
    </r>
    <r>
      <rPr>
        <sz val="11"/>
        <color indexed="1"/>
        <rFont val="微软雅黑"/>
        <charset val="134"/>
      </rPr>
      <t>蜜</t>
    </r>
  </si>
  <si>
    <t>217</t>
  </si>
  <si>
    <t>圈圈熊</t>
  </si>
  <si>
    <t>218</t>
  </si>
  <si>
    <t>熔岩虫</t>
  </si>
  <si>
    <t>熔岩铠甲</t>
  </si>
  <si>
    <t>219</t>
  </si>
  <si>
    <t>熔岩蜗牛</t>
  </si>
  <si>
    <t>220</t>
  </si>
  <si>
    <t>小山猪</t>
  </si>
  <si>
    <t>221</t>
  </si>
  <si>
    <t>长毛猪</t>
  </si>
  <si>
    <t>222</t>
  </si>
  <si>
    <t>太阳珊瑚</t>
  </si>
  <si>
    <t>223</t>
  </si>
  <si>
    <t>铁炮鱼</t>
  </si>
  <si>
    <t>心意不定</t>
  </si>
  <si>
    <t>224</t>
  </si>
  <si>
    <t>章鱼桶</t>
  </si>
  <si>
    <t>吸盘</t>
  </si>
  <si>
    <t>225</t>
  </si>
  <si>
    <t>信使鸟</t>
  </si>
  <si>
    <t>226</t>
  </si>
  <si>
    <t>巨翅飞鱼</t>
  </si>
  <si>
    <t>227</t>
  </si>
  <si>
    <t>盔甲鸟</t>
  </si>
  <si>
    <t>228</t>
  </si>
  <si>
    <t>戴鲁比</t>
  </si>
  <si>
    <t>229</t>
  </si>
  <si>
    <t>黑鲁加</t>
  </si>
  <si>
    <t>Mega黑鲁加</t>
  </si>
  <si>
    <t>230</t>
  </si>
  <si>
    <t>刺龙王</t>
  </si>
  <si>
    <t>231</t>
  </si>
  <si>
    <t>小小象</t>
  </si>
  <si>
    <r>
      <rPr>
        <sz val="11"/>
        <rFont val="微软雅黑"/>
        <charset val="134"/>
      </rPr>
      <t>沙</t>
    </r>
    <r>
      <rPr>
        <sz val="11"/>
        <color indexed="1"/>
        <rFont val="微软雅黑"/>
        <charset val="134"/>
      </rPr>
      <t>隐</t>
    </r>
  </si>
  <si>
    <t>232</t>
  </si>
  <si>
    <t>顿甲</t>
  </si>
  <si>
    <t>233</t>
  </si>
  <si>
    <t>3D龙2</t>
  </si>
  <si>
    <t>234</t>
  </si>
  <si>
    <t>惊角鹿</t>
  </si>
  <si>
    <t>235</t>
  </si>
  <si>
    <t>图图犬</t>
  </si>
  <si>
    <t>236</t>
  </si>
  <si>
    <t>巴尔郎</t>
  </si>
  <si>
    <t>237</t>
  </si>
  <si>
    <t>柯波郎</t>
  </si>
  <si>
    <t>238</t>
  </si>
  <si>
    <t>迷唇娃</t>
  </si>
  <si>
    <t>239</t>
  </si>
  <si>
    <t>电击怪</t>
  </si>
  <si>
    <t>240</t>
  </si>
  <si>
    <t>小鸭嘴龙</t>
  </si>
  <si>
    <t>241</t>
  </si>
  <si>
    <t>大奶罐</t>
  </si>
  <si>
    <t>242</t>
  </si>
  <si>
    <t>幸福蛋</t>
  </si>
  <si>
    <t>243</t>
  </si>
  <si>
    <t>雷公</t>
  </si>
  <si>
    <t>244</t>
  </si>
  <si>
    <t>炎帝</t>
  </si>
  <si>
    <t>245</t>
  </si>
  <si>
    <t>水君</t>
  </si>
  <si>
    <t>246</t>
  </si>
  <si>
    <t>由基拉</t>
  </si>
  <si>
    <t>247</t>
  </si>
  <si>
    <t>沙基拉</t>
  </si>
  <si>
    <t>248</t>
  </si>
  <si>
    <t>班吉拉</t>
  </si>
  <si>
    <t>起沙</t>
  </si>
  <si>
    <t>Mega班吉拉</t>
  </si>
  <si>
    <t>249</t>
  </si>
  <si>
    <t>洛奇亚</t>
  </si>
  <si>
    <t>250</t>
  </si>
  <si>
    <t>凤王</t>
  </si>
  <si>
    <t>251</t>
  </si>
  <si>
    <t>雪拉比</t>
  </si>
  <si>
    <t>252</t>
  </si>
  <si>
    <t>木守宫</t>
  </si>
  <si>
    <r>
      <rPr>
        <sz val="11"/>
        <rFont val="微软雅黑"/>
        <charset val="134"/>
      </rPr>
      <t>轻</t>
    </r>
    <r>
      <rPr>
        <sz val="11"/>
        <color indexed="1"/>
        <rFont val="微软雅黑"/>
        <charset val="134"/>
      </rPr>
      <t>技</t>
    </r>
  </si>
  <si>
    <t>253</t>
  </si>
  <si>
    <t>森林蜥蜴</t>
  </si>
  <si>
    <t>254</t>
  </si>
  <si>
    <t>蜥蜴王</t>
  </si>
  <si>
    <t>Mega蜥蜴王</t>
  </si>
  <si>
    <t>255</t>
  </si>
  <si>
    <t>火稚鸡</t>
  </si>
  <si>
    <r>
      <rPr>
        <sz val="11"/>
        <rFont val="微软雅黑"/>
        <charset val="134"/>
      </rPr>
      <t>加</t>
    </r>
    <r>
      <rPr>
        <sz val="11"/>
        <color indexed="1"/>
        <rFont val="微软雅黑"/>
        <charset val="134"/>
      </rPr>
      <t>速</t>
    </r>
  </si>
  <si>
    <t>256</t>
  </si>
  <si>
    <t>力壮鸡</t>
  </si>
  <si>
    <t>257</t>
  </si>
  <si>
    <t>火焰鸡</t>
  </si>
  <si>
    <t>Mega火焰鸡</t>
  </si>
  <si>
    <t>258</t>
  </si>
  <si>
    <t>水跃鱼</t>
  </si>
  <si>
    <t>259</t>
  </si>
  <si>
    <t>沼跃鱼</t>
  </si>
  <si>
    <t>260</t>
  </si>
  <si>
    <t>巨沼怪</t>
  </si>
  <si>
    <t>Mega巨沼怪</t>
  </si>
  <si>
    <t>261</t>
  </si>
  <si>
    <t>土狼犬</t>
  </si>
  <si>
    <t>262</t>
  </si>
  <si>
    <t>大狼犬</t>
  </si>
  <si>
    <r>
      <rPr>
        <sz val="11"/>
        <rFont val="微软雅黑"/>
        <charset val="134"/>
      </rPr>
      <t>自</t>
    </r>
    <r>
      <rPr>
        <sz val="11"/>
        <color indexed="1"/>
        <rFont val="微软雅黑"/>
        <charset val="134"/>
      </rPr>
      <t>信过剩</t>
    </r>
  </si>
  <si>
    <t>263</t>
  </si>
  <si>
    <t>蛇纹熊</t>
  </si>
  <si>
    <t>264</t>
  </si>
  <si>
    <t>直冲熊</t>
  </si>
  <si>
    <t>265</t>
  </si>
  <si>
    <t>刺尾虫</t>
  </si>
  <si>
    <t>266</t>
  </si>
  <si>
    <t>甲壳蛹</t>
  </si>
  <si>
    <t>267</t>
  </si>
  <si>
    <t>狩猎凤蝶</t>
  </si>
  <si>
    <t>268</t>
  </si>
  <si>
    <t>盾甲茧</t>
  </si>
  <si>
    <t>269</t>
  </si>
  <si>
    <t>毒粉蝶</t>
  </si>
  <si>
    <t>270</t>
  </si>
  <si>
    <t>莲叶童子</t>
  </si>
  <si>
    <t>271</t>
  </si>
  <si>
    <t>莲帽小童</t>
  </si>
  <si>
    <t>272</t>
  </si>
  <si>
    <t>乐天河童</t>
  </si>
  <si>
    <t>273</t>
  </si>
  <si>
    <t>橡实果</t>
  </si>
  <si>
    <r>
      <rPr>
        <sz val="11"/>
        <rFont val="微软雅黑"/>
        <charset val="134"/>
      </rPr>
      <t>偷</t>
    </r>
    <r>
      <rPr>
        <sz val="11"/>
        <color indexed="1"/>
        <rFont val="微软雅黑"/>
        <charset val="134"/>
      </rPr>
      <t>盗恶习</t>
    </r>
  </si>
  <si>
    <t>274</t>
  </si>
  <si>
    <t>长鼻叶</t>
  </si>
  <si>
    <t>275</t>
  </si>
  <si>
    <t>狡猾天狗</t>
  </si>
  <si>
    <t>276</t>
  </si>
  <si>
    <t>傲骨燕</t>
  </si>
  <si>
    <t>277</t>
  </si>
  <si>
    <t>大王燕</t>
  </si>
  <si>
    <t>278</t>
  </si>
  <si>
    <t>长翅鸥</t>
  </si>
  <si>
    <t>279</t>
  </si>
  <si>
    <t>大嘴鸥</t>
  </si>
  <si>
    <t>280</t>
  </si>
  <si>
    <t>拉鲁拉丝</t>
  </si>
  <si>
    <t>281</t>
  </si>
  <si>
    <t>奇鲁莉安</t>
  </si>
  <si>
    <t>282</t>
  </si>
  <si>
    <t>沙奈朵</t>
  </si>
  <si>
    <t>Mega沙奈朵</t>
  </si>
  <si>
    <t>283</t>
  </si>
  <si>
    <t>溜溜糖球</t>
  </si>
  <si>
    <t>284</t>
  </si>
  <si>
    <t>雨翅蛾</t>
  </si>
  <si>
    <t>285</t>
  </si>
  <si>
    <t>蘑蘑菇</t>
  </si>
  <si>
    <r>
      <rPr>
        <sz val="11"/>
        <rFont val="微软雅黑"/>
        <charset val="134"/>
      </rPr>
      <t>毒</t>
    </r>
    <r>
      <rPr>
        <sz val="11"/>
        <color indexed="1"/>
        <rFont val="微软雅黑"/>
        <charset val="134"/>
      </rPr>
      <t>疗</t>
    </r>
  </si>
  <si>
    <t>286</t>
  </si>
  <si>
    <t>斗笠菇</t>
  </si>
  <si>
    <t>毒疗</t>
  </si>
  <si>
    <t>287</t>
  </si>
  <si>
    <t>懒人翁</t>
  </si>
  <si>
    <t>懒惰</t>
  </si>
  <si>
    <t>288</t>
  </si>
  <si>
    <t>过动猿</t>
  </si>
  <si>
    <t>289</t>
  </si>
  <si>
    <t>请假王</t>
  </si>
  <si>
    <t>290</t>
  </si>
  <si>
    <t>土居忍士</t>
  </si>
  <si>
    <t>291</t>
  </si>
  <si>
    <t>铁面忍者</t>
  </si>
  <si>
    <t>292</t>
  </si>
  <si>
    <t>脱壳忍者</t>
  </si>
  <si>
    <t>293</t>
  </si>
  <si>
    <t>咕妞妞</t>
  </si>
  <si>
    <t>294</t>
  </si>
  <si>
    <t>吼爆弹</t>
  </si>
  <si>
    <r>
      <rPr>
        <sz val="11"/>
        <rFont val="微软雅黑"/>
        <charset val="134"/>
      </rPr>
      <t>胆</t>
    </r>
    <r>
      <rPr>
        <sz val="11"/>
        <color indexed="1"/>
        <rFont val="微软雅黑"/>
        <charset val="134"/>
      </rPr>
      <t>气</t>
    </r>
  </si>
  <si>
    <t>295</t>
  </si>
  <si>
    <t>爆音怪</t>
  </si>
  <si>
    <t>296</t>
  </si>
  <si>
    <t>幕下力士</t>
  </si>
  <si>
    <t>297</t>
  </si>
  <si>
    <t>超力王</t>
  </si>
  <si>
    <t>298</t>
  </si>
  <si>
    <t>露力丽</t>
  </si>
  <si>
    <t>299</t>
  </si>
  <si>
    <t>朝北鼻</t>
  </si>
  <si>
    <t>300</t>
  </si>
  <si>
    <t>向尾喵</t>
  </si>
  <si>
    <t>普通皮肤</t>
  </si>
  <si>
    <t>301</t>
  </si>
  <si>
    <t>优雅猫</t>
  </si>
  <si>
    <t>302</t>
  </si>
  <si>
    <t>勾魂眼</t>
  </si>
  <si>
    <t>后出</t>
  </si>
  <si>
    <t>Mega勾魂眼</t>
  </si>
  <si>
    <t>303</t>
  </si>
  <si>
    <t>大嘴娃</t>
  </si>
  <si>
    <t>Mega大嘴娃</t>
  </si>
  <si>
    <t>304</t>
  </si>
  <si>
    <t>可可多拉</t>
  </si>
  <si>
    <t>重金属</t>
  </si>
  <si>
    <t>305</t>
  </si>
  <si>
    <t>可多拉</t>
  </si>
  <si>
    <t>306</t>
  </si>
  <si>
    <t>波士可多拉</t>
  </si>
  <si>
    <t>Mega波士可多拉</t>
  </si>
  <si>
    <r>
      <rPr>
        <sz val="11"/>
        <rFont val="微软雅黑"/>
        <charset val="134"/>
      </rPr>
      <t>过</t>
    </r>
    <r>
      <rPr>
        <sz val="11"/>
        <color indexed="1"/>
        <rFont val="微软雅黑"/>
        <charset val="134"/>
      </rPr>
      <t>滤器</t>
    </r>
  </si>
  <si>
    <t>307</t>
  </si>
  <si>
    <t>玛沙那</t>
  </si>
  <si>
    <t>瑜珈之力</t>
  </si>
  <si>
    <t>308</t>
  </si>
  <si>
    <t>恰雷姆</t>
  </si>
  <si>
    <t>Mega恰雷姆</t>
  </si>
  <si>
    <t>309</t>
  </si>
  <si>
    <t>落雷兽</t>
  </si>
  <si>
    <r>
      <rPr>
        <sz val="11"/>
        <rFont val="微软雅黑"/>
        <charset val="134"/>
      </rPr>
      <t>负</t>
    </r>
    <r>
      <rPr>
        <sz val="11"/>
        <color indexed="1"/>
        <rFont val="微软雅黑"/>
        <charset val="134"/>
      </rPr>
      <t>极</t>
    </r>
  </si>
  <si>
    <t>310</t>
  </si>
  <si>
    <t>雷电兽</t>
  </si>
  <si>
    <t>负极</t>
  </si>
  <si>
    <t>Mega雷电兽</t>
  </si>
  <si>
    <r>
      <rPr>
        <sz val="11"/>
        <rFont val="微软雅黑"/>
        <charset val="134"/>
      </rPr>
      <t>威</t>
    </r>
    <r>
      <rPr>
        <sz val="11"/>
        <color indexed="1"/>
        <rFont val="微软雅黑"/>
        <charset val="134"/>
      </rPr>
      <t>吓</t>
    </r>
  </si>
  <si>
    <t>311</t>
  </si>
  <si>
    <t>正电拍拍</t>
  </si>
  <si>
    <t>312</t>
  </si>
  <si>
    <t>负电拍拍</t>
  </si>
  <si>
    <r>
      <rPr>
        <sz val="11"/>
        <rFont val="微软雅黑"/>
        <charset val="134"/>
      </rPr>
      <t>蓄</t>
    </r>
    <r>
      <rPr>
        <sz val="11"/>
        <color indexed="1"/>
        <rFont val="微软雅黑"/>
        <charset val="134"/>
      </rPr>
      <t>电</t>
    </r>
  </si>
  <si>
    <t>313</t>
  </si>
  <si>
    <t>电萤虫</t>
  </si>
  <si>
    <t>314</t>
  </si>
  <si>
    <t>甜甜萤</t>
  </si>
  <si>
    <r>
      <rPr>
        <sz val="11"/>
        <rFont val="微软雅黑"/>
        <charset val="134"/>
      </rPr>
      <t>有</t>
    </r>
    <r>
      <rPr>
        <sz val="11"/>
        <color indexed="1"/>
        <rFont val="微软雅黑"/>
        <charset val="134"/>
      </rPr>
      <t>色眼镜</t>
    </r>
  </si>
  <si>
    <r>
      <rPr>
        <sz val="11"/>
        <rFont val="微软雅黑"/>
        <charset val="134"/>
      </rPr>
      <t>恶</t>
    </r>
    <r>
      <rPr>
        <sz val="11"/>
        <color indexed="1"/>
        <rFont val="微软雅黑"/>
        <charset val="134"/>
      </rPr>
      <t>作剧之心</t>
    </r>
  </si>
  <si>
    <t>315</t>
  </si>
  <si>
    <t>毒蔷薇</t>
  </si>
  <si>
    <t>316</t>
  </si>
  <si>
    <t>溶食兽</t>
  </si>
  <si>
    <t>317</t>
  </si>
  <si>
    <t>吞食兽</t>
  </si>
  <si>
    <r>
      <rPr>
        <sz val="11"/>
        <rFont val="微软雅黑"/>
        <charset val="134"/>
      </rPr>
      <t>黏</t>
    </r>
    <r>
      <rPr>
        <sz val="11"/>
        <color indexed="1"/>
        <rFont val="微软雅黑"/>
        <charset val="134"/>
      </rPr>
      <t>着</t>
    </r>
  </si>
  <si>
    <t>318</t>
  </si>
  <si>
    <t>利牙鱼</t>
  </si>
  <si>
    <t>鲨鱼皮</t>
  </si>
  <si>
    <t>319</t>
  </si>
  <si>
    <t>巨牙鲨</t>
  </si>
  <si>
    <t>Mega巨牙鲨</t>
  </si>
  <si>
    <t>320</t>
  </si>
  <si>
    <t>吼吼鲸</t>
  </si>
  <si>
    <r>
      <rPr>
        <sz val="11"/>
        <rFont val="微软雅黑"/>
        <charset val="134"/>
      </rPr>
      <t>钝</t>
    </r>
    <r>
      <rPr>
        <sz val="11"/>
        <color indexed="1"/>
        <rFont val="微软雅黑"/>
        <charset val="134"/>
      </rPr>
      <t>感</t>
    </r>
  </si>
  <si>
    <r>
      <rPr>
        <sz val="11"/>
        <rFont val="微软雅黑"/>
        <charset val="134"/>
      </rPr>
      <t>压</t>
    </r>
    <r>
      <rPr>
        <sz val="11"/>
        <color indexed="1"/>
        <rFont val="微软雅黑"/>
        <charset val="134"/>
      </rPr>
      <t>力</t>
    </r>
  </si>
  <si>
    <t>321</t>
  </si>
  <si>
    <t>吼鲸王</t>
  </si>
  <si>
    <t>322</t>
  </si>
  <si>
    <t>呆火驼</t>
  </si>
  <si>
    <t>单纯</t>
  </si>
  <si>
    <t>323</t>
  </si>
  <si>
    <t>喷火驼</t>
  </si>
  <si>
    <t>坚岩</t>
  </si>
  <si>
    <t>Mega喷火驼</t>
  </si>
  <si>
    <t>324</t>
  </si>
  <si>
    <t>煤炭龟</t>
  </si>
  <si>
    <t>白烟</t>
  </si>
  <si>
    <r>
      <rPr>
        <sz val="11"/>
        <rFont val="微软雅黑"/>
        <charset val="134"/>
      </rPr>
      <t>贝</t>
    </r>
    <r>
      <rPr>
        <sz val="11"/>
        <color indexed="1"/>
        <rFont val="微软雅黑"/>
        <charset val="134"/>
      </rPr>
      <t>壳盔甲</t>
    </r>
  </si>
  <si>
    <t>325</t>
  </si>
  <si>
    <t>跳跳猪</t>
  </si>
  <si>
    <t>326</t>
  </si>
  <si>
    <t>噗噗猪</t>
  </si>
  <si>
    <t>327</t>
  </si>
  <si>
    <t>晃晃斑</t>
  </si>
  <si>
    <t>328</t>
  </si>
  <si>
    <t>大颚蚁</t>
  </si>
  <si>
    <t>329</t>
  </si>
  <si>
    <t>超音波幼虫</t>
  </si>
  <si>
    <t>330</t>
  </si>
  <si>
    <t>沙漠蜻蜓</t>
  </si>
  <si>
    <t>331</t>
  </si>
  <si>
    <t>沙漠奈亚</t>
  </si>
  <si>
    <t>332</t>
  </si>
  <si>
    <t>梦歌奈亚</t>
  </si>
  <si>
    <t>333</t>
  </si>
  <si>
    <t>青绵鸟</t>
  </si>
  <si>
    <t>334</t>
  </si>
  <si>
    <t>七夕青鸟</t>
  </si>
  <si>
    <t>Mega七夕青鸟</t>
  </si>
  <si>
    <t>335</t>
  </si>
  <si>
    <t>猫鼬斩</t>
  </si>
  <si>
    <t>336</t>
  </si>
  <si>
    <t>饭匙蛇</t>
  </si>
  <si>
    <t>337</t>
  </si>
  <si>
    <t>月石</t>
  </si>
  <si>
    <t>338</t>
  </si>
  <si>
    <t>太阳岩</t>
  </si>
  <si>
    <t>339</t>
  </si>
  <si>
    <t>泥泥鳅</t>
  </si>
  <si>
    <t>340</t>
  </si>
  <si>
    <t>鲶鱼王</t>
  </si>
  <si>
    <t>341</t>
  </si>
  <si>
    <t>龙虾小兵</t>
  </si>
  <si>
    <t>342</t>
  </si>
  <si>
    <t>铁螯龙虾</t>
  </si>
  <si>
    <t>343</t>
  </si>
  <si>
    <t>天秤偶</t>
  </si>
  <si>
    <t>344</t>
  </si>
  <si>
    <t>念力土偶</t>
  </si>
  <si>
    <t>345</t>
  </si>
  <si>
    <t>触手百合</t>
  </si>
  <si>
    <t>346</t>
  </si>
  <si>
    <t>摇篮百合</t>
  </si>
  <si>
    <t>347</t>
  </si>
  <si>
    <t>太古羽虫</t>
  </si>
  <si>
    <t>348</t>
  </si>
  <si>
    <t>太古盔甲</t>
  </si>
  <si>
    <t>349</t>
  </si>
  <si>
    <t>笨笨鱼</t>
  </si>
  <si>
    <r>
      <rPr>
        <sz val="11"/>
        <rFont val="微软雅黑"/>
        <charset val="134"/>
      </rPr>
      <t>适</t>
    </r>
    <r>
      <rPr>
        <sz val="11"/>
        <color indexed="1"/>
        <rFont val="微软雅黑"/>
        <charset val="134"/>
      </rPr>
      <t>应力</t>
    </r>
  </si>
  <si>
    <t>350</t>
  </si>
  <si>
    <t>美纳斯</t>
  </si>
  <si>
    <t>351</t>
  </si>
  <si>
    <t>漂浮泡泡</t>
  </si>
  <si>
    <t>气象台</t>
  </si>
  <si>
    <t>352</t>
  </si>
  <si>
    <t>变隐龙</t>
  </si>
  <si>
    <t>变色</t>
  </si>
  <si>
    <t>353</t>
  </si>
  <si>
    <t>怨影娃娃</t>
  </si>
  <si>
    <t>354</t>
  </si>
  <si>
    <t>诅咒娃娃</t>
  </si>
  <si>
    <t>Mega诅咒娃娃</t>
  </si>
  <si>
    <t>355</t>
  </si>
  <si>
    <t>夜骷颅</t>
  </si>
  <si>
    <r>
      <rPr>
        <sz val="11"/>
        <rFont val="微软雅黑"/>
        <charset val="134"/>
      </rPr>
      <t>洞</t>
    </r>
    <r>
      <rPr>
        <sz val="11"/>
        <color indexed="1"/>
        <rFont val="微软雅黑"/>
        <charset val="134"/>
      </rPr>
      <t>察</t>
    </r>
  </si>
  <si>
    <t>356</t>
  </si>
  <si>
    <t>夜巨人</t>
  </si>
  <si>
    <t>357</t>
  </si>
  <si>
    <t>热带龙</t>
  </si>
  <si>
    <t>358</t>
  </si>
  <si>
    <t>风铃铃</t>
  </si>
  <si>
    <t>359</t>
  </si>
  <si>
    <t>阿勃梭鲁</t>
  </si>
  <si>
    <t>Mega阿勃梭鲁</t>
  </si>
  <si>
    <t>360</t>
  </si>
  <si>
    <t>小果然</t>
  </si>
  <si>
    <t>361</t>
  </si>
  <si>
    <t>雪童子</t>
  </si>
  <si>
    <t>362</t>
  </si>
  <si>
    <t>冰鬼护</t>
  </si>
  <si>
    <t>Mega冰鬼护</t>
  </si>
  <si>
    <t>363</t>
  </si>
  <si>
    <t>海豹球</t>
  </si>
  <si>
    <t>364</t>
  </si>
  <si>
    <t>海魔狮</t>
  </si>
  <si>
    <t>365</t>
  </si>
  <si>
    <t>帝牙海狮</t>
  </si>
  <si>
    <t>366</t>
  </si>
  <si>
    <t>珍珠贝</t>
  </si>
  <si>
    <t>367</t>
  </si>
  <si>
    <t>猎斑鱼</t>
  </si>
  <si>
    <t>368</t>
  </si>
  <si>
    <t>樱花鱼</t>
  </si>
  <si>
    <t>369</t>
  </si>
  <si>
    <t>古空棘鱼</t>
  </si>
  <si>
    <t>370</t>
  </si>
  <si>
    <t>爱心鱼</t>
  </si>
  <si>
    <t>371</t>
  </si>
  <si>
    <t>宝贝龙</t>
  </si>
  <si>
    <t>372</t>
  </si>
  <si>
    <t>甲壳龙</t>
  </si>
  <si>
    <t>373</t>
  </si>
  <si>
    <t>暴蝾螈</t>
  </si>
  <si>
    <t>Mega暴蝾螈</t>
  </si>
  <si>
    <t>374</t>
  </si>
  <si>
    <t>铁哑铃</t>
  </si>
  <si>
    <t>375</t>
  </si>
  <si>
    <t>金属怪</t>
  </si>
  <si>
    <t>376</t>
  </si>
  <si>
    <t>巨金怪</t>
  </si>
  <si>
    <t>Mega巨金怪</t>
  </si>
  <si>
    <t>377</t>
  </si>
  <si>
    <t>雷吉洛克</t>
  </si>
  <si>
    <r>
      <rPr>
        <sz val="11"/>
        <rFont val="微软雅黑"/>
        <charset val="134"/>
      </rPr>
      <t>坚</t>
    </r>
    <r>
      <rPr>
        <sz val="11"/>
        <color indexed="1"/>
        <rFont val="微软雅黑"/>
        <charset val="134"/>
      </rPr>
      <t>硬</t>
    </r>
  </si>
  <si>
    <t>378</t>
  </si>
  <si>
    <t>雷吉艾斯</t>
  </si>
  <si>
    <t>379</t>
  </si>
  <si>
    <t>雷吉斯奇鲁</t>
  </si>
  <si>
    <t>380</t>
  </si>
  <si>
    <t>拉帝亚斯</t>
  </si>
  <si>
    <t>Mega拉帝亚斯</t>
  </si>
  <si>
    <t>381</t>
  </si>
  <si>
    <t>拉帝欧斯</t>
  </si>
  <si>
    <t>Mega拉帝欧斯</t>
  </si>
  <si>
    <t>382</t>
  </si>
  <si>
    <t>盖欧卡</t>
  </si>
  <si>
    <t>降雨</t>
  </si>
  <si>
    <t>原始盖欧卡</t>
  </si>
  <si>
    <t>起始之海</t>
  </si>
  <si>
    <t>383</t>
  </si>
  <si>
    <t>固拉多</t>
  </si>
  <si>
    <t>原始固拉多</t>
  </si>
  <si>
    <t>终结大地</t>
  </si>
  <si>
    <t>384</t>
  </si>
  <si>
    <t>烈空坐</t>
  </si>
  <si>
    <t>天气锁</t>
  </si>
  <si>
    <t>Mega烈空坐</t>
  </si>
  <si>
    <t>变化气流</t>
  </si>
  <si>
    <t>385</t>
  </si>
  <si>
    <t>基拉祈</t>
  </si>
  <si>
    <t>386</t>
  </si>
  <si>
    <t>代欧奇希斯普通形态</t>
  </si>
  <si>
    <t>代欧奇希斯攻击形态</t>
  </si>
  <si>
    <t>代欧奇希斯防御形态</t>
  </si>
  <si>
    <t>代欧奇希斯速度形态</t>
  </si>
  <si>
    <t>387</t>
  </si>
  <si>
    <t>草苗龟</t>
  </si>
  <si>
    <t>388</t>
  </si>
  <si>
    <t>树林龟</t>
  </si>
  <si>
    <t>389</t>
  </si>
  <si>
    <t>土台龟</t>
  </si>
  <si>
    <t>390</t>
  </si>
  <si>
    <t>小火焰猴</t>
  </si>
  <si>
    <r>
      <rPr>
        <sz val="11"/>
        <rFont val="微软雅黑"/>
        <charset val="134"/>
      </rPr>
      <t>铁</t>
    </r>
    <r>
      <rPr>
        <sz val="11"/>
        <color indexed="1"/>
        <rFont val="微软雅黑"/>
        <charset val="134"/>
      </rPr>
      <t>拳</t>
    </r>
  </si>
  <si>
    <t>391</t>
  </si>
  <si>
    <t>猛火猴</t>
  </si>
  <si>
    <t>392</t>
  </si>
  <si>
    <t>烈焰猴</t>
  </si>
  <si>
    <t>393</t>
  </si>
  <si>
    <t>波加曼</t>
  </si>
  <si>
    <r>
      <rPr>
        <sz val="11"/>
        <rFont val="微软雅黑"/>
        <charset val="134"/>
      </rPr>
      <t>不</t>
    </r>
    <r>
      <rPr>
        <sz val="11"/>
        <color indexed="1"/>
        <rFont val="微软雅黑"/>
        <charset val="134"/>
      </rPr>
      <t>服输</t>
    </r>
  </si>
  <si>
    <t>394</t>
  </si>
  <si>
    <t>波皇子</t>
  </si>
  <si>
    <t>395</t>
  </si>
  <si>
    <t>帝王拿波</t>
  </si>
  <si>
    <t>396</t>
  </si>
  <si>
    <t>姆克儿</t>
  </si>
  <si>
    <t>397</t>
  </si>
  <si>
    <t>姆克鸟</t>
  </si>
  <si>
    <t>398</t>
  </si>
  <si>
    <t>姆克鹰</t>
  </si>
  <si>
    <t>399</t>
  </si>
  <si>
    <t>大牙狸</t>
  </si>
  <si>
    <r>
      <rPr>
        <sz val="11"/>
        <rFont val="微软雅黑"/>
        <charset val="134"/>
      </rPr>
      <t>天</t>
    </r>
    <r>
      <rPr>
        <sz val="11"/>
        <color indexed="1"/>
        <rFont val="微软雅黑"/>
        <charset val="134"/>
      </rPr>
      <t>然</t>
    </r>
  </si>
  <si>
    <r>
      <rPr>
        <sz val="11"/>
        <rFont val="微软雅黑"/>
        <charset val="134"/>
      </rPr>
      <t>心</t>
    </r>
    <r>
      <rPr>
        <sz val="11"/>
        <color indexed="1"/>
        <rFont val="微软雅黑"/>
        <charset val="134"/>
      </rPr>
      <t>意不定</t>
    </r>
  </si>
  <si>
    <t>400</t>
  </si>
  <si>
    <t>大尾狸</t>
  </si>
  <si>
    <t>401</t>
  </si>
  <si>
    <t>圆法师</t>
  </si>
  <si>
    <t>402</t>
  </si>
  <si>
    <t>音箱蟀</t>
  </si>
  <si>
    <t>403</t>
  </si>
  <si>
    <t>小猫怪</t>
  </si>
  <si>
    <t>404</t>
  </si>
  <si>
    <t>勒克猫</t>
  </si>
  <si>
    <t>405</t>
  </si>
  <si>
    <t>伦琴猫</t>
  </si>
  <si>
    <r>
      <rPr>
        <sz val="11"/>
        <rFont val="微软雅黑"/>
        <charset val="134"/>
      </rPr>
      <t>根</t>
    </r>
    <r>
      <rPr>
        <sz val="11"/>
        <color indexed="1"/>
        <rFont val="微软雅黑"/>
        <charset val="134"/>
      </rPr>
      <t>性</t>
    </r>
  </si>
  <si>
    <t>406</t>
  </si>
  <si>
    <t>含羞苞</t>
  </si>
  <si>
    <t>407</t>
  </si>
  <si>
    <t>罗丝雷朵</t>
  </si>
  <si>
    <t>408</t>
  </si>
  <si>
    <t>头盖龙</t>
  </si>
  <si>
    <t>409</t>
  </si>
  <si>
    <t>战槌龙</t>
  </si>
  <si>
    <t>410</t>
  </si>
  <si>
    <t>盾甲龙</t>
  </si>
  <si>
    <t>411</t>
  </si>
  <si>
    <t>护城龙</t>
  </si>
  <si>
    <t>412</t>
  </si>
  <si>
    <t>结草儿</t>
  </si>
  <si>
    <t>413</t>
  </si>
  <si>
    <t>结草贵妇植物蓑衣</t>
  </si>
  <si>
    <t>结草贵妇沙质蓑衣</t>
  </si>
  <si>
    <t>结草贵妇垃圾蓑衣</t>
  </si>
  <si>
    <t>414</t>
  </si>
  <si>
    <t>绅士蛾</t>
  </si>
  <si>
    <t>415</t>
  </si>
  <si>
    <t>三蜜蜂</t>
  </si>
  <si>
    <t>集蜜</t>
  </si>
  <si>
    <t>416</t>
  </si>
  <si>
    <t>蜂后</t>
  </si>
  <si>
    <t>417</t>
  </si>
  <si>
    <t>帕奇利兹</t>
  </si>
  <si>
    <t>418</t>
  </si>
  <si>
    <t>泳气鼬</t>
  </si>
  <si>
    <t>419</t>
  </si>
  <si>
    <t>浮潜鼬</t>
  </si>
  <si>
    <t>420</t>
  </si>
  <si>
    <t>樱花宝</t>
  </si>
  <si>
    <t>421</t>
  </si>
  <si>
    <t>樱花儿</t>
  </si>
  <si>
    <t>422</t>
  </si>
  <si>
    <t>无壳海牛</t>
  </si>
  <si>
    <t>423</t>
  </si>
  <si>
    <t>海牛兽</t>
  </si>
  <si>
    <t>424</t>
  </si>
  <si>
    <t>双尾怪手</t>
  </si>
  <si>
    <t>425</t>
  </si>
  <si>
    <t>飘飘球</t>
  </si>
  <si>
    <t>426</t>
  </si>
  <si>
    <t>附和气球</t>
  </si>
  <si>
    <t>427</t>
  </si>
  <si>
    <t>卷卷耳</t>
  </si>
  <si>
    <r>
      <rPr>
        <sz val="11"/>
        <rFont val="微软雅黑"/>
        <charset val="134"/>
      </rPr>
      <t>不</t>
    </r>
    <r>
      <rPr>
        <sz val="11"/>
        <color indexed="1"/>
        <rFont val="微软雅黑"/>
        <charset val="134"/>
      </rPr>
      <t>器用</t>
    </r>
  </si>
  <si>
    <r>
      <rPr>
        <sz val="11"/>
        <rFont val="微软雅黑"/>
        <charset val="134"/>
      </rPr>
      <t>柔</t>
    </r>
    <r>
      <rPr>
        <sz val="11"/>
        <color indexed="1"/>
        <rFont val="微软雅黑"/>
        <charset val="134"/>
      </rPr>
      <t>软</t>
    </r>
  </si>
  <si>
    <t>428</t>
  </si>
  <si>
    <t>长耳兔</t>
  </si>
  <si>
    <t>不器用</t>
  </si>
  <si>
    <t>Mega长耳兔</t>
  </si>
  <si>
    <t>429</t>
  </si>
  <si>
    <t>梦妖魔</t>
  </si>
  <si>
    <t>430</t>
  </si>
  <si>
    <t>乌鸦头头</t>
  </si>
  <si>
    <t>431</t>
  </si>
  <si>
    <t>魅力喵</t>
  </si>
  <si>
    <r>
      <rPr>
        <sz val="11"/>
        <rFont val="微软雅黑"/>
        <charset val="134"/>
      </rPr>
      <t>自</t>
    </r>
    <r>
      <rPr>
        <sz val="11"/>
        <color indexed="1"/>
        <rFont val="微软雅黑"/>
        <charset val="134"/>
      </rPr>
      <t>我中心</t>
    </r>
  </si>
  <si>
    <r>
      <rPr>
        <sz val="11"/>
        <rFont val="微软雅黑"/>
        <charset val="134"/>
      </rPr>
      <t>锐</t>
    </r>
    <r>
      <rPr>
        <sz val="11"/>
        <color indexed="1"/>
        <rFont val="微软雅黑"/>
        <charset val="134"/>
      </rPr>
      <t>利目光</t>
    </r>
  </si>
  <si>
    <t>432</t>
  </si>
  <si>
    <t>东施喵</t>
  </si>
  <si>
    <t>433</t>
  </si>
  <si>
    <t>铃铛响</t>
  </si>
  <si>
    <t>434</t>
  </si>
  <si>
    <t>臭鼬噗</t>
  </si>
  <si>
    <t>435</t>
  </si>
  <si>
    <t>坦克臭鼬</t>
  </si>
  <si>
    <t>436</t>
  </si>
  <si>
    <t>铜镜怪</t>
  </si>
  <si>
    <t>437</t>
  </si>
  <si>
    <t>青铜钟</t>
  </si>
  <si>
    <t>438</t>
  </si>
  <si>
    <t>爱哭树</t>
  </si>
  <si>
    <r>
      <rPr>
        <sz val="11"/>
        <rFont val="微软雅黑"/>
        <charset val="134"/>
      </rPr>
      <t>石</t>
    </r>
    <r>
      <rPr>
        <sz val="11"/>
        <color indexed="1"/>
        <rFont val="微软雅黑"/>
        <charset val="134"/>
      </rPr>
      <t>脑</t>
    </r>
  </si>
  <si>
    <t>439</t>
  </si>
  <si>
    <t>魔尼尼</t>
  </si>
  <si>
    <t>440</t>
  </si>
  <si>
    <t>好运蛋</t>
  </si>
  <si>
    <r>
      <rPr>
        <sz val="11"/>
        <rFont val="微软雅黑"/>
        <charset val="134"/>
      </rPr>
      <t>队</t>
    </r>
    <r>
      <rPr>
        <sz val="11"/>
        <color indexed="1"/>
        <rFont val="微软雅黑"/>
        <charset val="134"/>
      </rPr>
      <t>友守护</t>
    </r>
  </si>
  <si>
    <t>441</t>
  </si>
  <si>
    <t>聒噪鸟</t>
  </si>
  <si>
    <t>442</t>
  </si>
  <si>
    <t>花岩怪</t>
  </si>
  <si>
    <t>443</t>
  </si>
  <si>
    <t>圆陆鲨</t>
  </si>
  <si>
    <t>444</t>
  </si>
  <si>
    <t>尖牙陆鲨</t>
  </si>
  <si>
    <t>445</t>
  </si>
  <si>
    <t>烈咬陆鲨</t>
  </si>
  <si>
    <t>Mega烈咬陆鲨</t>
  </si>
  <si>
    <t>446</t>
  </si>
  <si>
    <t>小卡比兽</t>
  </si>
  <si>
    <t>447</t>
  </si>
  <si>
    <t>利欧路</t>
  </si>
  <si>
    <t>448</t>
  </si>
  <si>
    <t>路卡利欧</t>
  </si>
  <si>
    <t>Mega路卡利欧</t>
  </si>
  <si>
    <t>449</t>
  </si>
  <si>
    <t>怪河马</t>
  </si>
  <si>
    <t>450</t>
  </si>
  <si>
    <t>河马兽</t>
  </si>
  <si>
    <t>451</t>
  </si>
  <si>
    <t>紫天蝎</t>
  </si>
  <si>
    <t>452</t>
  </si>
  <si>
    <t>龙王蝎</t>
  </si>
  <si>
    <t>453</t>
  </si>
  <si>
    <t>不良蛙</t>
  </si>
  <si>
    <t>454</t>
  </si>
  <si>
    <t>毒骷蛙</t>
  </si>
  <si>
    <t>455</t>
  </si>
  <si>
    <t>尖牙笼</t>
  </si>
  <si>
    <t>456</t>
  </si>
  <si>
    <t>萤光鱼</t>
  </si>
  <si>
    <t>457</t>
  </si>
  <si>
    <t>霓虹鱼</t>
  </si>
  <si>
    <t>458</t>
  </si>
  <si>
    <t>小球飞鱼</t>
  </si>
  <si>
    <t>459</t>
  </si>
  <si>
    <t>雪笠怪</t>
  </si>
  <si>
    <t>降雪</t>
  </si>
  <si>
    <t>460</t>
  </si>
  <si>
    <t>暴雪王</t>
  </si>
  <si>
    <t>Mega暴雪王</t>
  </si>
  <si>
    <t>461</t>
  </si>
  <si>
    <t>玛狃拉</t>
  </si>
  <si>
    <t>462</t>
  </si>
  <si>
    <t>自爆磁怪</t>
  </si>
  <si>
    <t>463</t>
  </si>
  <si>
    <t>大舌舔</t>
  </si>
  <si>
    <r>
      <rPr>
        <sz val="11"/>
        <rFont val="微软雅黑"/>
        <charset val="134"/>
      </rPr>
      <t>无</t>
    </r>
    <r>
      <rPr>
        <sz val="11"/>
        <color indexed="1"/>
        <rFont val="微软雅黑"/>
        <charset val="134"/>
      </rPr>
      <t>天气</t>
    </r>
  </si>
  <si>
    <t>464</t>
  </si>
  <si>
    <t>超铁暴龙</t>
  </si>
  <si>
    <t>465</t>
  </si>
  <si>
    <t>巨蔓藤</t>
  </si>
  <si>
    <t>466</t>
  </si>
  <si>
    <t>电击魔兽</t>
  </si>
  <si>
    <t>467</t>
  </si>
  <si>
    <t>鸭嘴焰龙</t>
  </si>
  <si>
    <t>468</t>
  </si>
  <si>
    <t>波克基斯</t>
  </si>
  <si>
    <t>469</t>
  </si>
  <si>
    <t>梅卡阳玛</t>
  </si>
  <si>
    <t>470</t>
  </si>
  <si>
    <t>叶精灵</t>
  </si>
  <si>
    <t>471</t>
  </si>
  <si>
    <t>冰精灵</t>
  </si>
  <si>
    <t>472</t>
  </si>
  <si>
    <t>天蝎王</t>
  </si>
  <si>
    <t>473</t>
  </si>
  <si>
    <t>象牙猪</t>
  </si>
  <si>
    <t>474</t>
  </si>
  <si>
    <t>3D龙Z</t>
  </si>
  <si>
    <r>
      <rPr>
        <sz val="11"/>
        <rFont val="微软雅黑"/>
        <charset val="134"/>
      </rPr>
      <t>下</t>
    </r>
    <r>
      <rPr>
        <sz val="11"/>
        <color indexed="1"/>
        <rFont val="微软雅黑"/>
        <charset val="134"/>
      </rPr>
      <t>载</t>
    </r>
  </si>
  <si>
    <r>
      <rPr>
        <sz val="11"/>
        <rFont val="微软雅黑"/>
        <charset val="134"/>
      </rPr>
      <t>分</t>
    </r>
    <r>
      <rPr>
        <sz val="11"/>
        <color indexed="1"/>
        <rFont val="微软雅黑"/>
        <charset val="134"/>
      </rPr>
      <t>析</t>
    </r>
  </si>
  <si>
    <t>475</t>
  </si>
  <si>
    <t>艾路雷朵</t>
  </si>
  <si>
    <t>Mega艾路雷朵</t>
  </si>
  <si>
    <t>476</t>
  </si>
  <si>
    <t>大朝北鼻</t>
  </si>
  <si>
    <t>477</t>
  </si>
  <si>
    <t>夜黑魔人</t>
  </si>
  <si>
    <t>478</t>
  </si>
  <si>
    <t>雪妖女</t>
  </si>
  <si>
    <t>479</t>
  </si>
  <si>
    <t>洛托姆</t>
  </si>
  <si>
    <t>炽热洛托姆</t>
  </si>
  <si>
    <t>冲洗洛托姆</t>
  </si>
  <si>
    <t>冰霜洛托姆</t>
  </si>
  <si>
    <t>旋转洛托姆</t>
  </si>
  <si>
    <t>除草洛托姆</t>
  </si>
  <si>
    <t>480</t>
  </si>
  <si>
    <t>由克希</t>
  </si>
  <si>
    <t>481</t>
  </si>
  <si>
    <t>艾姆利多</t>
  </si>
  <si>
    <t>482</t>
  </si>
  <si>
    <t>亚克诺姆</t>
  </si>
  <si>
    <t>483</t>
  </si>
  <si>
    <t>帝牙卢卡</t>
  </si>
  <si>
    <t>484</t>
  </si>
  <si>
    <t>帕路奇犽</t>
  </si>
  <si>
    <t>485</t>
  </si>
  <si>
    <t>席多蓝恩</t>
  </si>
  <si>
    <t>486</t>
  </si>
  <si>
    <t>雷吉奇卡斯</t>
  </si>
  <si>
    <t>缓慢启动</t>
  </si>
  <si>
    <t>487</t>
  </si>
  <si>
    <t>骑拉帝纳变化形态</t>
  </si>
  <si>
    <t>骑拉帝纳起源形态</t>
  </si>
  <si>
    <t>488</t>
  </si>
  <si>
    <t>克雷色利亚</t>
  </si>
  <si>
    <t>489</t>
  </si>
  <si>
    <t>霏欧纳</t>
  </si>
  <si>
    <t>490</t>
  </si>
  <si>
    <t>玛纳霏</t>
  </si>
  <si>
    <t>491</t>
  </si>
  <si>
    <t>达克莱伊</t>
  </si>
  <si>
    <t>梦魇</t>
  </si>
  <si>
    <t>492</t>
  </si>
  <si>
    <t>洁咪陆地形态</t>
  </si>
  <si>
    <t>洁咪天空形态</t>
  </si>
  <si>
    <t>493</t>
  </si>
  <si>
    <t>阿尔宙斯</t>
  </si>
  <si>
    <t>多重属性</t>
  </si>
  <si>
    <t>494</t>
  </si>
  <si>
    <t>比克提尼</t>
  </si>
  <si>
    <t>495</t>
  </si>
  <si>
    <t>藤藤蛇</t>
  </si>
  <si>
    <t>496</t>
  </si>
  <si>
    <t>青藤蛇</t>
  </si>
  <si>
    <t>497</t>
  </si>
  <si>
    <t>君主蛇</t>
  </si>
  <si>
    <t>498</t>
  </si>
  <si>
    <t>暖暖猪</t>
  </si>
  <si>
    <t>499</t>
  </si>
  <si>
    <t>炒炒猪</t>
  </si>
  <si>
    <t>500</t>
  </si>
  <si>
    <t>炎武王</t>
  </si>
  <si>
    <t>501</t>
  </si>
  <si>
    <t>水水獭</t>
  </si>
  <si>
    <t>502</t>
  </si>
  <si>
    <t>双刃丸</t>
  </si>
  <si>
    <t>503</t>
  </si>
  <si>
    <t>大剑鬼</t>
  </si>
  <si>
    <t>504</t>
  </si>
  <si>
    <t>探探鼠</t>
  </si>
  <si>
    <t>505</t>
  </si>
  <si>
    <t>步哨鼠</t>
  </si>
  <si>
    <t>506</t>
  </si>
  <si>
    <t>小约克</t>
  </si>
  <si>
    <t>507</t>
  </si>
  <si>
    <t>哈约克</t>
  </si>
  <si>
    <t>508</t>
  </si>
  <si>
    <t>长毛狗</t>
  </si>
  <si>
    <r>
      <rPr>
        <sz val="11"/>
        <rFont val="微软雅黑"/>
        <charset val="134"/>
      </rPr>
      <t>挖</t>
    </r>
    <r>
      <rPr>
        <sz val="11"/>
        <color indexed="1"/>
        <rFont val="微软雅黑"/>
        <charset val="134"/>
      </rPr>
      <t>沙</t>
    </r>
  </si>
  <si>
    <t>509</t>
  </si>
  <si>
    <t>扒手猫</t>
  </si>
  <si>
    <t>510</t>
  </si>
  <si>
    <t>酷豹</t>
  </si>
  <si>
    <t>511</t>
  </si>
  <si>
    <t>花椰猴</t>
  </si>
  <si>
    <t>512</t>
  </si>
  <si>
    <t>花椰猿</t>
  </si>
  <si>
    <t>513</t>
  </si>
  <si>
    <t>爆香猴</t>
  </si>
  <si>
    <t>514</t>
  </si>
  <si>
    <t>爆香猿</t>
  </si>
  <si>
    <t>515</t>
  </si>
  <si>
    <t>冷水猴</t>
  </si>
  <si>
    <t>516</t>
  </si>
  <si>
    <t>冷水猿</t>
  </si>
  <si>
    <t>517</t>
  </si>
  <si>
    <t>食梦梦</t>
  </si>
  <si>
    <t>518</t>
  </si>
  <si>
    <t>梦梦蚀</t>
  </si>
  <si>
    <t>519</t>
  </si>
  <si>
    <t>豆豆鸽</t>
  </si>
  <si>
    <t>520</t>
  </si>
  <si>
    <t>波波鸽</t>
  </si>
  <si>
    <t>521</t>
  </si>
  <si>
    <t>轰隆雉鸡</t>
  </si>
  <si>
    <t>522</t>
  </si>
  <si>
    <t>斑斑马</t>
  </si>
  <si>
    <r>
      <rPr>
        <sz val="11"/>
        <rFont val="微软雅黑"/>
        <charset val="134"/>
      </rPr>
      <t>电</t>
    </r>
    <r>
      <rPr>
        <sz val="11"/>
        <color indexed="1"/>
        <rFont val="微软雅黑"/>
        <charset val="134"/>
      </rPr>
      <t>引擎</t>
    </r>
  </si>
  <si>
    <r>
      <rPr>
        <sz val="11"/>
        <rFont val="微软雅黑"/>
        <charset val="134"/>
      </rPr>
      <t>食</t>
    </r>
    <r>
      <rPr>
        <sz val="11"/>
        <color indexed="1"/>
        <rFont val="微软雅黑"/>
        <charset val="134"/>
      </rPr>
      <t>草</t>
    </r>
  </si>
  <si>
    <t>523</t>
  </si>
  <si>
    <t>雷电斑马</t>
  </si>
  <si>
    <t>524</t>
  </si>
  <si>
    <t>石丸子</t>
  </si>
  <si>
    <t>525</t>
  </si>
  <si>
    <t>地幔岩</t>
  </si>
  <si>
    <t>526</t>
  </si>
  <si>
    <t>庞岩怪</t>
  </si>
  <si>
    <t>527</t>
  </si>
  <si>
    <t>滚滚蝙蝠</t>
  </si>
  <si>
    <t>528</t>
  </si>
  <si>
    <t>心蝙蝠</t>
  </si>
  <si>
    <t>529</t>
  </si>
  <si>
    <t>螺钉地鼠</t>
  </si>
  <si>
    <r>
      <rPr>
        <sz val="11"/>
        <rFont val="微软雅黑"/>
        <charset val="134"/>
      </rPr>
      <t>破</t>
    </r>
    <r>
      <rPr>
        <sz val="11"/>
        <color indexed="1"/>
        <rFont val="微软雅黑"/>
        <charset val="134"/>
      </rPr>
      <t>格</t>
    </r>
  </si>
  <si>
    <t>530</t>
  </si>
  <si>
    <t>龙头地鼠</t>
  </si>
  <si>
    <t>531</t>
  </si>
  <si>
    <t>差不多娃娃</t>
  </si>
  <si>
    <t>Mega差不多娃娃</t>
  </si>
  <si>
    <t>532</t>
  </si>
  <si>
    <t>搬运小匠</t>
  </si>
  <si>
    <t>533</t>
  </si>
  <si>
    <t>铁骨土人</t>
  </si>
  <si>
    <t>534</t>
  </si>
  <si>
    <t>修缮老头</t>
  </si>
  <si>
    <t>535</t>
  </si>
  <si>
    <t>圆蝌蚪</t>
  </si>
  <si>
    <t>536</t>
  </si>
  <si>
    <t>蓝蟾蜍</t>
  </si>
  <si>
    <t>537</t>
  </si>
  <si>
    <t>蟾蜍王</t>
  </si>
  <si>
    <t>538</t>
  </si>
  <si>
    <t>投射鬼</t>
  </si>
  <si>
    <t>539</t>
  </si>
  <si>
    <t>打击鬼</t>
  </si>
  <si>
    <t>540</t>
  </si>
  <si>
    <t>虫宝包</t>
  </si>
  <si>
    <t>541</t>
  </si>
  <si>
    <t>宝包茧</t>
  </si>
  <si>
    <t>542</t>
  </si>
  <si>
    <t>保母虫</t>
  </si>
  <si>
    <t>543</t>
  </si>
  <si>
    <t>百足蜈蚣</t>
  </si>
  <si>
    <t>544</t>
  </si>
  <si>
    <t>车轮毬</t>
  </si>
  <si>
    <t>545</t>
  </si>
  <si>
    <t>蜈蚣王</t>
  </si>
  <si>
    <t>546</t>
  </si>
  <si>
    <t>木棉球</t>
  </si>
  <si>
    <t>547</t>
  </si>
  <si>
    <t>风妖精</t>
  </si>
  <si>
    <t>548</t>
  </si>
  <si>
    <t>百合根娃娃</t>
  </si>
  <si>
    <r>
      <rPr>
        <sz val="11"/>
        <rFont val="微软雅黑"/>
        <charset val="134"/>
      </rPr>
      <t>绿</t>
    </r>
    <r>
      <rPr>
        <sz val="11"/>
        <color indexed="1"/>
        <rFont val="微软雅黑"/>
        <charset val="134"/>
      </rPr>
      <t>叶守护</t>
    </r>
  </si>
  <si>
    <t>549</t>
  </si>
  <si>
    <t>裙儿小姐</t>
  </si>
  <si>
    <t>550</t>
  </si>
  <si>
    <t>勇士鲈鱼红纹之姿</t>
  </si>
  <si>
    <t>勇士鲈鱼蓝纹之姿</t>
  </si>
  <si>
    <t>551</t>
  </si>
  <si>
    <t>黑眼鳄</t>
  </si>
  <si>
    <t>552</t>
  </si>
  <si>
    <t>混混鳄</t>
  </si>
  <si>
    <t>553</t>
  </si>
  <si>
    <t>流氓鳄</t>
  </si>
  <si>
    <t>554</t>
  </si>
  <si>
    <t>火红不倒翁</t>
  </si>
  <si>
    <t>555</t>
  </si>
  <si>
    <t>达摩狒狒通常模式</t>
  </si>
  <si>
    <t>达摩模式</t>
  </si>
  <si>
    <t>达摩狒狒达摩模式</t>
  </si>
  <si>
    <t>556</t>
  </si>
  <si>
    <t>街头沙铃</t>
  </si>
  <si>
    <r>
      <rPr>
        <sz val="11"/>
        <rFont val="微软雅黑"/>
        <charset val="134"/>
      </rPr>
      <t>叶</t>
    </r>
    <r>
      <rPr>
        <sz val="11"/>
        <color indexed="1"/>
        <rFont val="微软雅黑"/>
        <charset val="134"/>
      </rPr>
      <t>绿素</t>
    </r>
  </si>
  <si>
    <r>
      <rPr>
        <sz val="11"/>
        <rFont val="微软雅黑"/>
        <charset val="134"/>
      </rPr>
      <t>引</t>
    </r>
    <r>
      <rPr>
        <sz val="11"/>
        <color indexed="1"/>
        <rFont val="微软雅黑"/>
        <charset val="134"/>
      </rPr>
      <t>水</t>
    </r>
  </si>
  <si>
    <t>557</t>
  </si>
  <si>
    <t>石居蟹</t>
  </si>
  <si>
    <t>558</t>
  </si>
  <si>
    <t>岩殿居蟹</t>
  </si>
  <si>
    <t>559</t>
  </si>
  <si>
    <t>滑头小子</t>
  </si>
  <si>
    <t>560</t>
  </si>
  <si>
    <t>头巾混混</t>
  </si>
  <si>
    <t>561</t>
  </si>
  <si>
    <t>象征鸟</t>
  </si>
  <si>
    <t>562</t>
  </si>
  <si>
    <t>哭哭面具</t>
  </si>
  <si>
    <t>木乃伊</t>
  </si>
  <si>
    <t>563</t>
  </si>
  <si>
    <t>死神棺</t>
  </si>
  <si>
    <t>564</t>
  </si>
  <si>
    <t>原盖海龟</t>
  </si>
  <si>
    <t>565</t>
  </si>
  <si>
    <t>肋骨海龟</t>
  </si>
  <si>
    <t>566</t>
  </si>
  <si>
    <t>始祖小鸟</t>
  </si>
  <si>
    <t>567</t>
  </si>
  <si>
    <t>始祖大鸟</t>
  </si>
  <si>
    <t>568</t>
  </si>
  <si>
    <t>破破袋</t>
  </si>
  <si>
    <r>
      <rPr>
        <sz val="11"/>
        <rFont val="微软雅黑"/>
        <charset val="134"/>
      </rPr>
      <t>引</t>
    </r>
    <r>
      <rPr>
        <sz val="11"/>
        <color indexed="1"/>
        <rFont val="微软雅黑"/>
        <charset val="134"/>
      </rPr>
      <t>爆</t>
    </r>
  </si>
  <si>
    <t>569</t>
  </si>
  <si>
    <t>灰尘山</t>
  </si>
  <si>
    <t>570</t>
  </si>
  <si>
    <t>索罗亚</t>
  </si>
  <si>
    <t>幻影</t>
  </si>
  <si>
    <t>571</t>
  </si>
  <si>
    <t>索罗亚克</t>
  </si>
  <si>
    <t>572</t>
  </si>
  <si>
    <t>泡沫栗鼠</t>
  </si>
  <si>
    <t>573</t>
  </si>
  <si>
    <t>奇诺栗鼠</t>
  </si>
  <si>
    <t>574</t>
  </si>
  <si>
    <t>哥德宝宝</t>
  </si>
  <si>
    <t>575</t>
  </si>
  <si>
    <t>哥德小童</t>
  </si>
  <si>
    <t>576</t>
  </si>
  <si>
    <t>哥德小姐</t>
  </si>
  <si>
    <t>577</t>
  </si>
  <si>
    <t>单卵细胞球</t>
  </si>
  <si>
    <t>578</t>
  </si>
  <si>
    <t>双卵细胞球</t>
  </si>
  <si>
    <t>579</t>
  </si>
  <si>
    <t>人造细胞卵</t>
  </si>
  <si>
    <t>580</t>
  </si>
  <si>
    <t>鸭宝宝</t>
  </si>
  <si>
    <t>581</t>
  </si>
  <si>
    <t>首席天鹅</t>
  </si>
  <si>
    <t>582</t>
  </si>
  <si>
    <t>迷你冰</t>
  </si>
  <si>
    <t>583</t>
  </si>
  <si>
    <t>多多冰</t>
  </si>
  <si>
    <t>584</t>
  </si>
  <si>
    <t>双倍多多冰</t>
  </si>
  <si>
    <t>585</t>
  </si>
  <si>
    <t>四季鹿</t>
  </si>
  <si>
    <t>586</t>
  </si>
  <si>
    <t>芽吹鹿</t>
  </si>
  <si>
    <t>587</t>
  </si>
  <si>
    <t>导电飞鼠</t>
  </si>
  <si>
    <t>588</t>
  </si>
  <si>
    <t>盖盖虫</t>
  </si>
  <si>
    <r>
      <rPr>
        <sz val="11"/>
        <rFont val="微软雅黑"/>
        <charset val="134"/>
      </rPr>
      <t>无</t>
    </r>
    <r>
      <rPr>
        <sz val="11"/>
        <color indexed="1"/>
        <rFont val="微软雅黑"/>
        <charset val="134"/>
      </rPr>
      <t>防御</t>
    </r>
  </si>
  <si>
    <t>589</t>
  </si>
  <si>
    <t>骑士蜗牛</t>
  </si>
  <si>
    <t>590</t>
  </si>
  <si>
    <t>宝贝球菇</t>
  </si>
  <si>
    <t>591</t>
  </si>
  <si>
    <t>暴露菇</t>
  </si>
  <si>
    <t>592</t>
  </si>
  <si>
    <t>轻飘飘</t>
  </si>
  <si>
    <t>593</t>
  </si>
  <si>
    <t>胖嘟嘟</t>
  </si>
  <si>
    <t>594</t>
  </si>
  <si>
    <t>保母曼波</t>
  </si>
  <si>
    <r>
      <rPr>
        <sz val="11"/>
        <rFont val="微软雅黑"/>
        <charset val="134"/>
      </rPr>
      <t>再</t>
    </r>
    <r>
      <rPr>
        <sz val="11"/>
        <color indexed="1"/>
        <rFont val="微软雅黑"/>
        <charset val="134"/>
      </rPr>
      <t>生力</t>
    </r>
  </si>
  <si>
    <t>595</t>
  </si>
  <si>
    <t>电电虫</t>
  </si>
  <si>
    <t>596</t>
  </si>
  <si>
    <t>电蜘蛛</t>
  </si>
  <si>
    <t>597</t>
  </si>
  <si>
    <t>种子铁球</t>
  </si>
  <si>
    <t>铁棘</t>
  </si>
  <si>
    <t>598</t>
  </si>
  <si>
    <t>坚果哑铃</t>
  </si>
  <si>
    <t>599</t>
  </si>
  <si>
    <t>齿轮儿</t>
  </si>
  <si>
    <r>
      <rPr>
        <sz val="11"/>
        <rFont val="微软雅黑"/>
        <charset val="134"/>
      </rPr>
      <t>净</t>
    </r>
    <r>
      <rPr>
        <sz val="11"/>
        <color indexed="1"/>
        <rFont val="微软雅黑"/>
        <charset val="134"/>
      </rPr>
      <t>体</t>
    </r>
  </si>
  <si>
    <t>600</t>
  </si>
  <si>
    <t>齿轮组</t>
  </si>
  <si>
    <t>601</t>
  </si>
  <si>
    <t>齿轮怪</t>
  </si>
  <si>
    <t>602</t>
  </si>
  <si>
    <t>麻麻小鱼</t>
  </si>
  <si>
    <t>603</t>
  </si>
  <si>
    <t>麻麻鳗</t>
  </si>
  <si>
    <t>604</t>
  </si>
  <si>
    <t>麻麻鳗鱼王</t>
  </si>
  <si>
    <t>605</t>
  </si>
  <si>
    <t>小灰怪</t>
  </si>
  <si>
    <t>606</t>
  </si>
  <si>
    <t>大宇怪</t>
  </si>
  <si>
    <t>607</t>
  </si>
  <si>
    <t>烛光灵</t>
  </si>
  <si>
    <t>608</t>
  </si>
  <si>
    <t>灯火幽灵</t>
  </si>
  <si>
    <t>609</t>
  </si>
  <si>
    <t>水晶灯火灵</t>
  </si>
  <si>
    <t>610</t>
  </si>
  <si>
    <t>牙牙</t>
  </si>
  <si>
    <t>611</t>
  </si>
  <si>
    <t>斧牙龙</t>
  </si>
  <si>
    <t>612</t>
  </si>
  <si>
    <t>双斧战龙</t>
  </si>
  <si>
    <t>613</t>
  </si>
  <si>
    <t>喷嚏熊</t>
  </si>
  <si>
    <t>614</t>
  </si>
  <si>
    <t>冻原熊</t>
  </si>
  <si>
    <t>615</t>
  </si>
  <si>
    <t>几何雪花</t>
  </si>
  <si>
    <t>616</t>
  </si>
  <si>
    <t>小嘴蜗</t>
  </si>
  <si>
    <t>617</t>
  </si>
  <si>
    <t>敏捷虫</t>
  </si>
  <si>
    <t>618</t>
  </si>
  <si>
    <t>泥巴鱼</t>
  </si>
  <si>
    <t>619</t>
  </si>
  <si>
    <t>功夫鼬</t>
  </si>
  <si>
    <r>
      <rPr>
        <sz val="11"/>
        <rFont val="微软雅黑"/>
        <charset val="134"/>
      </rPr>
      <t>舍</t>
    </r>
    <r>
      <rPr>
        <sz val="11"/>
        <color indexed="1"/>
        <rFont val="微软雅黑"/>
        <charset val="134"/>
      </rPr>
      <t>身</t>
    </r>
  </si>
  <si>
    <t>620</t>
  </si>
  <si>
    <t>师父鼬</t>
  </si>
  <si>
    <t>621</t>
  </si>
  <si>
    <t>赤面龙</t>
  </si>
  <si>
    <t>622</t>
  </si>
  <si>
    <t>泥偶小人</t>
  </si>
  <si>
    <t>623</t>
  </si>
  <si>
    <t>泥偶巨人</t>
  </si>
  <si>
    <t>624</t>
  </si>
  <si>
    <t>驹刀小兵</t>
  </si>
  <si>
    <t>625</t>
  </si>
  <si>
    <t>劈斩司令</t>
  </si>
  <si>
    <t>626</t>
  </si>
  <si>
    <t>爆爆头水牛</t>
  </si>
  <si>
    <r>
      <rPr>
        <sz val="11"/>
        <rFont val="微软雅黑"/>
        <charset val="134"/>
      </rPr>
      <t>防</t>
    </r>
    <r>
      <rPr>
        <sz val="11"/>
        <color indexed="1"/>
        <rFont val="微软雅黑"/>
        <charset val="134"/>
      </rPr>
      <t>音</t>
    </r>
  </si>
  <si>
    <t>627</t>
  </si>
  <si>
    <t>毛头小鹰</t>
  </si>
  <si>
    <t>628</t>
  </si>
  <si>
    <t>勇士鹰</t>
  </si>
  <si>
    <t>629</t>
  </si>
  <si>
    <t>秃鹰小子</t>
  </si>
  <si>
    <t>630</t>
  </si>
  <si>
    <t>秃鹰娜</t>
  </si>
  <si>
    <t>631</t>
  </si>
  <si>
    <t>食蚁炉</t>
  </si>
  <si>
    <t>632</t>
  </si>
  <si>
    <t>铁蚁</t>
  </si>
  <si>
    <t>633</t>
  </si>
  <si>
    <t>单首龙</t>
  </si>
  <si>
    <t>634</t>
  </si>
  <si>
    <t>双头龙</t>
  </si>
  <si>
    <t>635</t>
  </si>
  <si>
    <t>三头龙</t>
  </si>
  <si>
    <t>636</t>
  </si>
  <si>
    <t>燃烧虫</t>
  </si>
  <si>
    <t>637</t>
  </si>
  <si>
    <t>火神虫</t>
  </si>
  <si>
    <t>638</t>
  </si>
  <si>
    <t>勾帕路翁</t>
  </si>
  <si>
    <t>639</t>
  </si>
  <si>
    <t>代拉基翁</t>
  </si>
  <si>
    <t>640</t>
  </si>
  <si>
    <t>毕力吉翁</t>
  </si>
  <si>
    <t>641</t>
  </si>
  <si>
    <t>龙卷云化身形态</t>
  </si>
  <si>
    <t>龙卷云灵兽形态</t>
  </si>
  <si>
    <t>642</t>
  </si>
  <si>
    <t>雷电云化身形态</t>
  </si>
  <si>
    <t>雷电云灵兽形态</t>
  </si>
  <si>
    <t>643</t>
  </si>
  <si>
    <t>雷希拉姆</t>
  </si>
  <si>
    <t>涡轮火花</t>
  </si>
  <si>
    <t>644</t>
  </si>
  <si>
    <t>捷克罗姆</t>
  </si>
  <si>
    <t>垓级电压</t>
  </si>
  <si>
    <t>645</t>
  </si>
  <si>
    <t>土地云化身形态</t>
  </si>
  <si>
    <t>土地云灵兽形态</t>
  </si>
  <si>
    <t>646</t>
  </si>
  <si>
    <t>酋雷姆</t>
  </si>
  <si>
    <t>白色酋雷姆</t>
  </si>
  <si>
    <t>黑色酋雷姆</t>
  </si>
  <si>
    <t>647</t>
  </si>
  <si>
    <t>凯路迪欧通常之姿</t>
  </si>
  <si>
    <t>凯路迪欧觉悟之姿</t>
  </si>
  <si>
    <t>648</t>
  </si>
  <si>
    <t>美洛耶塔歌声形态</t>
  </si>
  <si>
    <t>美洛耶塔舞步形态</t>
  </si>
  <si>
    <t>649</t>
  </si>
  <si>
    <t>盖诺赛克特</t>
  </si>
  <si>
    <t>650</t>
  </si>
  <si>
    <t>哈力栗</t>
  </si>
  <si>
    <r>
      <rPr>
        <sz val="11"/>
        <rFont val="微软雅黑"/>
        <charset val="134"/>
      </rPr>
      <t>防</t>
    </r>
    <r>
      <rPr>
        <sz val="11"/>
        <color indexed="1"/>
        <rFont val="微软雅黑"/>
        <charset val="134"/>
      </rPr>
      <t>弹</t>
    </r>
  </si>
  <si>
    <t>651</t>
  </si>
  <si>
    <t>胖胖哈力</t>
  </si>
  <si>
    <t>防弹</t>
  </si>
  <si>
    <t>652</t>
  </si>
  <si>
    <t>布里卡隆</t>
  </si>
  <si>
    <t>653</t>
  </si>
  <si>
    <t>火狐狸</t>
  </si>
  <si>
    <r>
      <rPr>
        <sz val="11"/>
        <rFont val="微软雅黑"/>
        <charset val="134"/>
      </rPr>
      <t>魔</t>
    </r>
    <r>
      <rPr>
        <sz val="11"/>
        <color indexed="1"/>
        <rFont val="微软雅黑"/>
        <charset val="134"/>
      </rPr>
      <t>术师</t>
    </r>
  </si>
  <si>
    <t>654</t>
  </si>
  <si>
    <t>长尾火狐</t>
  </si>
  <si>
    <t>魔术师</t>
  </si>
  <si>
    <t>655</t>
  </si>
  <si>
    <t>妖火红狐</t>
  </si>
  <si>
    <t>656</t>
  </si>
  <si>
    <t>呱呱泡蛙</t>
  </si>
  <si>
    <r>
      <rPr>
        <sz val="11"/>
        <rFont val="微软雅黑"/>
        <charset val="134"/>
      </rPr>
      <t>变</t>
    </r>
    <r>
      <rPr>
        <sz val="11"/>
        <color indexed="1"/>
        <rFont val="微软雅黑"/>
        <charset val="134"/>
      </rPr>
      <t>幻自在</t>
    </r>
  </si>
  <si>
    <t>657</t>
  </si>
  <si>
    <t>呱头蛙</t>
  </si>
  <si>
    <t>658</t>
  </si>
  <si>
    <t>甲贺忍蛙</t>
  </si>
  <si>
    <t>659</t>
  </si>
  <si>
    <t>掘掘兔</t>
  </si>
  <si>
    <r>
      <rPr>
        <sz val="11"/>
        <rFont val="微软雅黑"/>
        <charset val="134"/>
      </rPr>
      <t>颊</t>
    </r>
    <r>
      <rPr>
        <sz val="11"/>
        <color indexed="1"/>
        <rFont val="微软雅黑"/>
        <charset val="134"/>
      </rPr>
      <t>囊</t>
    </r>
  </si>
  <si>
    <r>
      <rPr>
        <sz val="11"/>
        <rFont val="微软雅黑"/>
        <charset val="134"/>
      </rPr>
      <t>大</t>
    </r>
    <r>
      <rPr>
        <sz val="11"/>
        <color indexed="1"/>
        <rFont val="微软雅黑"/>
        <charset val="134"/>
      </rPr>
      <t>力士</t>
    </r>
  </si>
  <si>
    <t>660</t>
  </si>
  <si>
    <t>攉土兔</t>
  </si>
  <si>
    <t>颊囊</t>
  </si>
  <si>
    <t>661</t>
  </si>
  <si>
    <t>小箭雀</t>
  </si>
  <si>
    <t>疾风之翼</t>
  </si>
  <si>
    <t>662</t>
  </si>
  <si>
    <t>火箭雀</t>
  </si>
  <si>
    <t>663</t>
  </si>
  <si>
    <t>烈箭鹰</t>
  </si>
  <si>
    <t>664</t>
  </si>
  <si>
    <t>粉蛹</t>
  </si>
  <si>
    <r>
      <rPr>
        <sz val="11"/>
        <rFont val="微软雅黑"/>
        <charset val="134"/>
      </rPr>
      <t>复</t>
    </r>
    <r>
      <rPr>
        <sz val="11"/>
        <color indexed="1"/>
        <rFont val="微软雅黑"/>
        <charset val="134"/>
      </rPr>
      <t>眼</t>
    </r>
  </si>
  <si>
    <t>665</t>
  </si>
  <si>
    <t>粉蝶蛹</t>
  </si>
  <si>
    <t>666</t>
  </si>
  <si>
    <t>碧粉蝶</t>
  </si>
  <si>
    <t>667</t>
  </si>
  <si>
    <t>小狮狮</t>
  </si>
  <si>
    <t>668</t>
  </si>
  <si>
    <t>火炎狮</t>
  </si>
  <si>
    <t>669</t>
  </si>
  <si>
    <t>花蓓蓓</t>
  </si>
  <si>
    <t>鲜花掩护</t>
  </si>
  <si>
    <r>
      <rPr>
        <sz val="11"/>
        <rFont val="微软雅黑"/>
        <charset val="134"/>
      </rPr>
      <t>共</t>
    </r>
    <r>
      <rPr>
        <sz val="11"/>
        <color indexed="1"/>
        <rFont val="微软雅黑"/>
        <charset val="134"/>
      </rPr>
      <t>生</t>
    </r>
  </si>
  <si>
    <t>670</t>
  </si>
  <si>
    <t>花叶蒂</t>
  </si>
  <si>
    <t>共生</t>
  </si>
  <si>
    <t>671</t>
  </si>
  <si>
    <t>花洁夫人</t>
  </si>
  <si>
    <t>672</t>
  </si>
  <si>
    <t>咩咩羊</t>
  </si>
  <si>
    <t>673</t>
  </si>
  <si>
    <t>坐骑山羊</t>
  </si>
  <si>
    <t>674</t>
  </si>
  <si>
    <t>顽皮熊猫</t>
  </si>
  <si>
    <t>675</t>
  </si>
  <si>
    <t>流氓熊猫</t>
  </si>
  <si>
    <t>676</t>
  </si>
  <si>
    <t>多丽米亚</t>
  </si>
  <si>
    <t>677</t>
  </si>
  <si>
    <t>妙喵</t>
  </si>
  <si>
    <t>678</t>
  </si>
  <si>
    <t>超能妙喵</t>
  </si>
  <si>
    <t>超能妙喵母</t>
  </si>
  <si>
    <t>679</t>
  </si>
  <si>
    <t>独剑鞘</t>
  </si>
  <si>
    <t>680</t>
  </si>
  <si>
    <t>双剑鞘</t>
  </si>
  <si>
    <t>681</t>
  </si>
  <si>
    <t>坚盾剑怪盾牌形态</t>
  </si>
  <si>
    <t>战姿切换</t>
  </si>
  <si>
    <t>坚盾剑怪刀剑形态</t>
  </si>
  <si>
    <t>682</t>
  </si>
  <si>
    <t>粉香香</t>
  </si>
  <si>
    <t>芳香掩护</t>
  </si>
  <si>
    <t>683</t>
  </si>
  <si>
    <t>芳香精</t>
  </si>
  <si>
    <t>684</t>
  </si>
  <si>
    <t>绵绵泡芙</t>
  </si>
  <si>
    <t>甜蜜掩护</t>
  </si>
  <si>
    <t>685</t>
  </si>
  <si>
    <t>胖甜妮</t>
  </si>
  <si>
    <t>686</t>
  </si>
  <si>
    <t>豪喇花枝</t>
  </si>
  <si>
    <t>687</t>
  </si>
  <si>
    <t>乌贼王</t>
  </si>
  <si>
    <t>688</t>
  </si>
  <si>
    <t>龟脚脚</t>
  </si>
  <si>
    <t>689</t>
  </si>
  <si>
    <t>龟足巨铠</t>
  </si>
  <si>
    <t>690</t>
  </si>
  <si>
    <t>垃垃藻</t>
  </si>
  <si>
    <t>691</t>
  </si>
  <si>
    <t>毒拉蜜妮</t>
  </si>
  <si>
    <t>692</t>
  </si>
  <si>
    <t>铁臂枪虾</t>
  </si>
  <si>
    <t>Mega炮台</t>
  </si>
  <si>
    <t>693</t>
  </si>
  <si>
    <t>钢砲臂虾</t>
  </si>
  <si>
    <t>694</t>
  </si>
  <si>
    <t>伞电蜥</t>
  </si>
  <si>
    <t>695</t>
  </si>
  <si>
    <t>电伞查特</t>
  </si>
  <si>
    <t>696</t>
  </si>
  <si>
    <t>宝宝暴龙</t>
  </si>
  <si>
    <t>697</t>
  </si>
  <si>
    <t>怪颚龙</t>
  </si>
  <si>
    <t>698</t>
  </si>
  <si>
    <t>冰雪龙</t>
  </si>
  <si>
    <t>699</t>
  </si>
  <si>
    <t>冰雪巨龙</t>
  </si>
  <si>
    <t>700</t>
  </si>
  <si>
    <t>仙子精灵</t>
  </si>
  <si>
    <r>
      <rPr>
        <sz val="11"/>
        <rFont val="微软雅黑"/>
        <charset val="134"/>
      </rPr>
      <t>妖</t>
    </r>
    <r>
      <rPr>
        <sz val="11"/>
        <color indexed="1"/>
        <rFont val="微软雅黑"/>
        <charset val="134"/>
      </rPr>
      <t>精皮肤</t>
    </r>
  </si>
  <si>
    <t>701</t>
  </si>
  <si>
    <t>战斗飞鸟</t>
  </si>
  <si>
    <t>702</t>
  </si>
  <si>
    <t>咚咚鼠</t>
  </si>
  <si>
    <t>703</t>
  </si>
  <si>
    <t>小碎钻</t>
  </si>
  <si>
    <t>704</t>
  </si>
  <si>
    <t>黏黏宝</t>
  </si>
  <si>
    <r>
      <rPr>
        <sz val="11"/>
        <rFont val="微软雅黑"/>
        <charset val="134"/>
      </rPr>
      <t>黏</t>
    </r>
    <r>
      <rPr>
        <sz val="11"/>
        <color indexed="1"/>
        <rFont val="微软雅黑"/>
        <charset val="134"/>
      </rPr>
      <t>滑</t>
    </r>
  </si>
  <si>
    <t>705</t>
  </si>
  <si>
    <t>黏美伊儿</t>
  </si>
  <si>
    <t>黏滑</t>
  </si>
  <si>
    <t>706</t>
  </si>
  <si>
    <t>黏美露龙</t>
  </si>
  <si>
    <t>707</t>
  </si>
  <si>
    <t>钥圈儿</t>
  </si>
  <si>
    <t>708</t>
  </si>
  <si>
    <t>小木灵</t>
  </si>
  <si>
    <t>709</t>
  </si>
  <si>
    <t>朽木妖</t>
  </si>
  <si>
    <t>710</t>
  </si>
  <si>
    <t>南瓜精普通尺寸</t>
  </si>
  <si>
    <t>南瓜精小型尺寸</t>
  </si>
  <si>
    <t>南瓜精大型尺寸</t>
  </si>
  <si>
    <t>南瓜精特大尺寸</t>
  </si>
  <si>
    <t>711</t>
  </si>
  <si>
    <t>南瓜怪人普通尺寸</t>
  </si>
  <si>
    <t>南瓜怪人小型尺寸</t>
  </si>
  <si>
    <t>南瓜怪人大型尺寸</t>
  </si>
  <si>
    <t>南瓜怪人特大尺寸</t>
  </si>
  <si>
    <t>712</t>
  </si>
  <si>
    <t>冰宝</t>
  </si>
  <si>
    <r>
      <rPr>
        <sz val="11"/>
        <rFont val="微软雅黑"/>
        <charset val="134"/>
      </rPr>
      <t>寒</t>
    </r>
    <r>
      <rPr>
        <sz val="11"/>
        <color indexed="1"/>
        <rFont val="微软雅黑"/>
        <charset val="134"/>
      </rPr>
      <t>冰身躯</t>
    </r>
  </si>
  <si>
    <t>713</t>
  </si>
  <si>
    <t>冰岩怪</t>
  </si>
  <si>
    <t>714</t>
  </si>
  <si>
    <t>嗡蝠</t>
  </si>
  <si>
    <t>715</t>
  </si>
  <si>
    <t>音波龙</t>
  </si>
  <si>
    <t>716</t>
  </si>
  <si>
    <t>哲尔尼亚斯</t>
  </si>
  <si>
    <t>717</t>
  </si>
  <si>
    <t>伊裴尔塔尔</t>
  </si>
  <si>
    <t>718</t>
  </si>
  <si>
    <t>基格尔德</t>
  </si>
  <si>
    <t>光环破坏</t>
  </si>
  <si>
    <t>蒂安希</t>
  </si>
  <si>
    <t>クリアボディ</t>
  </si>
  <si>
    <t>Mega蒂安希</t>
  </si>
  <si>
    <t>报恩</t>
  </si>
  <si>
    <t>おんがえし</t>
  </si>
  <si>
    <t>Return</t>
  </si>
  <si>
    <t>为了训练师全力向对手攻击，亲密度越高威力越大。</t>
  </si>
  <si>
    <t>过肩摔</t>
  </si>
  <si>
    <t>けたぐり</t>
  </si>
  <si>
    <t>Low Kick</t>
  </si>
  <si>
    <t>--</t>
  </si>
  <si>
    <t>用力踢对手让对手摔倒，对手越重威力越大。</t>
  </si>
  <si>
    <t>啄</t>
  </si>
  <si>
    <t>つつく</t>
  </si>
  <si>
    <t>Peck</t>
  </si>
  <si>
    <t>用尖锐的喙或角突刺对手。</t>
  </si>
  <si>
    <t>どくばり</t>
  </si>
  <si>
    <t>Poison Sting</t>
  </si>
  <si>
    <t>用毒针突刺对手，会造成中毒。</t>
  </si>
  <si>
    <t>じわれ</t>
  </si>
  <si>
    <t>Fissure</t>
  </si>
  <si>
    <t>让对手落进地裂的裂缝中，命中立即濒死。</t>
  </si>
  <si>
    <t>ロックブラスト</t>
  </si>
  <si>
    <t>Rock Blast</t>
  </si>
  <si>
    <t>发射坚硬的岩石攻击对手，2～5次连续攻击。</t>
  </si>
  <si>
    <t>ミサイルばり</t>
  </si>
  <si>
    <t>Pin Missile</t>
  </si>
  <si>
    <t>向对手发射尖针攻击，2～5次连续攻击。</t>
  </si>
  <si>
    <t>したでなめる</t>
  </si>
  <si>
    <t>Lick</t>
  </si>
  <si>
    <t>用长舌头舔遍对手，会造成麻痹。</t>
  </si>
  <si>
    <t>螺旋球</t>
  </si>
  <si>
    <t>ジャイロボール</t>
  </si>
  <si>
    <t>Gyro Ball</t>
  </si>
  <si>
    <t>高速旋转身体撞击对手，速度比对手越低伤害越大。</t>
  </si>
  <si>
    <t>热践踏</t>
  </si>
  <si>
    <t>ヒートスタンプ</t>
  </si>
  <si>
    <t>Heat Crash</t>
  </si>
  <si>
    <t>用燃烧的身体冲撞对手，自身体重比对手越高威力越大。</t>
  </si>
  <si>
    <t>贝壳夹</t>
  </si>
  <si>
    <t>からではさむ</t>
  </si>
  <si>
    <t>Clamp</t>
  </si>
  <si>
    <t>4～5回合内用坚硬的厚壳夹住对手。</t>
  </si>
  <si>
    <t>タネマシンガン</t>
  </si>
  <si>
    <t>Bullet Seed</t>
  </si>
  <si>
    <t>尽情发射种子攻击，2～5次连续攻击。</t>
  </si>
  <si>
    <t>スパーク</t>
  </si>
  <si>
    <t>Spark</t>
  </si>
  <si>
    <t>缠绕电流向对手突进攻击，会造成麻痹。</t>
  </si>
  <si>
    <t>ハートスタンプ</t>
  </si>
  <si>
    <t>Heart Stamp</t>
  </si>
  <si>
    <t>以可爱的样子迷惑对手，再作出强烈的一击，会让对手害怕。</t>
  </si>
  <si>
    <t>つららばり</t>
  </si>
  <si>
    <t>Icicle Spear</t>
  </si>
  <si>
    <t>发射尖锐的冰柱攻击，2～5次连续攻击。</t>
  </si>
  <si>
    <t>ダブルチョップ</t>
  </si>
  <si>
    <t>Dual Chop</t>
  </si>
  <si>
    <t>用身体坚硬的部分敲打对手，造成2次连续伤害。</t>
  </si>
  <si>
    <t>ふくろだたき</t>
  </si>
  <si>
    <t>Beat Up</t>
  </si>
  <si>
    <t>己方全员攻击，队友越多攻击次数越多。</t>
  </si>
  <si>
    <t>嬉闹</t>
  </si>
  <si>
    <t>じゃれつく</t>
  </si>
  <si>
    <t>Play Rough</t>
  </si>
  <si>
    <t>戏弄对手攻击，有几率降低对手攻击。</t>
  </si>
  <si>
    <t>おうふくビンタ</t>
  </si>
  <si>
    <t>Doubleslap</t>
  </si>
  <si>
    <t>连续拍打对手，2～5次连续攻击。</t>
  </si>
  <si>
    <t>反击</t>
  </si>
  <si>
    <t>カウンター</t>
  </si>
  <si>
    <t>Counter</t>
  </si>
  <si>
    <t>将受到的物理理攻击双倍返还给对手。</t>
  </si>
  <si>
    <t>杂耍</t>
  </si>
  <si>
    <t>アクロバット</t>
  </si>
  <si>
    <t>Acrobatics</t>
  </si>
  <si>
    <t>轻灵地攻击对手，自身不携带道具时造成大伤害。</t>
  </si>
  <si>
    <t>どくどくのキバ</t>
  </si>
  <si>
    <t>Poison Fang</t>
  </si>
  <si>
    <t>用毒牙啃咬对手攻击，会造成剧毒状态。</t>
  </si>
  <si>
    <t>マグニチュード</t>
  </si>
  <si>
    <t>Magnitude</t>
  </si>
  <si>
    <t>震动地面攻击自身周围所有对象，技能威力会有多种变化。</t>
  </si>
  <si>
    <t>滚动</t>
  </si>
  <si>
    <t>ころがる</t>
  </si>
  <si>
    <t>Rollout</t>
  </si>
  <si>
    <t>5回合内连续滚动攻击，每次命中威力增加。</t>
  </si>
  <si>
    <t>吸血</t>
  </si>
  <si>
    <t>きゅうけつ</t>
  </si>
  <si>
    <t>Leech Life</t>
  </si>
  <si>
    <t>吸取对手的血，伤害的一半回复自身HP。</t>
  </si>
  <si>
    <t>おどろかす</t>
  </si>
  <si>
    <t>Astonish</t>
  </si>
  <si>
    <t>用大声突然惊吓对手，会让对手害怕。</t>
  </si>
  <si>
    <t>メタルバースト</t>
  </si>
  <si>
    <t>Metal Burst</t>
  </si>
  <si>
    <t>最近一次受到的攻击伤害大力返还给对手。</t>
  </si>
  <si>
    <t>ニトロチャージ</t>
  </si>
  <si>
    <t>Flame Charge</t>
  </si>
  <si>
    <t>包裹火焰攻击对手，凝聚力量提高自身的速度。</t>
  </si>
  <si>
    <t>水流喷射</t>
  </si>
  <si>
    <t>アクアジェット</t>
  </si>
  <si>
    <t>Aqua Jet</t>
  </si>
  <si>
    <t>以肉眼无法看见的速度冲向对手，必定能先制攻击。</t>
  </si>
  <si>
    <t>藤鞭</t>
  </si>
  <si>
    <t>つるのムチ</t>
  </si>
  <si>
    <t>Vine Whip</t>
  </si>
  <si>
    <t>用鞭子般细长的藤条抽打对手。</t>
  </si>
  <si>
    <t>かみなりのキバ</t>
  </si>
  <si>
    <t>Thunder Fang</t>
  </si>
  <si>
    <t>用带有电流的牙齿啃咬，能令对手害怕或麻痹。</t>
  </si>
  <si>
    <t>サイコカッター</t>
  </si>
  <si>
    <t>Psycho Cut</t>
  </si>
  <si>
    <t>用实体化的心灵之刃切裂对手，容易命中要害。</t>
  </si>
  <si>
    <t>冰球</t>
  </si>
  <si>
    <t>アイスボール</t>
  </si>
  <si>
    <t>Ice Ball</t>
  </si>
  <si>
    <t>龙之尾</t>
  </si>
  <si>
    <t>ドラゴンテール</t>
  </si>
  <si>
    <t>Dragon Tail</t>
  </si>
  <si>
    <t>将对手弹飞，换出其它怪兽，对野生怪兽则结束战斗。</t>
  </si>
  <si>
    <t>なげつける</t>
  </si>
  <si>
    <t>Fling</t>
  </si>
  <si>
    <t>将装备的道具丢向对手进行攻击，威力与特殊效取决于道具。</t>
  </si>
  <si>
    <t>魅力声音</t>
  </si>
  <si>
    <t>チャームボイス</t>
  </si>
  <si>
    <t>Disarming Voice</t>
  </si>
  <si>
    <t>发出魅惑的叫声，对对手造成精神伤害。攻击必定命中。</t>
  </si>
  <si>
    <t>しめつける</t>
  </si>
  <si>
    <t>Bind</t>
  </si>
  <si>
    <t>4～5回合内用长长的身躯或藤条勒住对手。</t>
  </si>
  <si>
    <t>地球投</t>
  </si>
  <si>
    <t>ちきゅうなげ</t>
  </si>
  <si>
    <t>Seismic Toss</t>
  </si>
  <si>
    <t>借助引力投掷。对对手造成与自身等级相同的伤害。</t>
  </si>
  <si>
    <t>翅膀拍击</t>
  </si>
  <si>
    <t>つばさでうつ</t>
  </si>
  <si>
    <t>Wing Attack</t>
  </si>
  <si>
    <t>展开巨大的翅膀拍打对手。</t>
  </si>
  <si>
    <t>ポイズンテール</t>
  </si>
  <si>
    <t>Poison Tail</t>
  </si>
  <si>
    <t>用尾巴拍打，会造成中毒，并且容易命中要害。</t>
  </si>
  <si>
    <t>ボーンラッシュ</t>
  </si>
  <si>
    <t>Bone Rush</t>
  </si>
  <si>
    <t>用坚硬的骨头痛打对手，2～5次连续攻击。</t>
  </si>
  <si>
    <t>いわおとし</t>
  </si>
  <si>
    <t>Rock Throw</t>
  </si>
  <si>
    <t>举起小岩石扔向对手。</t>
  </si>
  <si>
    <t>连续切</t>
  </si>
  <si>
    <t>れんぞくぎり</t>
  </si>
  <si>
    <t>Fury Cutter</t>
  </si>
  <si>
    <t>用镰刀或爪子连续切砍对手，连续命中威力会增加。</t>
  </si>
  <si>
    <t>影击</t>
  </si>
  <si>
    <t>かげうち</t>
  </si>
  <si>
    <t>Shadow Sneak</t>
  </si>
  <si>
    <t>将影子延伸到对手背后进行攻击，必定能先制攻击。</t>
  </si>
  <si>
    <t>重量炸弹</t>
  </si>
  <si>
    <t>ヘビーボンバー</t>
  </si>
  <si>
    <t>Heavy Slam</t>
  </si>
  <si>
    <t>用沉重的身体冲撞对手，自身体重比对手越高威力越大。</t>
  </si>
  <si>
    <t>かえんぐるま</t>
  </si>
  <si>
    <t>Flame Wheel</t>
  </si>
  <si>
    <t>缠绕火焰向对手突进攻击，会造成烧伤。</t>
  </si>
  <si>
    <t>シェルブレード</t>
  </si>
  <si>
    <t>Razor Blade</t>
  </si>
  <si>
    <t>用锋锐的贝壳切砍对手，会降低对手防御。</t>
  </si>
  <si>
    <t>はっぱカッター</t>
  </si>
  <si>
    <t>Razor Leaf</t>
  </si>
  <si>
    <t>射出叶子切割对手，容易命中要害。</t>
  </si>
  <si>
    <t>かみなりパンチ</t>
  </si>
  <si>
    <t>Thunderpunch</t>
  </si>
  <si>
    <t>用充满电流的拳头攻击，会造成麻痹。</t>
  </si>
  <si>
    <t>しねんのずつき</t>
  </si>
  <si>
    <t>Zen Headbutt</t>
  </si>
  <si>
    <t>将思念的力量集中在前额攻击，会让对手害怕。</t>
  </si>
  <si>
    <t>こおりのつぶて</t>
  </si>
  <si>
    <t>Ice Shard</t>
  </si>
  <si>
    <t>瞬间做出冰块射向对手，必定能先制攻击。</t>
  </si>
  <si>
    <t>龙之爪</t>
  </si>
  <si>
    <t>ドラゴンクロー</t>
  </si>
  <si>
    <t>Dragon Claw</t>
  </si>
  <si>
    <t>用锋锐的巨爪切裂对手。</t>
  </si>
  <si>
    <t>惩罚</t>
  </si>
  <si>
    <t>おしおき</t>
  </si>
  <si>
    <t>Punishment</t>
  </si>
  <si>
    <t>对手的能力提升得越高，技能威力越大。</t>
  </si>
  <si>
    <t>吸收之吻</t>
  </si>
  <si>
    <t>ドレインキッス</t>
  </si>
  <si>
    <t>Draining Kiss</t>
  </si>
  <si>
    <t>亲吻对手吸取对手的能量，所造成伤害的一半回复自身。</t>
  </si>
  <si>
    <t>みだれづき</t>
  </si>
  <si>
    <t>Fury Attack</t>
  </si>
  <si>
    <t>用角或喙啄击对手，2～5次连续攻击。</t>
  </si>
  <si>
    <t>起死回生</t>
  </si>
  <si>
    <t>きしかいせい</t>
  </si>
  <si>
    <t>Reversal</t>
  </si>
  <si>
    <t>用尽最后的全力攻击，自身HP越少威力越大。</t>
  </si>
  <si>
    <t>燕返</t>
  </si>
  <si>
    <t>つばめがえし</t>
  </si>
  <si>
    <t>Aerial Ace</t>
  </si>
  <si>
    <t>以迅捷的速度玩弄对手后斩切，必定能命中目标。</t>
  </si>
  <si>
    <t>クロスポイズン</t>
  </si>
  <si>
    <t>Cross Poison</t>
  </si>
  <si>
    <t>用毒刃切裂对手，会造成中毒，容易命中要害。</t>
  </si>
  <si>
    <t>すなじごく</t>
  </si>
  <si>
    <t>Sand Tomb</t>
  </si>
  <si>
    <t>4～5回合内将对手困进剧烈的沙暴中。</t>
  </si>
  <si>
    <t>がんせきふうじ</t>
  </si>
  <si>
    <t>Rock Tomb</t>
  </si>
  <si>
    <t>投掷岩石攻击，封锁对手行动来降低速度。</t>
  </si>
  <si>
    <t>ダブルニードル</t>
  </si>
  <si>
    <t>Twineedle</t>
  </si>
  <si>
    <t>用双针连续2次突刺对手，会造成中毒。</t>
  </si>
  <si>
    <t>暗影拳</t>
  </si>
  <si>
    <t>シャドーパンチ</t>
  </si>
  <si>
    <t>Shadow Punch</t>
  </si>
  <si>
    <t>发出融入黑影中的拳头，必定能命中目标。</t>
  </si>
  <si>
    <t>子弹拳</t>
  </si>
  <si>
    <t>バレットパンチ</t>
  </si>
  <si>
    <t>Bullet Punch</t>
  </si>
  <si>
    <t>用子弹般的速度向对手出拳，必定能先制攻击。</t>
  </si>
  <si>
    <t>ほのおのキバ</t>
  </si>
  <si>
    <t>Fire Fang</t>
  </si>
  <si>
    <t>用带有火焰的牙齿啃咬，能令对手害怕或烧伤。</t>
  </si>
  <si>
    <t>たきのぼり</t>
  </si>
  <si>
    <t>Waterfall</t>
  </si>
  <si>
    <t>鼓劲向对手突击，会让对手害怕。可以游上瀑布。</t>
  </si>
  <si>
    <t>ニードルアーム</t>
  </si>
  <si>
    <t>Needle Arm</t>
  </si>
  <si>
    <t>用力挥舞针刺的手腕攻击，会让对手害怕。</t>
  </si>
  <si>
    <t>野性电击</t>
  </si>
  <si>
    <t>ワイルドボルト</t>
  </si>
  <si>
    <t>Wild Charge</t>
  </si>
  <si>
    <t>缠绕电流撞击对手，自身也会受到少量伤害。</t>
  </si>
  <si>
    <t>精神波动</t>
  </si>
  <si>
    <t>サイコウェーブ</t>
  </si>
  <si>
    <t>Psywave</t>
  </si>
  <si>
    <t>向对手发射神秘的念波，每次使用伤害都会变动。</t>
  </si>
  <si>
    <t>雪崩</t>
  </si>
  <si>
    <t>ゆきなだれ</t>
  </si>
  <si>
    <t>Avalanche</t>
  </si>
  <si>
    <t>如果受到对手的伤害，此技能对对手的伤害翻倍。</t>
  </si>
  <si>
    <t>ドラゴンダイブ</t>
  </si>
  <si>
    <t>Dragon Rush</t>
  </si>
  <si>
    <t>发出恐怖的杀气撞击对手，会让对手害怕。</t>
  </si>
  <si>
    <t>打落</t>
  </si>
  <si>
    <t>はたきおとす</t>
  </si>
  <si>
    <t>Knock Off</t>
  </si>
  <si>
    <t>打落对手道具，直到战斗结束为止都不能使用。</t>
  </si>
  <si>
    <t>魔法闪光</t>
  </si>
  <si>
    <t>マジカルシャイン</t>
  </si>
  <si>
    <t>Dazzling Gleam</t>
  </si>
  <si>
    <t>放出强力的光，对对手造成伤害。</t>
  </si>
  <si>
    <t>卷紧</t>
  </si>
  <si>
    <t>まきつく</t>
  </si>
  <si>
    <t>Wrap</t>
  </si>
  <si>
    <t>用长长的身体或藤条4～5回合内缠绕对手。</t>
  </si>
  <si>
    <t>三连踢</t>
  </si>
  <si>
    <t>トリプルキック</t>
  </si>
  <si>
    <t>Triple Kick</t>
  </si>
  <si>
    <t>连续三次踢击对手，每次踢中伤害提高。</t>
  </si>
  <si>
    <t>啄食</t>
  </si>
  <si>
    <t>ついばむ</t>
  </si>
  <si>
    <t>Pluck</t>
  </si>
  <si>
    <t>用喙攻击，如果对手携带果实，啄取该果实食用并获得其效果。</t>
  </si>
  <si>
    <t>どくづき</t>
  </si>
  <si>
    <t>Poison Jab</t>
  </si>
  <si>
    <t>用充满毒液的触手或爪子突刺对手，会造成中毒。</t>
  </si>
  <si>
    <t>ホネブーメラン</t>
  </si>
  <si>
    <t>Bonemerang</t>
  </si>
  <si>
    <t>用手中的骨头投掷对手，造成飞去飞来二次伤害。</t>
  </si>
  <si>
    <t>うちおとす</t>
  </si>
  <si>
    <t>Smack Down</t>
  </si>
  <si>
    <t>投掷石头或弹炮攻击对手，将对手击落地面。</t>
  </si>
  <si>
    <t>终结针刺</t>
  </si>
  <si>
    <t>とどめばり</t>
  </si>
  <si>
    <t>Fell Stinger</t>
  </si>
  <si>
    <t>用这个技能击倒对手时，自己的攻击大幅提高。</t>
  </si>
  <si>
    <t>阴影爪</t>
  </si>
  <si>
    <t>シャドークロー</t>
  </si>
  <si>
    <t>Shadow Claw</t>
  </si>
  <si>
    <t>从阴影中做出尖爪切裂对手，高几率命中要害。</t>
  </si>
  <si>
    <t>メタルクロー</t>
  </si>
  <si>
    <t>Metal Claw</t>
  </si>
  <si>
    <t>用钢铁的爪子切裂对手，会提高自身攻击。</t>
  </si>
  <si>
    <t>ほのおのパンチ</t>
  </si>
  <si>
    <t>Fire Punch</t>
  </si>
  <si>
    <t>用充满火焰的拳头攻击，会造成烧伤。</t>
  </si>
  <si>
    <t>潜水</t>
  </si>
  <si>
    <t>ダイビング</t>
  </si>
  <si>
    <t>Dive</t>
  </si>
  <si>
    <t>第一回合下潜第二回合浮上来攻击。能潜下大海深处。</t>
  </si>
  <si>
    <t>木角</t>
  </si>
  <si>
    <t>ウッドホーン</t>
  </si>
  <si>
    <t>Horn Leech</t>
  </si>
  <si>
    <t>将角刺入对手身体吸取养分，所造成伤害的50%回复自身HP。</t>
  </si>
  <si>
    <t>クロスサンダー</t>
  </si>
  <si>
    <t>Fusion Bolt</t>
  </si>
  <si>
    <t>用巨大的雷电打倒对手，受到巨大的火焰影响时技能威力上升。</t>
  </si>
  <si>
    <t>镜面反射</t>
  </si>
  <si>
    <t>ミラーコート</t>
  </si>
  <si>
    <t>Mirror Coat</t>
  </si>
  <si>
    <t>将受到的特殊殊攻击双倍返还给对手。</t>
  </si>
  <si>
    <t>こおりのキバ</t>
  </si>
  <si>
    <t>Ice Fang</t>
  </si>
  <si>
    <t>用带有冷气的牙齿啃咬，能令对手害怕或冰冻。</t>
  </si>
  <si>
    <t>逆鳞</t>
  </si>
  <si>
    <t>げきりん</t>
  </si>
  <si>
    <t>Outrage</t>
  </si>
  <si>
    <t>2～3回合内乱撞攻击，乱撞后会混乱。</t>
  </si>
  <si>
    <t>偷盗</t>
  </si>
  <si>
    <t>どろぼう</t>
  </si>
  <si>
    <t>Thief</t>
  </si>
  <si>
    <t>攻击的同时偷取道具，自身已经携带道具的时候不会偷取。</t>
  </si>
  <si>
    <t>月爆</t>
  </si>
  <si>
    <t>ムーンフォース</t>
  </si>
  <si>
    <t>Moonblast</t>
  </si>
  <si>
    <t>借用月亮的力量攻击对手，有几率降低其特殊攻。</t>
  </si>
  <si>
    <t>たまなげ</t>
  </si>
  <si>
    <t>Barrage</t>
  </si>
  <si>
    <t>向对手投掷圆圆的东西，2～5次连续攻击。</t>
  </si>
  <si>
    <t>つっぱり</t>
  </si>
  <si>
    <t>Arm Thrust</t>
  </si>
  <si>
    <t>张开双手猛推对手，2～5次连续攻击。</t>
  </si>
  <si>
    <t>自由下落</t>
  </si>
  <si>
    <t>フリーフォール</t>
  </si>
  <si>
    <t>Sky Drop</t>
  </si>
  <si>
    <t>第一回合抓起对手飞上天空，第二回合扔下来。抓起来的怪兽不能行动。</t>
  </si>
  <si>
    <t>ダストシュート</t>
  </si>
  <si>
    <t>Gunk Shot</t>
  </si>
  <si>
    <t>喷射脏垃圾攻击对手，会造成中毒。</t>
  </si>
  <si>
    <t>じならし</t>
  </si>
  <si>
    <t>Bulldoze</t>
  </si>
  <si>
    <t>践踏地面，攻击自身周围所有单位，降低目标速度。</t>
  </si>
  <si>
    <t>いわなだれ</t>
  </si>
  <si>
    <t>Rock Slide</t>
  </si>
  <si>
    <t>用力投掷巨大的岩石攻击，会让对手害怕。</t>
  </si>
  <si>
    <t>虫食</t>
  </si>
  <si>
    <t>むしくい</t>
  </si>
  <si>
    <t>Bug Bite</t>
  </si>
  <si>
    <t>啃咬攻击，如果对手携带树果，将树果吃掉获得效果。</t>
  </si>
  <si>
    <t>幽灵潜袭</t>
  </si>
  <si>
    <t>ゴーストダイブ</t>
  </si>
  <si>
    <t>Phantom Force</t>
  </si>
  <si>
    <t>第一回合消失到不知何处，第二回合攻击对手。可以无视保护进行攻击。</t>
  </si>
  <si>
    <t>ギアソーサー</t>
  </si>
  <si>
    <t>Gear Grind</t>
  </si>
  <si>
    <t>向对手投掷钢铁齿轮攻击，造成2次伤害。</t>
  </si>
  <si>
    <t>ブレイズキック</t>
  </si>
  <si>
    <t>Blaze Kick</t>
  </si>
  <si>
    <t>会让击中的对象烧伤，容易命中要害。</t>
  </si>
  <si>
    <t>蟹钳锤</t>
  </si>
  <si>
    <t>クラブハンマー</t>
  </si>
  <si>
    <t>Crabhammer</t>
  </si>
  <si>
    <t>用巨大的钳子打倒对手，容易命中要害。</t>
  </si>
  <si>
    <t>タネばくだん</t>
  </si>
  <si>
    <t>Seed Bomb</t>
  </si>
  <si>
    <t>甩下有坚硬外壳的种子进行攻击。</t>
  </si>
  <si>
    <t>ボルテッカー</t>
  </si>
  <si>
    <t>Volt Tackle</t>
  </si>
  <si>
    <t>缠绕电流突进，自身也会受到大量伤害。会造成麻痹。</t>
  </si>
  <si>
    <t>援助力量</t>
  </si>
  <si>
    <t>アシストパワー</t>
  </si>
  <si>
    <t>Stored Power</t>
  </si>
  <si>
    <t>用积攒的力量攻击对手，自身能力提升得越高威力越大。</t>
  </si>
  <si>
    <t>れいとうパンチ</t>
  </si>
  <si>
    <t>Ice Punch</t>
  </si>
  <si>
    <t>用充满冷气的拳头攻击，会造成冰冻。</t>
  </si>
  <si>
    <t>龙之怒</t>
  </si>
  <si>
    <t>りゅうのいかり</t>
  </si>
  <si>
    <t>Dragon Rage</t>
  </si>
  <si>
    <t>向对手发射愤怒的冲击波攻击，造成40伤害。</t>
  </si>
  <si>
    <t>追击</t>
  </si>
  <si>
    <t>おいうち</t>
  </si>
  <si>
    <t>Pursuit</t>
  </si>
  <si>
    <t>在对方交换的时候使用技能会做出双倍威力的攻击。</t>
  </si>
  <si>
    <t>妖精之风</t>
  </si>
  <si>
    <t>ようせいのかぜ</t>
  </si>
  <si>
    <t>Fairy Wind</t>
  </si>
  <si>
    <t>发出妖精之风攻击对手。</t>
  </si>
  <si>
    <t>れんぞくパンチ</t>
  </si>
  <si>
    <t>Comet Punch</t>
  </si>
  <si>
    <t>用疯狂的拳头连续揍对手，2～5次连续攻击。</t>
  </si>
  <si>
    <t>にどげり</t>
  </si>
  <si>
    <t>Double Kick</t>
  </si>
  <si>
    <t>用双脚飞踢对手，造成2次伤害。</t>
  </si>
  <si>
    <t>钻孔啄</t>
  </si>
  <si>
    <t>ドリルくちばし</t>
  </si>
  <si>
    <t>Drill Peck</t>
  </si>
  <si>
    <t>旋转起来用尖喙突刺对手。</t>
  </si>
  <si>
    <t>スモッグ</t>
  </si>
  <si>
    <t>Smog</t>
  </si>
  <si>
    <t>向对手喷射作呕的瓦斯攻击，会造成中毒。</t>
  </si>
  <si>
    <t>ホネこんぼう</t>
  </si>
  <si>
    <t>Bone Club</t>
  </si>
  <si>
    <t>用手中的骨头殴打对手，会让对手害怕。</t>
  </si>
  <si>
    <t>ストーンエッジ</t>
  </si>
  <si>
    <t>Stone Edge</t>
  </si>
  <si>
    <t>用尖锐的岩石突刺对手，容易命中要害。</t>
  </si>
  <si>
    <t>ハードローラー</t>
  </si>
  <si>
    <t>Steamroller</t>
  </si>
  <si>
    <t>滚动蜷成一团的身体压碎对手，会让对手害怕。</t>
  </si>
  <si>
    <t>影袭</t>
  </si>
  <si>
    <t>シャドーダイブ</t>
  </si>
  <si>
    <t>Shadow Force</t>
  </si>
  <si>
    <t>第一回合消失，第二回合攻击对手。即使对手保护也能击中。</t>
  </si>
  <si>
    <t>マグネットボム</t>
  </si>
  <si>
    <t>Magnet Bomb</t>
  </si>
  <si>
    <t>发射跟踪目标的爆弹，必定能命中目标。</t>
  </si>
  <si>
    <t>せいなるほのお</t>
  </si>
  <si>
    <t>Sacred Fire</t>
  </si>
  <si>
    <t>用神秘的火焰烧毁对手，会造成烧伤。</t>
  </si>
  <si>
    <t>水之尾</t>
  </si>
  <si>
    <t>アクアテール</t>
  </si>
  <si>
    <t>Aqua Tail</t>
  </si>
  <si>
    <t>如狂暴的海浪般挥舞尾巴攻击。</t>
  </si>
  <si>
    <t>刃叶斩</t>
  </si>
  <si>
    <t>リーフブレード</t>
  </si>
  <si>
    <t>Leaf Blade</t>
  </si>
  <si>
    <t>像用剑一般用叶子切裂对手，容易命中要害。</t>
  </si>
  <si>
    <t>らいげき</t>
  </si>
  <si>
    <t>Bolt Strike</t>
  </si>
  <si>
    <t>在身上缠绕庞大的电流冲击对手，会造成麻痹。</t>
  </si>
  <si>
    <t>ねんりき</t>
  </si>
  <si>
    <t>Confusion</t>
  </si>
  <si>
    <t>向对手送出弱念力攻击，会让对手混乱。</t>
  </si>
  <si>
    <t>つららおとし</t>
  </si>
  <si>
    <t>Icicle Crash</t>
  </si>
  <si>
    <t>用巨大的冰柱强烈冲击对手，会让对手害怕。</t>
  </si>
  <si>
    <t>たつまき</t>
  </si>
  <si>
    <t>Twister</t>
  </si>
  <si>
    <t>引发龙卷风把对手卷入，会让对手害怕。</t>
  </si>
  <si>
    <t>报复</t>
  </si>
  <si>
    <t>しっぺがえし</t>
  </si>
  <si>
    <t>Payback</t>
  </si>
  <si>
    <t>蓄力攻击，如果在对手之后出招，技能威力翻倍。</t>
  </si>
  <si>
    <t>みだれひっかき</t>
  </si>
  <si>
    <t>Fury Swipes</t>
  </si>
  <si>
    <t>用爪子或镰刀爪击对手，2～5次连续攻击。</t>
  </si>
  <si>
    <t>增强拳</t>
  </si>
  <si>
    <t>グロウパンチ</t>
  </si>
  <si>
    <t>Power-Up Punch</t>
  </si>
  <si>
    <t>重复打击使拳头越来越硬，每次击中对手时攻击提高。</t>
  </si>
  <si>
    <t>とびはねる</t>
  </si>
  <si>
    <t>Bounce</t>
  </si>
  <si>
    <t>高高跃上天空，第二回合攻击对手，会造成麻痹。</t>
  </si>
  <si>
    <t>ようかいえき</t>
  </si>
  <si>
    <t>Acid</t>
  </si>
  <si>
    <t>向对手喷洒强酸攻击，会降低对手特殊防。</t>
  </si>
  <si>
    <t>挖洞</t>
  </si>
  <si>
    <t>あなをほる</t>
  </si>
  <si>
    <t>Dig</t>
  </si>
  <si>
    <t>第一回合钻下，第二回合攻击对手。能脱离洞窟。</t>
  </si>
  <si>
    <t>がんせきほう</t>
  </si>
  <si>
    <t>Rock Wrecker</t>
  </si>
  <si>
    <t>发射巨大的岩石攻击对手，下回合不能行动。</t>
  </si>
  <si>
    <t>蜻蜓回转</t>
  </si>
  <si>
    <t>とんぼがえり</t>
  </si>
  <si>
    <t>U-Turn</t>
  </si>
  <si>
    <t>攻击后高速返回，交换怪兽出场。</t>
  </si>
  <si>
    <t>黑夜魔影</t>
  </si>
  <si>
    <t>ナイトヘッド</t>
  </si>
  <si>
    <t>Night Shade</t>
  </si>
  <si>
    <t>作出恐怖的幻影，对对手造成与自身等级相同的伤害。</t>
  </si>
  <si>
    <t>はがねのつばさ</t>
  </si>
  <si>
    <t>Steel Wing</t>
  </si>
  <si>
    <t>用坚硬的翅膀拍打对手，会提高自身防御。</t>
  </si>
  <si>
    <t>フレアドライブ</t>
  </si>
  <si>
    <t>Flare Blitz</t>
  </si>
  <si>
    <t>包裹火焰突进，自身也会受到大量伤害。会造成烧伤。</t>
  </si>
  <si>
    <t>みずしゅりけん</t>
  </si>
  <si>
    <t>Water Shuriken</t>
  </si>
  <si>
    <t>用粘液做成的手里剑射出2～5次，必定能够先制攻击。</t>
  </si>
  <si>
    <t>强力鞭挞</t>
  </si>
  <si>
    <t>パワーウィップ</t>
  </si>
  <si>
    <t>Power Whip</t>
  </si>
  <si>
    <t>挥舞蔓藤或触手强烈抽打对手。</t>
  </si>
  <si>
    <t>脸颊磨蹭</t>
  </si>
  <si>
    <t>ほっぺすりすり</t>
  </si>
  <si>
    <t>Nuzzle</t>
  </si>
  <si>
    <t>用带电的脸颊磨蹭对手攻击，造成麻痹状态。</t>
  </si>
  <si>
    <t>サイケこうせん</t>
  </si>
  <si>
    <t>Psybeam</t>
  </si>
  <si>
    <t>向对手发射神秘的光线攻击，会造成混乱。</t>
  </si>
  <si>
    <t>フリーズボルト</t>
  </si>
  <si>
    <t>Freeze Shock</t>
  </si>
  <si>
    <t>在第二回合用寄宿电流的冰块打击对手，会造成麻痹。</t>
  </si>
  <si>
    <t>りゅうのいぶき</t>
  </si>
  <si>
    <t>Dragonbreath</t>
  </si>
  <si>
    <t>向对手喷射猛烈的吐息攻击，会造成麻痹。</t>
  </si>
  <si>
    <t>连打</t>
  </si>
  <si>
    <t>ダメおし</t>
  </si>
  <si>
    <t>Assurance</t>
  </si>
  <si>
    <t>本回合内如果对手已经受到伤害，技能威力翻倍。</t>
  </si>
  <si>
    <t>愤怒</t>
  </si>
  <si>
    <t>いかり</t>
  </si>
  <si>
    <t>Rage</t>
  </si>
  <si>
    <t>出招期间受到攻击的话会因愤怒的力量提高攻击。</t>
  </si>
  <si>
    <t>音速拳</t>
  </si>
  <si>
    <t>マッハパンチ</t>
  </si>
  <si>
    <t>Mach Punch</t>
  </si>
  <si>
    <t>用无法看清的速度出拳，必定能先制攻击。</t>
  </si>
  <si>
    <t>飞空</t>
  </si>
  <si>
    <t>そらをとぶ</t>
  </si>
  <si>
    <t>Fly</t>
  </si>
  <si>
    <t>第一回合飞上天空，第二回合攻击对手。可以飞到去过的城镇。</t>
  </si>
  <si>
    <t>アシッドボム</t>
  </si>
  <si>
    <t>Acid Spray</t>
  </si>
  <si>
    <t>喷射能融化对手的液体攻击，大幅降低对手特殊防。</t>
  </si>
  <si>
    <t>钻头直击</t>
  </si>
  <si>
    <t>ドリルライナー</t>
  </si>
  <si>
    <t>Drill Run</t>
  </si>
  <si>
    <t>将身体像钻头一般转动，撞击对手，容易命中要害。</t>
  </si>
  <si>
    <t>双刃头槌</t>
  </si>
  <si>
    <t>もろはのずつき</t>
  </si>
  <si>
    <t>Head Smash</t>
  </si>
  <si>
    <t>拼上性命以全身力量头撞，自身也会受到非常大的伤害。</t>
  </si>
  <si>
    <t>十字剪</t>
  </si>
  <si>
    <t>シザークロス</t>
  </si>
  <si>
    <t>X-Scissor</t>
  </si>
  <si>
    <t>用镰刀或爪子交叉切裂对手。</t>
  </si>
  <si>
    <t>厄运</t>
  </si>
  <si>
    <t>たたりめ</t>
  </si>
  <si>
    <t>Hex</t>
  </si>
  <si>
    <t>不给喘息地向对手攻击，对处于异常状态的对手造成大伤害。</t>
  </si>
  <si>
    <t>アイアンヘッド</t>
  </si>
  <si>
    <t>Iron Head</t>
  </si>
  <si>
    <t>用钢铁般坚硬的脑袋攻击，会造成害怕。</t>
  </si>
  <si>
    <t>创造胜利</t>
  </si>
  <si>
    <t>Ｖジェネレート</t>
  </si>
  <si>
    <t>V-create</t>
  </si>
  <si>
    <t>从额头发出灼热的火焰，舍身撞击对手，降低自身防御、特殊防与速度。</t>
  </si>
  <si>
    <t>あわ</t>
  </si>
  <si>
    <t>Bubble</t>
  </si>
  <si>
    <t>向对手喷射无数的水泡攻击，会降低对手的速度。</t>
  </si>
  <si>
    <t>木锤</t>
  </si>
  <si>
    <t>ウッドハンマー</t>
  </si>
  <si>
    <t>Wood Hammer</t>
  </si>
  <si>
    <t>用坚硬的身体拍打对手，自身也会受到大量伤害。</t>
  </si>
  <si>
    <t>电球</t>
  </si>
  <si>
    <t>エレキボール</t>
  </si>
  <si>
    <t>Electro Ball</t>
  </si>
  <si>
    <t>用电团砸向对手，自身速度比对手越高威力越大。</t>
  </si>
  <si>
    <t>ラスターパージ</t>
  </si>
  <si>
    <t>Luster Purge</t>
  </si>
  <si>
    <t>释放眩目的光芒攻击，会降低对手特殊防。</t>
  </si>
  <si>
    <t>绝对零度</t>
  </si>
  <si>
    <t>ぜったいれいど</t>
  </si>
  <si>
    <t>Sheer Cold</t>
  </si>
  <si>
    <t>以绝对零度的冰冷攻击对手，命中立即濒死。</t>
  </si>
  <si>
    <t>龙之波动</t>
  </si>
  <si>
    <t>りゅうのはどう</t>
  </si>
  <si>
    <t>Dragon Pulse</t>
  </si>
  <si>
    <t>从巨口中掀起冲击波攻击对手。</t>
  </si>
  <si>
    <t>かみつく</t>
  </si>
  <si>
    <t>Bite</t>
  </si>
  <si>
    <t>用尖锐的牙齿啃咬，会让对手害怕。</t>
  </si>
  <si>
    <t>とげキャノン</t>
  </si>
  <si>
    <t>Spike Cannon</t>
  </si>
  <si>
    <t>向对手发射尖针，2～5次连续攻击。</t>
  </si>
  <si>
    <t>いわくだき</t>
  </si>
  <si>
    <t>Rock Smash</t>
  </si>
  <si>
    <t>用能击碎岩石的拳头攻击，会降低对手防御。</t>
  </si>
  <si>
    <t>勇鸟</t>
  </si>
  <si>
    <t>ブレイブバード</t>
  </si>
  <si>
    <t>Brave Bird</t>
  </si>
  <si>
    <t>收拢翅膀在低空飞行中突击，自身也会受到大量伤害。</t>
  </si>
  <si>
    <t>净化之雾</t>
  </si>
  <si>
    <t>クリアスモッグ</t>
  </si>
  <si>
    <t>Clear Smog</t>
  </si>
  <si>
    <t>向对手投射特殊殊的泥块攻击，取消对手的能力变化。</t>
  </si>
  <si>
    <t>グランドフォース</t>
  </si>
  <si>
    <t>Land's Wrath</t>
  </si>
  <si>
    <t>凝聚大地的原力，攻击对方所有精灵。</t>
  </si>
  <si>
    <t>げんしのちから</t>
  </si>
  <si>
    <t>Ancientpower</t>
  </si>
  <si>
    <t>用原始的力量攻击，会提高自身所有能力。</t>
  </si>
  <si>
    <t>こうげきしれい</t>
  </si>
  <si>
    <t>Attack Order</t>
  </si>
  <si>
    <t>呼唤下仆攻击对手，容易命中要害。</t>
  </si>
  <si>
    <t>あやしいかぜ</t>
  </si>
  <si>
    <t>Ominous Wind</t>
  </si>
  <si>
    <t>发出令人寒毛悚立的暴风攻击对手，能提高自身所有能力。</t>
  </si>
  <si>
    <t>アイアンテール</t>
  </si>
  <si>
    <t>Iron Tail</t>
  </si>
  <si>
    <t>用坚硬的尾巴拍打对手，会降低对手防御。</t>
  </si>
  <si>
    <t>やきつくす</t>
  </si>
  <si>
    <t>Incinerate</t>
  </si>
  <si>
    <t>用火焰攻击对手，如果对手携带树果则将它烧掉。</t>
  </si>
  <si>
    <t>漩涡</t>
  </si>
  <si>
    <t>うずしお</t>
  </si>
  <si>
    <t>Whirlpool</t>
  </si>
  <si>
    <t>4～5回合内将对手困在强烈的漩涡中。</t>
  </si>
  <si>
    <t>花吹雪</t>
  </si>
  <si>
    <t>はなふぶき</t>
  </si>
  <si>
    <t>Petal Blizzard</t>
  </si>
  <si>
    <t>引发剧烈的花吹雪，攻击周围所有目标。</t>
  </si>
  <si>
    <t>でんきショック</t>
  </si>
  <si>
    <t>Thundershock</t>
  </si>
  <si>
    <t>用电击攻击对手，会造成麻痹。</t>
  </si>
  <si>
    <t>ミストボール</t>
  </si>
  <si>
    <t>Mist Ball</t>
  </si>
  <si>
    <t>用雾状的羽毛包覆对手，会降低对手特殊攻。</t>
  </si>
  <si>
    <t>こなゆき</t>
  </si>
  <si>
    <t>Powder Snow</t>
  </si>
  <si>
    <t>喷射冰冷的雪花攻击对手，会造成冰冻。</t>
  </si>
  <si>
    <t>亚空切断</t>
  </si>
  <si>
    <t>あくうせつだん</t>
  </si>
  <si>
    <t>Spacial Rend</t>
  </si>
  <si>
    <t>将对手连同其周围的空间一起撕裂，容易命中要害。</t>
  </si>
  <si>
    <t>暗算</t>
  </si>
  <si>
    <t>だましうち</t>
  </si>
  <si>
    <t>Faint Attack</t>
  </si>
  <si>
    <t>瞄准对手的空隙痛打对手，必定能命中目标。</t>
  </si>
  <si>
    <t>高速旋转</t>
  </si>
  <si>
    <t>こうそくスピン</t>
  </si>
  <si>
    <t>Rapid Spin</t>
  </si>
  <si>
    <t>旋转攻击对手。将束缚状态、寄生种子与撒菱等弹飞。</t>
  </si>
  <si>
    <t>山岚</t>
  </si>
  <si>
    <t>やまあらし</t>
  </si>
  <si>
    <t>Storm Throw</t>
  </si>
  <si>
    <t>向对手发出强烈的一击，必定命中要害。</t>
  </si>
  <si>
    <t>ゴッドバード</t>
  </si>
  <si>
    <t>Sky Attack</t>
  </si>
  <si>
    <t>第二回合攻击对手，偶尔会造成害怕，容易命中要害。</t>
  </si>
  <si>
    <t>ヘドロこうげき</t>
  </si>
  <si>
    <t>Sludge</t>
  </si>
  <si>
    <t>向对手投掷肮脏的淤泥攻击，会造成中毒。</t>
  </si>
  <si>
    <t>じしん</t>
  </si>
  <si>
    <t>Earthquake</t>
  </si>
  <si>
    <t>用地震的冲击攻击自身周围所有单位。</t>
  </si>
  <si>
    <t>力量宝石</t>
  </si>
  <si>
    <t>パワージェム</t>
  </si>
  <si>
    <t>Power Gem</t>
  </si>
  <si>
    <t>发出宝石般的光芒攻击对手。</t>
  </si>
  <si>
    <t>百万角击</t>
  </si>
  <si>
    <t>メガホーン</t>
  </si>
  <si>
    <t>Megahorn</t>
  </si>
  <si>
    <t>用坚硬的大角狠狠地突刺对手。</t>
  </si>
  <si>
    <t>シャドーボール</t>
  </si>
  <si>
    <t>Shadow Ball</t>
  </si>
  <si>
    <t>投掷黑色的影块攻击，会降低对手特殊防。</t>
  </si>
  <si>
    <t>コメットパンチ</t>
  </si>
  <si>
    <t>Meteor Mash</t>
  </si>
  <si>
    <t>像彗星般出拳攻击对手，会提高自身攻击。</t>
  </si>
  <si>
    <t>火旋涡</t>
  </si>
  <si>
    <t>ほのおのうず</t>
  </si>
  <si>
    <t>Fire Spin</t>
  </si>
  <si>
    <t>4～5回合内将对手困在剧烈旋转的火漩涡中。</t>
  </si>
  <si>
    <t>水枪</t>
  </si>
  <si>
    <t>みずでっぽう</t>
  </si>
  <si>
    <t>Water Gun</t>
  </si>
  <si>
    <t>用劲向对手喷水攻击。</t>
  </si>
  <si>
    <t>くさむすび</t>
  </si>
  <si>
    <t>Grass Knot</t>
  </si>
  <si>
    <t>缠绕草结绊倒对手，对手越重伤害越大。</t>
  </si>
  <si>
    <t>チャージビーム</t>
  </si>
  <si>
    <t>Charge Beam</t>
  </si>
  <si>
    <t>向对手发射电束，积储电能提高自身特殊攻。</t>
  </si>
  <si>
    <t>シンクロノイズ</t>
  </si>
  <si>
    <t>Synchronoise</t>
  </si>
  <si>
    <t>以神秘的电波对周围所有与自身属性相同的怪兽造成伤害。</t>
  </si>
  <si>
    <t>冰之吐息</t>
  </si>
  <si>
    <t>こおりのいぶき</t>
  </si>
  <si>
    <t>Frost Breath</t>
  </si>
  <si>
    <t>喷出冰冷的气息攻击对手，必定能命中要害。</t>
  </si>
  <si>
    <t>龙星群</t>
  </si>
  <si>
    <t>りゅうせいぐん</t>
  </si>
  <si>
    <t>Draco Meteor</t>
  </si>
  <si>
    <t>从天空朝对手落下陨石，使用后的副作用会大幅降低自身特殊攻。</t>
  </si>
  <si>
    <t>试刀</t>
  </si>
  <si>
    <t>つじぎり</t>
  </si>
  <si>
    <t>Night Slash</t>
  </si>
  <si>
    <t>瞄准瞬间的空隙斩杀对手，容易命中要害。</t>
  </si>
  <si>
    <t>スイープビンタ</t>
  </si>
  <si>
    <t>Tail Slap</t>
  </si>
  <si>
    <t>用坚硬的尾巴拍击对手，2～5次连续攻击。</t>
  </si>
  <si>
    <t>空手刀</t>
  </si>
  <si>
    <t>からてチョップ</t>
  </si>
  <si>
    <t>Karate Chop</t>
  </si>
  <si>
    <t>用锋锐的手刀敲打对手攻击，高几率命中要害。</t>
  </si>
  <si>
    <t>起风</t>
  </si>
  <si>
    <t>かぜおこし</t>
  </si>
  <si>
    <t>Gust</t>
  </si>
  <si>
    <t>用翅膀扇起剧烈的狂风攻击对手。</t>
  </si>
  <si>
    <t>毒液冲击</t>
  </si>
  <si>
    <t>ベノムショック</t>
  </si>
  <si>
    <t>Venoshock</t>
  </si>
  <si>
    <t>向对手喷射特殊殊的毒液，对中毒状态的目标伤害翻倍。</t>
  </si>
  <si>
    <t>どろかけ</t>
  </si>
  <si>
    <t>Mud-Slap</t>
  </si>
  <si>
    <t>向对手的脸投掷泥块攻击，降低命中率。</t>
  </si>
  <si>
    <t>ダイヤストーム</t>
  </si>
  <si>
    <t>Diamond Storm</t>
  </si>
  <si>
    <t>むしのていこう</t>
  </si>
  <si>
    <t>Struggle Bug</t>
  </si>
  <si>
    <t>反抗对手，降低对手特殊攻。</t>
  </si>
  <si>
    <t>ミラーショット</t>
  </si>
  <si>
    <t>Mirror Shot</t>
  </si>
  <si>
    <t>从磨光的身体上向对手发出闪光，会降低对手命中率。</t>
  </si>
  <si>
    <t>ひのこ</t>
  </si>
  <si>
    <t>Ember</t>
  </si>
  <si>
    <t>向对手发射小型火焰攻击，会造成烧伤。</t>
  </si>
  <si>
    <t>水之誓</t>
  </si>
  <si>
    <t>みずのちかい</t>
  </si>
  <si>
    <t>Water Pledge</t>
  </si>
  <si>
    <t>用水柱攻击，与火组合的话威力上升，天空会出现彩虹。</t>
  </si>
  <si>
    <t>吸取</t>
  </si>
  <si>
    <t>すいとる</t>
  </si>
  <si>
    <t>Absorb</t>
  </si>
  <si>
    <t>吸取养分的攻击，伤害的一半回复自身HP。</t>
  </si>
  <si>
    <t>エレキネット</t>
  </si>
  <si>
    <t>Electroweb</t>
  </si>
  <si>
    <t>用电网捉住对手攻击，降低对手速度。</t>
  </si>
  <si>
    <t>じんつうりき</t>
  </si>
  <si>
    <t>Extrasensory</t>
  </si>
  <si>
    <t>发出不可见的神秘力量攻击，会让对手害怕。</t>
  </si>
  <si>
    <t>こごえるかぜ</t>
  </si>
  <si>
    <t>Icy Wind</t>
  </si>
  <si>
    <t>向对手喷射冰冷的冷气攻击，降低对手速度。</t>
  </si>
  <si>
    <t>时之咆哮</t>
  </si>
  <si>
    <t>ときのほうこう</t>
  </si>
  <si>
    <t>Roar Of Time</t>
  </si>
  <si>
    <t>发出连时间也能扭曲的强大能量攻击对手，下回合不能行动。</t>
  </si>
  <si>
    <t>かみくだく</t>
  </si>
  <si>
    <t>Crunch</t>
  </si>
  <si>
    <t>用锋锐的牙齿啃咬对手，会降低对手防御。</t>
  </si>
  <si>
    <t>フェイント</t>
  </si>
  <si>
    <t>Feint</t>
  </si>
  <si>
    <t>能够攻击保护或见切的对手，并解除对手的保护。</t>
  </si>
  <si>
    <t>まわしげり</t>
  </si>
  <si>
    <t>Rolling Kick</t>
  </si>
  <si>
    <t>迅速旋转身体踢击对手。</t>
  </si>
  <si>
    <t>エアカッター</t>
  </si>
  <si>
    <t>Air Cutter</t>
  </si>
  <si>
    <t>用锋锐的气流切裂对手，容易命中要害。</t>
  </si>
  <si>
    <t>ヘドロばくだん</t>
  </si>
  <si>
    <t>Sludge Bomb</t>
  </si>
  <si>
    <t>マッドショット</t>
  </si>
  <si>
    <t>Mud Shot</t>
  </si>
  <si>
    <t>向对手投掷泥块攻击，同时降低对手速度。</t>
  </si>
  <si>
    <t>ぎんいろのかぜ</t>
  </si>
  <si>
    <t>Silver Wind</t>
  </si>
  <si>
    <t>将鳞粉散布在风中攻击，能提高自身所有能力。</t>
  </si>
  <si>
    <t>ラスターカノン</t>
  </si>
  <si>
    <t>Flash Cannon</t>
  </si>
  <si>
    <t>将身体的光芒集中在一点放出，会降低对手特殊防。</t>
  </si>
  <si>
    <t>火之誓</t>
  </si>
  <si>
    <t>ほのおのちかい</t>
  </si>
  <si>
    <t>Fire Pledge</t>
  </si>
  <si>
    <t>用火柱攻击，与草组合的话威力上升，周围变成火海。</t>
  </si>
  <si>
    <t>みずのはどう</t>
  </si>
  <si>
    <t>Water Pulse</t>
  </si>
  <si>
    <t>以水的震动给予对手攻击，会让对手混乱。</t>
  </si>
  <si>
    <t>百万吸取</t>
  </si>
  <si>
    <t>メガドレイン</t>
  </si>
  <si>
    <t>Mega Drain</t>
  </si>
  <si>
    <t>电击波</t>
  </si>
  <si>
    <t>でんげきは</t>
  </si>
  <si>
    <t>Shock Wave</t>
  </si>
  <si>
    <t>快速用电击攻击对手，必定能命中目标。</t>
  </si>
  <si>
    <t>精神冲击</t>
  </si>
  <si>
    <t>サイコショック</t>
  </si>
  <si>
    <t>Psyshock</t>
  </si>
  <si>
    <t>将神秘的意念实体化攻击对手，造成物理理伤害。</t>
  </si>
  <si>
    <t>オーロラビーム</t>
  </si>
  <si>
    <t>Aurora Beam</t>
  </si>
  <si>
    <t>向对手发射彩虹色的光线攻击，会降低攻击。</t>
  </si>
  <si>
    <t>偷袭</t>
  </si>
  <si>
    <t>ふいうち</t>
  </si>
  <si>
    <t>Sucker Punch</t>
  </si>
  <si>
    <t>比对手先攻击，如果对手不是选择攻击技能则会失败。</t>
  </si>
  <si>
    <t>ダブルアタック</t>
  </si>
  <si>
    <t>Double Hit</t>
  </si>
  <si>
    <t>用尾巴等部位拍打对手，2次连续攻击。</t>
  </si>
  <si>
    <t>复仇</t>
  </si>
  <si>
    <t>リベンジ</t>
  </si>
  <si>
    <t>Revenge</t>
  </si>
  <si>
    <t>受到对手的伤害时，对对手造成的伤害翻倍。</t>
  </si>
  <si>
    <t>おしゃべり</t>
  </si>
  <si>
    <t>Chatter</t>
  </si>
  <si>
    <t>用学会的话产生音波攻击，会让对手混乱。</t>
  </si>
  <si>
    <t>ヘドロウェーブ</t>
  </si>
  <si>
    <t>Sludge Wave</t>
  </si>
  <si>
    <t>用淤泥波攻击自身周围所有单位，会造成中毒。</t>
  </si>
  <si>
    <t>泥爆弹</t>
  </si>
  <si>
    <t>どろばくだん</t>
  </si>
  <si>
    <t>Mud Bomb</t>
  </si>
  <si>
    <t>发射坚硬的泥块攻击，会降低对手命中率。</t>
  </si>
  <si>
    <t>シグナルビーム</t>
  </si>
  <si>
    <t>Signal Beam</t>
  </si>
  <si>
    <t>发射神秘的光芒攻击，会令对手混乱。</t>
  </si>
  <si>
    <t>破灭之愿</t>
  </si>
  <si>
    <t>はめつのねがい</t>
  </si>
  <si>
    <t>Doom Desire</t>
  </si>
  <si>
    <t>使用技能的2回合后，以无数光束攻击对手。</t>
  </si>
  <si>
    <t>爆裂火焰</t>
  </si>
  <si>
    <t>はじけるほのお</t>
  </si>
  <si>
    <t>Flame Burst</t>
  </si>
  <si>
    <t>向对手发射击中后会爆裂的火焰，爆裂的火焰会飞溅到对手身旁的怪兽上。</t>
  </si>
  <si>
    <t>バブルこうせん</t>
  </si>
  <si>
    <t>Bubblebeam</t>
  </si>
  <si>
    <t>向对手发射泡沫攻击，会降低速度。</t>
  </si>
  <si>
    <t>草之誓</t>
  </si>
  <si>
    <t>くさのちかい</t>
  </si>
  <si>
    <t>Grass Pledge</t>
  </si>
  <si>
    <t>用草柱攻击，与水组合的话威力上升，周围变成湿原。</t>
  </si>
  <si>
    <t>闪电交替</t>
  </si>
  <si>
    <t>ボルトチェンジ</t>
  </si>
  <si>
    <t>Volt Switch</t>
  </si>
  <si>
    <t>攻击后以飞快的速度返回，交换出怪兽。</t>
  </si>
  <si>
    <t>サイコキネシス</t>
  </si>
  <si>
    <t>Psychic</t>
  </si>
  <si>
    <t>向对手送出强念力攻击，会降低对手特殊防。</t>
  </si>
  <si>
    <t>こごえるせかい</t>
  </si>
  <si>
    <t>Glaciate</t>
  </si>
  <si>
    <t>向对手喷出冰冻的冷气，降低对手速度。</t>
  </si>
  <si>
    <t>诈骗</t>
  </si>
  <si>
    <t>イカサマ</t>
  </si>
  <si>
    <t>Foul Play</t>
  </si>
  <si>
    <t>利用对手的能力，对手的攻击越高伤害越大。</t>
  </si>
  <si>
    <t>拍打</t>
  </si>
  <si>
    <t>はたく</t>
  </si>
  <si>
    <t>Pound</t>
  </si>
  <si>
    <t>用长长的尾巴或爪子拍打对手。</t>
  </si>
  <si>
    <t>清醒拍打</t>
  </si>
  <si>
    <t>めざましビンタ</t>
  </si>
  <si>
    <t>Wake-Up Slap</t>
  </si>
  <si>
    <t>对睡眠状态的对手能造成大伤害，但同时会弄醒对手。</t>
  </si>
  <si>
    <t>エアスラッシュ</t>
  </si>
  <si>
    <t>Air Slash</t>
  </si>
  <si>
    <t>用连天空也能切裂的空气刃攻击，会让对手害怕。</t>
  </si>
  <si>
    <t>打嗝</t>
  </si>
  <si>
    <t>ゲップ</t>
  </si>
  <si>
    <t>Belch</t>
  </si>
  <si>
    <t>朝对手打一个饱嗝攻击，必须吃过树果才能使用这个技能。</t>
  </si>
  <si>
    <t>だいちのちから</t>
  </si>
  <si>
    <t>Earth Power</t>
  </si>
  <si>
    <t>在对手脚下释放大地的力量，会降低对手特殊防。</t>
  </si>
  <si>
    <t>むしのさざめき</t>
  </si>
  <si>
    <t>Bug Buzz</t>
  </si>
  <si>
    <t>通过振翼产生音波攻击，会降低对手特殊防。</t>
  </si>
  <si>
    <t>ふんえん</t>
  </si>
  <si>
    <t>Lava Plume</t>
  </si>
  <si>
    <t>用鲜红的火焰攻击自身周围所有对象，会造成烧伤。</t>
  </si>
  <si>
    <t>オクタンほう</t>
  </si>
  <si>
    <t>Octazooka</t>
  </si>
  <si>
    <t>向对手的脸喷射墨汁攻击，会降低命中率。</t>
  </si>
  <si>
    <t>魔叶斩</t>
  </si>
  <si>
    <t>マジカルリーフ</t>
  </si>
  <si>
    <t>Magical Leaf</t>
  </si>
  <si>
    <t>发出会追尾对手的神秘树叶，必定能命中目标。</t>
  </si>
  <si>
    <t>ほうでん</t>
  </si>
  <si>
    <t>Discharge</t>
  </si>
  <si>
    <t>发出眩目的电击攻击自身周围所有对象，会造成麻痹。</t>
  </si>
  <si>
    <t>食梦</t>
  </si>
  <si>
    <t>ゆめくい</t>
  </si>
  <si>
    <t>Dream Eater</t>
  </si>
  <si>
    <t>吞食睡眠对手的梦，伤害的一半回复自身HP。</t>
  </si>
  <si>
    <t>れいとうビーム</t>
  </si>
  <si>
    <t>Ice Beam</t>
  </si>
  <si>
    <t>向对手发射冰冻的光线攻击，会造成冰冻。</t>
  </si>
  <si>
    <t>バークアウト</t>
  </si>
  <si>
    <t>Snarl</t>
  </si>
  <si>
    <t>没完没了地向对手怒吼，降低对手特殊攻。</t>
  </si>
  <si>
    <t>ネコにこばん</t>
  </si>
  <si>
    <t>Pay Day</t>
  </si>
  <si>
    <t>朝对手的身体投掷硬币攻击，战斗后能获得金币。</t>
  </si>
  <si>
    <t>はっけい</t>
  </si>
  <si>
    <t>Force Palm</t>
  </si>
  <si>
    <t>向对手的身体发出冲击波攻击，会造成麻痹。</t>
  </si>
  <si>
    <t>空中爆破</t>
  </si>
  <si>
    <t>エアロブラスト</t>
  </si>
  <si>
    <t>Aeroblast</t>
  </si>
  <si>
    <t>发射空气的漩涡攻击，容易命中要害。</t>
  </si>
  <si>
    <t>だんがいのつるぎ</t>
  </si>
  <si>
    <t>Precipice Blades</t>
  </si>
  <si>
    <t>缠身</t>
  </si>
  <si>
    <t>まとわりつく</t>
  </si>
  <si>
    <t>Infestation</t>
  </si>
  <si>
    <t>4～5回合内纠缠对手进行攻击，其间对手不能交换。</t>
  </si>
  <si>
    <t>ほのおのまい</t>
  </si>
  <si>
    <t>Fiery Dance</t>
  </si>
  <si>
    <t>用火翼拍打对手，会提高自身特殊攻。</t>
  </si>
  <si>
    <t>潮水</t>
  </si>
  <si>
    <t>しおみず</t>
  </si>
  <si>
    <t>Brine</t>
  </si>
  <si>
    <t>如果对手HP低于50%，此技能威力翻倍。</t>
  </si>
  <si>
    <t>グラスミキサー</t>
  </si>
  <si>
    <t>Leaf Tornado</t>
  </si>
  <si>
    <t>用锋锐的树叶围绕对手攻击，会降低对手命中率。</t>
  </si>
  <si>
    <t>１０まんボルト</t>
  </si>
  <si>
    <t>Thunderbolt</t>
  </si>
  <si>
    <t>用强烈的电击攻击对手，会造成麻痹。</t>
  </si>
  <si>
    <t>预知未来</t>
  </si>
  <si>
    <t>みらいよち</t>
  </si>
  <si>
    <t>Future Sight</t>
  </si>
  <si>
    <t>使用技能的2回合后，向对方发送念力攻击。</t>
  </si>
  <si>
    <t>ふぶき</t>
  </si>
  <si>
    <t>Blizzard</t>
  </si>
  <si>
    <t>向对手喷射强烈的暴风雪攻击，会造成冰冻。</t>
  </si>
  <si>
    <t>あくのはどう</t>
  </si>
  <si>
    <t>Dark Pulse</t>
  </si>
  <si>
    <t>从体内发出充满恶意的灵气，会让对手害怕。</t>
  </si>
  <si>
    <t>抓</t>
  </si>
  <si>
    <t>ひっかく</t>
  </si>
  <si>
    <t>Scratch</t>
  </si>
  <si>
    <t>用坚硬的尖爪抓击对手。</t>
  </si>
  <si>
    <t>ローキック</t>
  </si>
  <si>
    <t>Low Sweep</t>
  </si>
  <si>
    <t>以迅捷的速度瞄准对手下盘攻击，降低对手的速度。</t>
  </si>
  <si>
    <t>ぼうふう</t>
  </si>
  <si>
    <t>Hurricane</t>
  </si>
  <si>
    <t>用强风包裹对手，会让对手混乱。</t>
  </si>
  <si>
    <t>かえんほうしゃ</t>
  </si>
  <si>
    <t>Flamethrower</t>
  </si>
  <si>
    <t>向对手发射强烈的火焰攻击，会造成烧伤。</t>
  </si>
  <si>
    <t>ねっとう</t>
  </si>
  <si>
    <t>Scald</t>
  </si>
  <si>
    <t>发射滚开的沸水攻击对手，会造成烧伤。</t>
  </si>
  <si>
    <t>ギガドレイン</t>
  </si>
  <si>
    <t>Giga Drain</t>
  </si>
  <si>
    <t>かみなり</t>
  </si>
  <si>
    <t>Thunder</t>
  </si>
  <si>
    <t>将强烈的雷电落在对手身上攻击，会造成麻痹。</t>
  </si>
  <si>
    <t>精神破坏</t>
  </si>
  <si>
    <t>サイコブレイク</t>
  </si>
  <si>
    <t>Psystrike</t>
  </si>
  <si>
    <t>コールドフレア</t>
  </si>
  <si>
    <t>Ice Burn</t>
  </si>
  <si>
    <t>在第二回合用可以冻结一切的强烈冷气包裹对手，会造成烧伤。</t>
  </si>
  <si>
    <t>ナイトバースト</t>
  </si>
  <si>
    <t>Night Daze</t>
  </si>
  <si>
    <t>发出暗黑的冲击波攻击对手，会降低对手命中率。</t>
  </si>
  <si>
    <t>电光石火</t>
  </si>
  <si>
    <t>でんこうせっか</t>
  </si>
  <si>
    <t>Quick Attack</t>
  </si>
  <si>
    <t>用无法看清的速度突击对手，必定能先制攻击。</t>
  </si>
  <si>
    <t>仰投</t>
  </si>
  <si>
    <t>ともえなげ</t>
  </si>
  <si>
    <t>Circle Throw</t>
  </si>
  <si>
    <t>将对手扔飞，换出其它怪兽，对野生怪兽则结束战斗。</t>
  </si>
  <si>
    <t>死亡之翼</t>
  </si>
  <si>
    <t>デスウイング</t>
  </si>
  <si>
    <t>Oblivion Wing</t>
  </si>
  <si>
    <t>从盯准的目标上吸收HP，所造成伤害的一半以上回复自身HP。</t>
  </si>
  <si>
    <t>ねっぷう</t>
  </si>
  <si>
    <t>Heat Wave</t>
  </si>
  <si>
    <t>向对手喷射炽热的气息攻击，会造成烧伤。</t>
  </si>
  <si>
    <t>なみのり</t>
  </si>
  <si>
    <t>Surf</t>
  </si>
  <si>
    <t>用大浪攻击自身周围所有单位。可以在水上行动。</t>
  </si>
  <si>
    <t>エナジーボール</t>
  </si>
  <si>
    <t>Energy Ball</t>
  </si>
  <si>
    <t>从大自然中吸收生命的力量发射，会降低对手特殊防。</t>
  </si>
  <si>
    <t>でんじほう</t>
  </si>
  <si>
    <t>Zap Cannon</t>
  </si>
  <si>
    <t>发射大炮般的电击攻击，让对手麻痹。</t>
  </si>
  <si>
    <t>精神增压</t>
  </si>
  <si>
    <t>サイコブースト</t>
  </si>
  <si>
    <t>Psycho Boost</t>
  </si>
  <si>
    <t>全力攻击对手，使用后的副作用会大幅降低自身特殊攻。</t>
  </si>
  <si>
    <t>冷冻干燥</t>
  </si>
  <si>
    <t>フリーズドライ</t>
  </si>
  <si>
    <t>Freeze-Dry</t>
  </si>
  <si>
    <t>急速冷却对手，一定几率冻结。这个技能对水系效果显著。</t>
  </si>
  <si>
    <t>刀背打</t>
  </si>
  <si>
    <t>みねうち</t>
  </si>
  <si>
    <t>False Swipe</t>
  </si>
  <si>
    <t>控制力道作出必定会让对手留下1HP的攻击。</t>
  </si>
  <si>
    <t>当身投</t>
  </si>
  <si>
    <t>あてみなげ</t>
  </si>
  <si>
    <t>Vital Throw</t>
  </si>
  <si>
    <t>在对方行动后攻击，相应的自身的攻击必定能命中。</t>
  </si>
  <si>
    <t>画龙点睛</t>
  </si>
  <si>
    <t>ガリョウテンセイ</t>
  </si>
  <si>
    <t>Dragon Ascent</t>
  </si>
  <si>
    <t>れんごく</t>
  </si>
  <si>
    <t>Inferno</t>
  </si>
  <si>
    <t>用剧烈的火焰包裹对手进行攻击，会造成烧伤。</t>
  </si>
  <si>
    <t>だくりゅう</t>
  </si>
  <si>
    <t>Muddy Water</t>
  </si>
  <si>
    <t>向对手喷射污浊的水流攻击，会降低对手命中率。</t>
  </si>
  <si>
    <t>太阳光线</t>
  </si>
  <si>
    <t>ソーラービーム</t>
  </si>
  <si>
    <t>Solarbeam</t>
  </si>
  <si>
    <t>第一回合积蓄阳光，第二回合发射光束攻击。</t>
  </si>
  <si>
    <t>抛物理式充电</t>
  </si>
  <si>
    <t>パラボラチャージ</t>
  </si>
  <si>
    <t>Parabolic Charge</t>
  </si>
  <si>
    <t>攻击周围全部精灵，所造成伤害的一半回复自身。</t>
  </si>
  <si>
    <t>ねこだまし</t>
  </si>
  <si>
    <t>Fake Out</t>
  </si>
  <si>
    <t>先制攻击让对手害怕。只有战斗刚开始时才可以成功使用。</t>
  </si>
  <si>
    <t>瓦割</t>
  </si>
  <si>
    <t>かわらわり</t>
  </si>
  <si>
    <t>Brick Break</t>
  </si>
  <si>
    <t>用力劈下手刀攻击对手，能破坏光之墙与反射盾。</t>
  </si>
  <si>
    <t>かえんだん</t>
  </si>
  <si>
    <t>Searing Shot</t>
  </si>
  <si>
    <t>用通红的火焰攻击自身周围所有单位，会造成烧伤。</t>
  </si>
  <si>
    <t>水压</t>
  </si>
  <si>
    <t>ハイドロポンプ</t>
  </si>
  <si>
    <t>Hydro Pump</t>
  </si>
  <si>
    <t>向对手发射强烈的水柱攻击。</t>
  </si>
  <si>
    <t>はなびらのまい</t>
  </si>
  <si>
    <t>Petal Dance</t>
  </si>
  <si>
    <t>2～3回合内飞洒花瓣攻击，飞洒后会混乱。</t>
  </si>
  <si>
    <t>居合斩</t>
  </si>
  <si>
    <t>いあいぎり</t>
  </si>
  <si>
    <t>Cut</t>
  </si>
  <si>
    <t>用镰刀或爪子切裂对手。能砍断小树。</t>
  </si>
  <si>
    <t>吸取拳</t>
  </si>
  <si>
    <t>ドレインパンチ</t>
  </si>
  <si>
    <t>Drain Punch</t>
  </si>
  <si>
    <t>从拳头上吸取对手的力量，伤害的一半回复自身HP。</t>
  </si>
  <si>
    <t>交织火焰</t>
  </si>
  <si>
    <t>クロスフレイム</t>
  </si>
  <si>
    <t>Fusion Flare</t>
  </si>
  <si>
    <t>用巨大的火焰打倒对手，受到巨大的雷电影响时技能威力上升。</t>
  </si>
  <si>
    <t>水压加农</t>
  </si>
  <si>
    <t>ハイドロカノン</t>
  </si>
  <si>
    <t>Hydro Cannon</t>
  </si>
  <si>
    <t>发射水压大炮攻击对手，下回合不能行动。</t>
  </si>
  <si>
    <t>シードフレア</t>
  </si>
  <si>
    <t>Seed Flare</t>
  </si>
  <si>
    <t>从体内发出冲击波，会降低对手特殊防。</t>
  </si>
  <si>
    <t>撞击</t>
  </si>
  <si>
    <t>たいあたり</t>
  </si>
  <si>
    <t>Tackle</t>
  </si>
  <si>
    <t>用全身向对手冲撞攻击。</t>
  </si>
  <si>
    <t>地狱车</t>
  </si>
  <si>
    <t>じごくぐるま</t>
  </si>
  <si>
    <t>Submission</t>
  </si>
  <si>
    <t>将自身与对手一起摔落地面，自身也会受到少量伤害。</t>
  </si>
  <si>
    <t>だいもんじ</t>
  </si>
  <si>
    <t>Fire Blast</t>
  </si>
  <si>
    <t>用爆成大字的火焰烧尽对手，会造成烧伤。</t>
  </si>
  <si>
    <t>しおふき</t>
  </si>
  <si>
    <t>Water Spout</t>
  </si>
  <si>
    <t>喷出海水攻击，自身剩余HP越高威力越大。</t>
  </si>
  <si>
    <t>飞叶风暴</t>
  </si>
  <si>
    <t>リーフストーム</t>
  </si>
  <si>
    <t>Leaf Storm</t>
  </si>
  <si>
    <t>用尖锐的叶子制造风暴，使用后的副作用会大幅降低自身特殊攻。</t>
  </si>
  <si>
    <t>拼命</t>
  </si>
  <si>
    <t>わるあがき</t>
  </si>
  <si>
    <t>Struggle</t>
  </si>
  <si>
    <t>用尽PP时的最后挣扎攻击对手，自身也会受到少量伤害。</t>
  </si>
  <si>
    <t>飞行压制</t>
  </si>
  <si>
    <t>フライングプレス</t>
  </si>
  <si>
    <t>Flying Press</t>
  </si>
  <si>
    <t>从天空向对手俯冲，这个技能同时是格斗与飞行属性。</t>
  </si>
  <si>
    <t>熔岩风暴</t>
  </si>
  <si>
    <t>マグマストーム</t>
  </si>
  <si>
    <t>Magma Storm</t>
  </si>
  <si>
    <t>4～5回合内将对手包裹在剧烈翻滚的火焰中。</t>
  </si>
  <si>
    <t>こんげんのはどう</t>
  </si>
  <si>
    <t>Origin Pulse</t>
  </si>
  <si>
    <t>硬化植物理</t>
  </si>
  <si>
    <t>ハードプラント</t>
  </si>
  <si>
    <t>Frenzy Plant</t>
  </si>
  <si>
    <t>用巨大的树木拍击对手，下回合不能行动。</t>
  </si>
  <si>
    <t>夹</t>
  </si>
  <si>
    <t>はさむ</t>
  </si>
  <si>
    <t>Vicegrip</t>
  </si>
  <si>
    <t>从两侧夹击对手造成伤害。</t>
  </si>
  <si>
    <t>升空拳</t>
  </si>
  <si>
    <t>スカイアッパー</t>
  </si>
  <si>
    <t>Sky Uppercut</t>
  </si>
  <si>
    <t>发出将对手击上天空的上勾拳。</t>
  </si>
  <si>
    <t>あおいほのお</t>
  </si>
  <si>
    <t>Blue Flare</t>
  </si>
  <si>
    <t>用美丽的青色火焰缠绕对手攻击，会造成烧伤。</t>
  </si>
  <si>
    <t>清醒</t>
  </si>
  <si>
    <t>きつけ</t>
  </si>
  <si>
    <t>Smellingsalt</t>
  </si>
  <si>
    <t>对麻痹状态的对手威力翻倍，同时解除对手的麻痹。</t>
  </si>
  <si>
    <t>神圣之剑</t>
  </si>
  <si>
    <t>せいなるつるぎ</t>
  </si>
  <si>
    <t>Sacred Sword</t>
  </si>
  <si>
    <t>用长角砍杀对手，无视对手能力变化造成伤害。</t>
  </si>
  <si>
    <t>燃烧殆尽</t>
  </si>
  <si>
    <t>オーバーヒート</t>
  </si>
  <si>
    <t>Overheat</t>
  </si>
  <si>
    <t>索要</t>
  </si>
  <si>
    <t>ほしがる</t>
  </si>
  <si>
    <t>Covet</t>
  </si>
  <si>
    <t>撒娇接近对手，夺取对手的道具。</t>
  </si>
  <si>
    <t>飞踢</t>
  </si>
  <si>
    <t>とびげり</t>
  </si>
  <si>
    <t>Jump Kick</t>
  </si>
  <si>
    <t>高高跳起向下踢击对手，踢偏的话自身会受到伤害。</t>
  </si>
  <si>
    <t>ふんか</t>
  </si>
  <si>
    <t>Eruption</t>
  </si>
  <si>
    <t>爆发愤怒攻击对手，自身HP越少威力越低。</t>
  </si>
  <si>
    <t>ふみつけ</t>
  </si>
  <si>
    <t>Stomp</t>
  </si>
  <si>
    <t>用大脚践踏对手，会让对手害怕。</t>
  </si>
  <si>
    <t>ばくれつパンチ</t>
  </si>
  <si>
    <t>Dynamicpunch</t>
  </si>
  <si>
    <t>用全身的力量出拳，必定让对手混乱。</t>
  </si>
  <si>
    <t>爆裂燃烧</t>
  </si>
  <si>
    <t>ブラストバーン</t>
  </si>
  <si>
    <t>Blast Burn</t>
  </si>
  <si>
    <t>用爆炸的火焰烧毁对手，下回合不能行动。</t>
  </si>
  <si>
    <t>角突</t>
  </si>
  <si>
    <t>つのでつく</t>
  </si>
  <si>
    <t>Horn Attack</t>
  </si>
  <si>
    <t>用尖锐的角攻击对手。</t>
  </si>
  <si>
    <t>十字切</t>
  </si>
  <si>
    <t>クロスチョップ</t>
  </si>
  <si>
    <t>Cross Chop</t>
  </si>
  <si>
    <t>用双手十字劈打对手，容易命中要害。</t>
  </si>
  <si>
    <t>魔法火焰</t>
  </si>
  <si>
    <t>マジカルフレイム</t>
  </si>
  <si>
    <t>Mystical Fire</t>
  </si>
  <si>
    <t>呼出特殊殊的热火攻击，降低对手的特殊攻。</t>
  </si>
  <si>
    <t>ずつき</t>
  </si>
  <si>
    <t>Headbutt</t>
  </si>
  <si>
    <t>低头向对手直撞攻击，会让对手害怕。</t>
  </si>
  <si>
    <t>臂锤</t>
  </si>
  <si>
    <t>アームハンマー</t>
  </si>
  <si>
    <t>Hammer Arm</t>
  </si>
  <si>
    <t>挥舞又强又重的拳头造成伤害，会降低自身的速度。</t>
  </si>
  <si>
    <t>ピヨピヨパンチ</t>
  </si>
  <si>
    <t>Dizzy Punch</t>
  </si>
  <si>
    <t>有节奏地出拳攻击对手，会造成混乱。</t>
  </si>
  <si>
    <t>蛮力</t>
  </si>
  <si>
    <t>ばかぢから</t>
  </si>
  <si>
    <t>Superpower</t>
  </si>
  <si>
    <t>发出蛮力攻击对手，降低自身攻击与防御。</t>
  </si>
  <si>
    <t>切裂</t>
  </si>
  <si>
    <t>きりさく</t>
  </si>
  <si>
    <t>Slash</t>
  </si>
  <si>
    <t>用爪子或镰刀切裂对手，容易命中要害。</t>
  </si>
  <si>
    <t>近战</t>
  </si>
  <si>
    <t>インファイト</t>
  </si>
  <si>
    <t>Close Combat</t>
  </si>
  <si>
    <t>舍弃防御纵近对手身前突击，降低自身防御与特殊防。</t>
  </si>
  <si>
    <t>空元气</t>
  </si>
  <si>
    <t>からげんき</t>
  </si>
  <si>
    <t>Facade</t>
  </si>
  <si>
    <t>自身处于中毒、麻痹或烧伤状态时技能威力翻倍。</t>
  </si>
  <si>
    <t>飞膝踢</t>
  </si>
  <si>
    <t>とびひざげり</t>
  </si>
  <si>
    <t>Hi Jump Kick</t>
  </si>
  <si>
    <t>ひみつのちから</t>
  </si>
  <si>
    <t>Secret Power</t>
  </si>
  <si>
    <t>用秘密力量攻击对手，随使用的地点改变追加效果。</t>
  </si>
  <si>
    <t>气合拳</t>
  </si>
  <si>
    <t>きあいパンチ</t>
  </si>
  <si>
    <t>Focus Punch</t>
  </si>
  <si>
    <t>凝聚精神出拳，出拳期间受到伤害攻击失败。</t>
  </si>
  <si>
    <t>循序渐进</t>
  </si>
  <si>
    <t>なしくずし</t>
  </si>
  <si>
    <t>Chip Away</t>
  </si>
  <si>
    <t>瞄准目标空隙作出厚实的一击，无视对手能力变化造成伤害。</t>
  </si>
  <si>
    <t>いのちがけ</t>
  </si>
  <si>
    <t>Final Gambit</t>
  </si>
  <si>
    <t>豁出性命攻击对手，自身损失所有HP，对对手造成等量的伤害。</t>
  </si>
  <si>
    <t>报仇</t>
  </si>
  <si>
    <t>かたきうち</t>
  </si>
  <si>
    <t>Retaliate</t>
  </si>
  <si>
    <t>为队友报仇，如果上回合己方有怪兽倒下威力提高。</t>
  </si>
  <si>
    <t>真空波</t>
  </si>
  <si>
    <t>しんくうは</t>
  </si>
  <si>
    <t>Vacuum Wave</t>
  </si>
  <si>
    <t>挥舞拳头发出真空波，必定能先制攻击。</t>
  </si>
  <si>
    <t>ブレイククロー</t>
  </si>
  <si>
    <t>Crush Claw</t>
  </si>
  <si>
    <t>用锋锐的硬爪切裂对手，会降低对手防御。</t>
  </si>
  <si>
    <t>神秘之剑</t>
  </si>
  <si>
    <t>しんぴのつるぎ</t>
  </si>
  <si>
    <t>Secret Sword</t>
  </si>
  <si>
    <t>用长角砍杀对手，角上寄宿的神秘力量会造成物理理伤害。</t>
  </si>
  <si>
    <t>百万拳击</t>
  </si>
  <si>
    <t>メガトンパンチ</t>
  </si>
  <si>
    <t>Mega Punch</t>
  </si>
  <si>
    <t>用充满力量的拳头攻击对手。</t>
  </si>
  <si>
    <t>波导弹</t>
  </si>
  <si>
    <t>はどうだん</t>
  </si>
  <si>
    <t>Aura Sphere</t>
  </si>
  <si>
    <t>从身体内释放出波导的力量，必定能命中目标。</t>
  </si>
  <si>
    <t>打倒</t>
  </si>
  <si>
    <t>たたきつける</t>
  </si>
  <si>
    <t>Slam</t>
  </si>
  <si>
    <t>使用长长的尾巴或藤条抽打对手。</t>
  </si>
  <si>
    <t>きあいだま</t>
  </si>
  <si>
    <t>Focus Blast</t>
  </si>
  <si>
    <t>提高气势释放全身的力量，会降低对手特殊防。</t>
  </si>
  <si>
    <t>かいりき</t>
  </si>
  <si>
    <t>Strength</t>
  </si>
  <si>
    <t>用全身的力量揍对手。能推动沉重的岩石。</t>
  </si>
  <si>
    <t>ひっさつまえば</t>
  </si>
  <si>
    <t>Hyper Fang</t>
  </si>
  <si>
    <t>用尖锐的牙齿猛力啃咬，会让对手害怕。</t>
  </si>
  <si>
    <t>神速</t>
  </si>
  <si>
    <t>しんそく</t>
  </si>
  <si>
    <t>Extremespeed</t>
  </si>
  <si>
    <t>以眼睛无法看见的急速猛烈向对手突进，必定能先制攻击。</t>
  </si>
  <si>
    <t>のしかかり</t>
  </si>
  <si>
    <t>Body Slam</t>
  </si>
  <si>
    <t>用全身体重压上对手，会造成麻痹。</t>
  </si>
  <si>
    <t>突进</t>
  </si>
  <si>
    <t>とっしん</t>
  </si>
  <si>
    <t>Take Down</t>
  </si>
  <si>
    <t>鼓起劲冲撞对手，自身也会受到少量伤害。</t>
  </si>
  <si>
    <t>ロッククライム</t>
  </si>
  <si>
    <t>Rock Climb</t>
  </si>
  <si>
    <t>突进攻击会造成对手混乱。能攀上凹凸的岩壁。</t>
  </si>
  <si>
    <t>タマゴばくだん</t>
  </si>
  <si>
    <t>Egg Bomb</t>
  </si>
  <si>
    <t>用力将大蛋扔向对手攻击。</t>
  </si>
  <si>
    <t>火箭头槌</t>
  </si>
  <si>
    <t>ロケットずつき</t>
  </si>
  <si>
    <t>Skull Bash</t>
  </si>
  <si>
    <t>第一回合缩下头提高防御，第二回合攻击对手。</t>
  </si>
  <si>
    <t>百万腿踢</t>
  </si>
  <si>
    <t>メガトンキック</t>
  </si>
  <si>
    <t>Mega Kick</t>
  </si>
  <si>
    <t>用巨大的力量对对手作出飞踢攻击。</t>
  </si>
  <si>
    <t>暴走</t>
  </si>
  <si>
    <t>あばれる</t>
  </si>
  <si>
    <t>Thrash</t>
  </si>
  <si>
    <t>2～3回合内乱撞攻击对手，乱撞后会混乱。</t>
  </si>
  <si>
    <t>舍身撞</t>
  </si>
  <si>
    <t>すてみタックル</t>
  </si>
  <si>
    <t>Double-Edge</t>
  </si>
  <si>
    <t>拼上性命向对手突进攻击，自身也会受到大量伤害。</t>
  </si>
  <si>
    <t>爆爆头突击</t>
  </si>
  <si>
    <t>アフロブレイク</t>
  </si>
  <si>
    <t>Head Charge</t>
  </si>
  <si>
    <t>用爆炸头冲撞对手，自身也会受到少量伤害。</t>
  </si>
  <si>
    <t>最终手段</t>
  </si>
  <si>
    <t>とっておき</t>
  </si>
  <si>
    <t>Last Resort</t>
  </si>
  <si>
    <t>学会的技能全部用过一次之后才能使用的最后手段。</t>
  </si>
  <si>
    <t>亿万冲击</t>
  </si>
  <si>
    <t>ギガインパクト</t>
  </si>
  <si>
    <t>Giga Impact</t>
  </si>
  <si>
    <t>用尽自身所有力量突击对手，下回合不能行动。</t>
  </si>
  <si>
    <t>じばく</t>
  </si>
  <si>
    <t>Selfdestruct</t>
  </si>
  <si>
    <t>爆炸攻击自身周围所有对象，使用后进入濒死状态。</t>
  </si>
  <si>
    <t>だいばくはつ</t>
  </si>
  <si>
    <t>Explosion</t>
  </si>
  <si>
    <t>用大爆炸攻击自身周围所有对象，使用后进入濒死状态。</t>
  </si>
  <si>
    <t>音波爆</t>
  </si>
  <si>
    <t>ソニックブーム</t>
  </si>
  <si>
    <t>Sonicboom</t>
  </si>
  <si>
    <t>向对手发射冲击波攻击，造成20点伤害。</t>
  </si>
  <si>
    <t>觉醒力量</t>
  </si>
  <si>
    <t>めざめるパワー</t>
  </si>
  <si>
    <t>Hidden Power</t>
  </si>
  <si>
    <t>技能的属性与威力取决于不同的使用者。</t>
  </si>
  <si>
    <t>能量释放</t>
  </si>
  <si>
    <t>はきだす</t>
  </si>
  <si>
    <t>Spit Up</t>
  </si>
  <si>
    <t>将储存的力量喷向对手，储存得越多威力越大。</t>
  </si>
  <si>
    <t>きりふだ</t>
  </si>
  <si>
    <t>Trump Card</t>
  </si>
  <si>
    <t>王牌的PP越少，威力越大。</t>
  </si>
  <si>
    <t>しぼりとる</t>
  </si>
  <si>
    <t>Wring Out</t>
  </si>
  <si>
    <t>强力绞住对手，对手剩余HP越高威力越大。</t>
  </si>
  <si>
    <t>いびき</t>
  </si>
  <si>
    <t>Snore</t>
  </si>
  <si>
    <t>自身在睡眠时发出杂音攻击。 会让对手害怕。</t>
  </si>
  <si>
    <t>エコーボイス</t>
  </si>
  <si>
    <t>Echoed Voice</t>
  </si>
  <si>
    <t>用响亮的声音攻击对手，每回合都有怪兽使用该技能则威力增加。</t>
  </si>
  <si>
    <t>气象球</t>
  </si>
  <si>
    <t>ウェザーボール</t>
  </si>
  <si>
    <t>Weather Ball</t>
  </si>
  <si>
    <t>技能的属性与威力随使用时的天气不同而改变。</t>
  </si>
  <si>
    <t>スピードスター</t>
  </si>
  <si>
    <t>Swift</t>
  </si>
  <si>
    <t>发射星形的光攻击对手，必定能命中目标。</t>
  </si>
  <si>
    <t>りんしょう</t>
  </si>
  <si>
    <t>Round</t>
  </si>
  <si>
    <t>用歌声攻击对手，大家一起轮唱的话威力上升。</t>
  </si>
  <si>
    <t>いにしえのうた</t>
  </si>
  <si>
    <t>Relic Song</t>
  </si>
  <si>
    <t>让对手听见古代的歌声，打动对手的心，会造成睡眠。</t>
  </si>
  <si>
    <t>かまいたち</t>
  </si>
  <si>
    <t>Razor Wind</t>
  </si>
  <si>
    <t>做出风刃在第二回合攻击，容易命中要害。</t>
  </si>
  <si>
    <t>トライアタック</t>
  </si>
  <si>
    <t>Tri Attack</t>
  </si>
  <si>
    <t>发出三种光线攻击，会造成麻痹、烧伤或冰冻。</t>
  </si>
  <si>
    <t>科技爆破</t>
  </si>
  <si>
    <t>テクノバスター</t>
  </si>
  <si>
    <t>Techno Blast</t>
  </si>
  <si>
    <t>向对手发射光弹，随自身携带的磁带改变属性。</t>
  </si>
  <si>
    <t>さわぐ</t>
  </si>
  <si>
    <t>Uproar</t>
  </si>
  <si>
    <t>3回合内吵闹攻击对手，期间谁也无法入睡。</t>
  </si>
  <si>
    <t>ハイパーボイス</t>
  </si>
  <si>
    <t>Hyper Voice</t>
  </si>
  <si>
    <t>用又吵又响的巨大震动攻击对手。</t>
  </si>
  <si>
    <t>制裁之砾</t>
  </si>
  <si>
    <t>さばきのつぶて</t>
  </si>
  <si>
    <t>Judgment</t>
  </si>
  <si>
    <t>向对手发出无数光弹，属性由自身携带的石板决定。</t>
  </si>
  <si>
    <t>爆音波</t>
  </si>
  <si>
    <t>ばくおんぱ</t>
  </si>
  <si>
    <t>Boomburst</t>
  </si>
  <si>
    <t>发出恐怖的爆音，靠其破坏力攻击周围所有目标。</t>
  </si>
  <si>
    <t>破坏光线</t>
  </si>
  <si>
    <t>はかいこうせん</t>
  </si>
  <si>
    <t>Hyper Beam</t>
  </si>
  <si>
    <t>向对手发射强烈的光线攻击，下回合不能行动。</t>
  </si>
  <si>
    <t>剪刀断头台</t>
  </si>
  <si>
    <t>ハサミギロチン</t>
  </si>
  <si>
    <t>Guillotine</t>
  </si>
  <si>
    <t>用巨大的钳子切裂对手，命中立即濒死。</t>
  </si>
  <si>
    <t>尖角钻</t>
  </si>
  <si>
    <t>つのドリル</t>
  </si>
  <si>
    <t>Horn Drill</t>
  </si>
  <si>
    <t>用旋转的角突刺对手，命中立即濒死。</t>
  </si>
  <si>
    <t>克制</t>
  </si>
  <si>
    <t>がまん</t>
  </si>
  <si>
    <t>Bide</t>
  </si>
  <si>
    <t>2回合内受到的伤害2倍返还给对手。</t>
  </si>
  <si>
    <t>愤怒门牙</t>
  </si>
  <si>
    <t>いかりのまえば</t>
  </si>
  <si>
    <t>Super Fang</t>
  </si>
  <si>
    <t>用尖锐的牙齿猛力啃咬，对手的当前HP减半。</t>
  </si>
  <si>
    <t>垂死挣扎</t>
  </si>
  <si>
    <t>じたばた</t>
  </si>
  <si>
    <t>Flail</t>
  </si>
  <si>
    <t>拼命挣扎攻击，自身HP越少技能威力越大。</t>
  </si>
  <si>
    <t>プレゼント</t>
  </si>
  <si>
    <t>Present</t>
  </si>
  <si>
    <t>将设有机关的箱子交给对手进行攻击，也有可能变成回复对手HP。</t>
  </si>
  <si>
    <t>撒气</t>
  </si>
  <si>
    <t>やつあたり</t>
  </si>
  <si>
    <t>Frustration</t>
  </si>
  <si>
    <t>为了发泄不满而全力向对手攻击，亲密度越低威力越大。</t>
  </si>
  <si>
    <t>莽撞</t>
  </si>
  <si>
    <t>がむしゃら</t>
  </si>
  <si>
    <t>Endeavor</t>
  </si>
  <si>
    <t>让对手的HP变为与自身HP一样。</t>
  </si>
  <si>
    <t>しぜんのめぐみ</t>
  </si>
  <si>
    <t>Natural Gift</t>
  </si>
  <si>
    <t>通过从树果上获得的力量进行攻击，携带的树果不同，技能属性与威力也不同。</t>
  </si>
  <si>
    <t>捏碎</t>
  </si>
  <si>
    <t>にぎりつぶす</t>
  </si>
  <si>
    <t>Crush Grip</t>
  </si>
  <si>
    <t>用强大的力量捏碎对手，对手剩余HP越多威力越大。</t>
  </si>
  <si>
    <t>缠绕</t>
  </si>
  <si>
    <t>からみつく</t>
  </si>
  <si>
    <t>Constrict</t>
  </si>
  <si>
    <t>用触手或藤条缠绕对手，会降低对手的速度。</t>
  </si>
  <si>
    <t>垂死挣扎&amp;起死回生</t>
  </si>
  <si>
    <t>过肩摔&amp;草绳结</t>
  </si>
  <si>
    <t>重量炸弹&amp;热践踏</t>
  </si>
  <si>
    <t>技能列表</t>
  </si>
  <si>
    <t>中文</t>
  </si>
  <si>
    <t>日文</t>
  </si>
  <si>
    <t>英文</t>
  </si>
  <si>
    <t>威力</t>
  </si>
  <si>
    <t>命中</t>
  </si>
  <si>
    <t>pp</t>
  </si>
  <si>
    <t>描述</t>
  </si>
  <si>
    <t>实际威力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</si>
</sst>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64">
    <font>
      <sz val="12"/>
      <name val="宋体"/>
      <charset val="134"/>
    </font>
    <font>
      <sz val="20"/>
      <name val="宋体"/>
      <charset val="134"/>
    </font>
    <font>
      <sz val="12"/>
      <color indexed="9"/>
      <name val="宋体"/>
      <charset val="134"/>
    </font>
    <font>
      <sz val="10"/>
      <color indexed="8"/>
      <name val="Arial"/>
      <charset val="134"/>
    </font>
    <font>
      <sz val="9.75"/>
      <name val="宋体"/>
      <charset val="134"/>
    </font>
    <font>
      <sz val="9.75"/>
      <color indexed="0"/>
      <name val="Arial"/>
      <charset val="134"/>
    </font>
    <font>
      <b/>
      <sz val="10.5"/>
      <color indexed="63"/>
      <name val="微软雅黑"/>
      <charset val="134"/>
    </font>
    <font>
      <sz val="9.75"/>
      <color indexed="51"/>
      <name val="Arial"/>
      <charset val="134"/>
    </font>
    <font>
      <sz val="9.75"/>
      <color indexed="31"/>
      <name val="Arial"/>
      <charset val="134"/>
    </font>
    <font>
      <sz val="9.75"/>
      <color indexed="18"/>
      <name val="Arial"/>
      <charset val="134"/>
    </font>
    <font>
      <sz val="10"/>
      <color indexed="51"/>
      <name val="宋体"/>
      <charset val="134"/>
    </font>
    <font>
      <sz val="11"/>
      <name val="微软雅黑"/>
      <charset val="134"/>
    </font>
    <font>
      <sz val="11"/>
      <color indexed="9"/>
      <name val="微软雅黑"/>
      <charset val="134"/>
    </font>
    <font>
      <sz val="11"/>
      <color indexed="0"/>
      <name val="微软雅黑"/>
      <charset val="134"/>
    </font>
    <font>
      <sz val="11"/>
      <color indexed="18"/>
      <name val="微软雅黑"/>
      <charset val="134"/>
    </font>
    <font>
      <b/>
      <sz val="11"/>
      <color indexed="17"/>
      <name val="微软雅黑"/>
      <charset val="134"/>
    </font>
    <font>
      <b/>
      <sz val="11"/>
      <color indexed="50"/>
      <name val="微软雅黑"/>
      <charset val="134"/>
    </font>
    <font>
      <b/>
      <sz val="11"/>
      <color indexed="60"/>
      <name val="微软雅黑"/>
      <charset val="134"/>
    </font>
    <font>
      <b/>
      <sz val="11"/>
      <color indexed="49"/>
      <name val="微软雅黑"/>
      <charset val="134"/>
    </font>
    <font>
      <b/>
      <sz val="11"/>
      <color indexed="30"/>
      <name val="微软雅黑"/>
      <charset val="134"/>
    </font>
    <font>
      <b/>
      <sz val="11"/>
      <color indexed="20"/>
      <name val="微软雅黑"/>
      <charset val="134"/>
    </font>
    <font>
      <b/>
      <sz val="11"/>
      <color indexed="0"/>
      <name val="微软雅黑"/>
      <charset val="134"/>
    </font>
    <font>
      <sz val="11"/>
      <color rgb="FFFF0000"/>
      <name val="微软雅黑"/>
      <charset val="134"/>
    </font>
    <font>
      <sz val="11"/>
      <color indexed="63"/>
      <name val="微软雅黑"/>
      <charset val="134"/>
    </font>
    <font>
      <b/>
      <sz val="11"/>
      <color indexed="63"/>
      <name val="微软雅黑"/>
      <charset val="134"/>
    </font>
    <font>
      <b/>
      <sz val="11"/>
      <color indexed="18"/>
      <name val="微软雅黑"/>
      <charset val="134"/>
    </font>
    <font>
      <b/>
      <sz val="11"/>
      <name val="微软雅黑"/>
      <charset val="134"/>
    </font>
    <font>
      <sz val="18"/>
      <name val="宋体"/>
      <charset val="134"/>
    </font>
    <font>
      <sz val="12"/>
      <color indexed="43"/>
      <name val="宋体"/>
      <charset val="134"/>
    </font>
    <font>
      <sz val="12"/>
      <color theme="0"/>
      <name val="宋体"/>
      <charset val="134"/>
    </font>
    <font>
      <sz val="22"/>
      <name val="宋体"/>
      <charset val="134"/>
    </font>
    <font>
      <sz val="12"/>
      <color indexed="13"/>
      <name val="宋体"/>
      <charset val="134"/>
    </font>
    <font>
      <b/>
      <sz val="14"/>
      <name val="宋体"/>
      <charset val="134"/>
    </font>
    <font>
      <b/>
      <sz val="18"/>
      <name val="宋体"/>
      <charset val="134"/>
    </font>
    <font>
      <sz val="12"/>
      <color indexed="51"/>
      <name val="宋体"/>
      <charset val="134"/>
    </font>
    <font>
      <sz val="14"/>
      <name val="微软雅黑"/>
      <charset val="134"/>
    </font>
    <font>
      <b/>
      <i/>
      <sz val="20"/>
      <name val="华文新魏"/>
      <charset val="134"/>
    </font>
    <font>
      <sz val="36"/>
      <name val="宋体"/>
      <charset val="134"/>
    </font>
    <font>
      <sz val="6"/>
      <color indexed="13"/>
      <name val="宋体"/>
      <charset val="134"/>
    </font>
    <font>
      <b/>
      <sz val="12"/>
      <name val="宋体"/>
      <charset val="134"/>
    </font>
    <font>
      <sz val="11"/>
      <color indexed="63"/>
      <name val="Arial"/>
      <charset val="134"/>
    </font>
    <font>
      <sz val="9.75"/>
      <color indexed="1"/>
      <name val="Arial"/>
      <charset val="134"/>
    </font>
    <font>
      <sz val="12"/>
      <color indexed="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1"/>
      <name val="微软雅黑"/>
      <charset val="134"/>
    </font>
  </fonts>
  <fills count="61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5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3"/>
      </top>
      <bottom style="medium">
        <color indexed="63"/>
      </bottom>
      <diagonal/>
    </border>
    <border>
      <left/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/>
      <top style="medium">
        <color indexed="62"/>
      </top>
      <bottom style="medium">
        <color indexed="62"/>
      </bottom>
      <diagonal/>
    </border>
    <border>
      <left/>
      <right style="medium">
        <color indexed="62"/>
      </right>
      <top style="medium">
        <color indexed="62"/>
      </top>
      <bottom style="medium">
        <color indexed="62"/>
      </bottom>
      <diagonal/>
    </border>
    <border>
      <left/>
      <right/>
      <top style="medium">
        <color indexed="19"/>
      </top>
      <bottom style="medium">
        <color indexed="19"/>
      </bottom>
      <diagonal/>
    </border>
    <border>
      <left/>
      <right style="medium">
        <color indexed="19"/>
      </right>
      <top style="medium">
        <color indexed="19"/>
      </top>
      <bottom style="medium">
        <color indexed="19"/>
      </bottom>
      <diagonal/>
    </border>
    <border>
      <left/>
      <right/>
      <top style="medium">
        <color indexed="16"/>
      </top>
      <bottom style="medium">
        <color indexed="16"/>
      </bottom>
      <diagonal/>
    </border>
    <border>
      <left style="medium">
        <color indexed="16"/>
      </left>
      <right/>
      <top style="medium">
        <color indexed="16"/>
      </top>
      <bottom style="medium">
        <color indexed="16"/>
      </bottom>
      <diagonal/>
    </border>
    <border>
      <left/>
      <right style="medium">
        <color indexed="16"/>
      </right>
      <top style="medium">
        <color indexed="16"/>
      </top>
      <bottom style="medium">
        <color indexed="16"/>
      </bottom>
      <diagonal/>
    </border>
    <border>
      <left/>
      <right/>
      <top style="medium">
        <color indexed="55"/>
      </top>
      <bottom style="medium">
        <color indexed="55"/>
      </bottom>
      <diagonal/>
    </border>
    <border>
      <left/>
      <right style="medium">
        <color indexed="55"/>
      </right>
      <top style="medium">
        <color indexed="55"/>
      </top>
      <bottom style="medium">
        <color indexed="55"/>
      </bottom>
      <diagonal/>
    </border>
    <border>
      <left/>
      <right/>
      <top style="medium">
        <color indexed="14"/>
      </top>
      <bottom style="medium">
        <color indexed="14"/>
      </bottom>
      <diagonal/>
    </border>
    <border>
      <left/>
      <right style="medium">
        <color indexed="14"/>
      </right>
      <top style="medium">
        <color indexed="14"/>
      </top>
      <bottom style="medium">
        <color indexed="1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47" fillId="0" borderId="0" applyFont="0" applyFill="0" applyBorder="0" applyAlignment="0" applyProtection="0">
      <alignment vertical="center"/>
    </xf>
    <xf numFmtId="0" fontId="43" fillId="54" borderId="0" applyNumberFormat="0" applyBorder="0" applyAlignment="0" applyProtection="0">
      <alignment vertical="center"/>
    </xf>
    <xf numFmtId="0" fontId="59" fillId="51" borderId="56" applyNumberFormat="0" applyAlignment="0" applyProtection="0">
      <alignment vertical="center"/>
    </xf>
    <xf numFmtId="44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43" fontId="47" fillId="0" borderId="0" applyFont="0" applyFill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9" fontId="47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7" fillId="43" borderId="53" applyNumberFormat="0" applyFont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51" applyNumberFormat="0" applyFill="0" applyAlignment="0" applyProtection="0">
      <alignment vertical="center"/>
    </xf>
    <xf numFmtId="0" fontId="45" fillId="0" borderId="51" applyNumberFormat="0" applyFill="0" applyAlignment="0" applyProtection="0">
      <alignment vertical="center"/>
    </xf>
    <xf numFmtId="0" fontId="52" fillId="56" borderId="0" applyNumberFormat="0" applyBorder="0" applyAlignment="0" applyProtection="0">
      <alignment vertical="center"/>
    </xf>
    <xf numFmtId="0" fontId="49" fillId="0" borderId="55" applyNumberFormat="0" applyFill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3" fillId="42" borderId="52" applyNumberFormat="0" applyAlignment="0" applyProtection="0">
      <alignment vertical="center"/>
    </xf>
    <xf numFmtId="0" fontId="60" fillId="42" borderId="56" applyNumberFormat="0" applyAlignment="0" applyProtection="0">
      <alignment vertical="center"/>
    </xf>
    <xf numFmtId="0" fontId="44" fillId="33" borderId="50" applyNumberFormat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52" fillId="46" borderId="0" applyNumberFormat="0" applyBorder="0" applyAlignment="0" applyProtection="0">
      <alignment vertical="center"/>
    </xf>
    <xf numFmtId="0" fontId="61" fillId="0" borderId="57" applyNumberFormat="0" applyFill="0" applyAlignment="0" applyProtection="0">
      <alignment vertical="center"/>
    </xf>
    <xf numFmtId="0" fontId="55" fillId="0" borderId="54" applyNumberFormat="0" applyFill="0" applyAlignment="0" applyProtection="0">
      <alignment vertical="center"/>
    </xf>
    <xf numFmtId="0" fontId="62" fillId="60" borderId="0" applyNumberFormat="0" applyBorder="0" applyAlignment="0" applyProtection="0">
      <alignment vertical="center"/>
    </xf>
    <xf numFmtId="0" fontId="58" fillId="48" borderId="0" applyNumberFormat="0" applyBorder="0" applyAlignment="0" applyProtection="0">
      <alignment vertical="center"/>
    </xf>
    <xf numFmtId="0" fontId="43" fillId="53" borderId="0" applyNumberFormat="0" applyBorder="0" applyAlignment="0" applyProtection="0">
      <alignment vertical="center"/>
    </xf>
    <xf numFmtId="0" fontId="52" fillId="41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59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52" fillId="40" borderId="0" applyNumberFormat="0" applyBorder="0" applyAlignment="0" applyProtection="0">
      <alignment vertical="center"/>
    </xf>
    <xf numFmtId="0" fontId="52" fillId="45" borderId="0" applyNumberFormat="0" applyBorder="0" applyAlignment="0" applyProtection="0">
      <alignment vertical="center"/>
    </xf>
    <xf numFmtId="0" fontId="43" fillId="58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</cellStyleXfs>
  <cellXfs count="493">
    <xf numFmtId="0" fontId="0" fillId="0" borderId="0" xfId="0">
      <alignment vertical="center"/>
    </xf>
    <xf numFmtId="0" fontId="1" fillId="2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1" xfId="0" applyBorder="1">
      <alignment vertical="center"/>
    </xf>
    <xf numFmtId="0" fontId="0" fillId="3" borderId="0" xfId="0" applyFill="1">
      <alignment vertical="center"/>
    </xf>
    <xf numFmtId="0" fontId="0" fillId="3" borderId="0" xfId="0" applyFont="1" applyFill="1">
      <alignment vertical="center"/>
    </xf>
    <xf numFmtId="0" fontId="0" fillId="4" borderId="0" xfId="0" applyFill="1">
      <alignment vertical="center"/>
    </xf>
    <xf numFmtId="0" fontId="0" fillId="4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ont="1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7" borderId="0" xfId="0" applyFont="1" applyFill="1">
      <alignment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4" borderId="0" xfId="0" applyFont="1" applyFill="1">
      <alignment vertical="center"/>
    </xf>
    <xf numFmtId="0" fontId="0" fillId="15" borderId="0" xfId="0" applyFill="1">
      <alignment vertical="center"/>
    </xf>
    <xf numFmtId="0" fontId="0" fillId="15" borderId="0" xfId="0" applyFont="1" applyFill="1">
      <alignment vertical="center"/>
    </xf>
    <xf numFmtId="0" fontId="0" fillId="16" borderId="0" xfId="0" applyFill="1">
      <alignment vertical="center"/>
    </xf>
    <xf numFmtId="0" fontId="0" fillId="16" borderId="0" xfId="0" applyFont="1" applyFill="1">
      <alignment vertical="center"/>
    </xf>
    <xf numFmtId="0" fontId="0" fillId="17" borderId="0" xfId="0" applyFill="1">
      <alignment vertical="center"/>
    </xf>
    <xf numFmtId="0" fontId="0" fillId="17" borderId="0" xfId="0" applyFont="1" applyFill="1">
      <alignment vertical="center"/>
    </xf>
    <xf numFmtId="0" fontId="0" fillId="18" borderId="0" xfId="0" applyFill="1">
      <alignment vertical="center"/>
    </xf>
    <xf numFmtId="0" fontId="2" fillId="19" borderId="0" xfId="0" applyFont="1" applyFill="1">
      <alignment vertical="center"/>
    </xf>
    <xf numFmtId="0" fontId="0" fillId="19" borderId="0" xfId="0" applyFill="1">
      <alignment vertical="center"/>
    </xf>
    <xf numFmtId="0" fontId="0" fillId="20" borderId="0" xfId="0" applyFill="1">
      <alignment vertical="center"/>
    </xf>
    <xf numFmtId="0" fontId="3" fillId="3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righ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righ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left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right" vertical="center" wrapText="1"/>
    </xf>
    <xf numFmtId="0" fontId="6" fillId="0" borderId="0" xfId="0" applyFont="1">
      <alignment vertical="center"/>
    </xf>
    <xf numFmtId="0" fontId="5" fillId="5" borderId="10" xfId="0" applyFont="1" applyFill="1" applyBorder="1" applyAlignment="1">
      <alignment horizontal="left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right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left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right" vertical="center" wrapText="1"/>
    </xf>
    <xf numFmtId="0" fontId="5" fillId="7" borderId="12" xfId="0" applyFont="1" applyFill="1" applyBorder="1" applyAlignment="1">
      <alignment horizontal="left" vertical="center" wrapText="1"/>
    </xf>
    <xf numFmtId="0" fontId="5" fillId="8" borderId="11" xfId="0" applyFont="1" applyFill="1" applyBorder="1" applyAlignment="1">
      <alignment horizontal="center" vertical="center" wrapText="1"/>
    </xf>
    <xf numFmtId="0" fontId="4" fillId="8" borderId="11" xfId="0" applyFont="1" applyFill="1" applyBorder="1" applyAlignment="1">
      <alignment horizontal="center" vertical="center" wrapText="1"/>
    </xf>
    <xf numFmtId="0" fontId="5" fillId="8" borderId="11" xfId="0" applyFont="1" applyFill="1" applyBorder="1" applyAlignment="1">
      <alignment horizontal="right" vertical="center" wrapText="1"/>
    </xf>
    <xf numFmtId="0" fontId="5" fillId="8" borderId="12" xfId="0" applyFont="1" applyFill="1" applyBorder="1" applyAlignment="1">
      <alignment horizontal="left" vertical="center" wrapText="1"/>
    </xf>
    <xf numFmtId="0" fontId="5" fillId="9" borderId="7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right" vertical="center" wrapText="1"/>
    </xf>
    <xf numFmtId="0" fontId="5" fillId="9" borderId="8" xfId="0" applyFont="1" applyFill="1" applyBorder="1" applyAlignment="1">
      <alignment horizontal="left" vertical="center" wrapText="1"/>
    </xf>
    <xf numFmtId="0" fontId="8" fillId="9" borderId="7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right" vertical="center" wrapText="1"/>
    </xf>
    <xf numFmtId="0" fontId="5" fillId="10" borderId="8" xfId="0" applyFont="1" applyFill="1" applyBorder="1" applyAlignment="1">
      <alignment horizontal="left" vertical="center" wrapText="1"/>
    </xf>
    <xf numFmtId="0" fontId="8" fillId="10" borderId="7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7" fillId="11" borderId="7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right" vertical="center" wrapText="1"/>
    </xf>
    <xf numFmtId="0" fontId="5" fillId="11" borderId="8" xfId="0" applyFont="1" applyFill="1" applyBorder="1" applyAlignment="1">
      <alignment horizontal="left" vertical="center" wrapText="1"/>
    </xf>
    <xf numFmtId="0" fontId="8" fillId="11" borderId="7" xfId="0" applyFont="1" applyFill="1" applyBorder="1" applyAlignment="1">
      <alignment horizontal="center" vertical="center" wrapText="1"/>
    </xf>
    <xf numFmtId="0" fontId="5" fillId="12" borderId="13" xfId="0" applyFont="1" applyFill="1" applyBorder="1" applyAlignment="1">
      <alignment horizontal="center" vertical="center" wrapText="1"/>
    </xf>
    <xf numFmtId="0" fontId="7" fillId="12" borderId="13" xfId="0" applyFont="1" applyFill="1" applyBorder="1" applyAlignment="1">
      <alignment horizontal="center" vertical="center" wrapText="1"/>
    </xf>
    <xf numFmtId="0" fontId="5" fillId="12" borderId="13" xfId="0" applyFont="1" applyFill="1" applyBorder="1" applyAlignment="1">
      <alignment horizontal="right" vertical="center" wrapText="1"/>
    </xf>
    <xf numFmtId="0" fontId="8" fillId="12" borderId="13" xfId="0" applyFont="1" applyFill="1" applyBorder="1" applyAlignment="1">
      <alignment horizontal="center" vertical="center" wrapText="1"/>
    </xf>
    <xf numFmtId="0" fontId="9" fillId="21" borderId="14" xfId="0" applyFont="1" applyFill="1" applyBorder="1" applyAlignment="1">
      <alignment horizontal="center" vertical="center" wrapText="1"/>
    </xf>
    <xf numFmtId="0" fontId="5" fillId="21" borderId="13" xfId="0" applyFont="1" applyFill="1" applyBorder="1" applyAlignment="1">
      <alignment horizontal="center" vertical="center" wrapText="1"/>
    </xf>
    <xf numFmtId="0" fontId="10" fillId="21" borderId="13" xfId="0" applyFont="1" applyFill="1" applyBorder="1" applyAlignment="1">
      <alignment horizontal="center" vertical="center" wrapText="1"/>
    </xf>
    <xf numFmtId="0" fontId="5" fillId="21" borderId="13" xfId="0" applyFont="1" applyFill="1" applyBorder="1" applyAlignment="1">
      <alignment horizontal="right" vertical="center" wrapText="1"/>
    </xf>
    <xf numFmtId="0" fontId="5" fillId="12" borderId="15" xfId="0" applyFont="1" applyFill="1" applyBorder="1" applyAlignment="1">
      <alignment horizontal="left" vertical="center" wrapText="1"/>
    </xf>
    <xf numFmtId="0" fontId="5" fillId="13" borderId="9" xfId="0" applyFont="1" applyFill="1" applyBorder="1" applyAlignment="1">
      <alignment horizontal="center" vertical="center" wrapText="1"/>
    </xf>
    <xf numFmtId="0" fontId="7" fillId="13" borderId="9" xfId="0" applyFont="1" applyFill="1" applyBorder="1" applyAlignment="1">
      <alignment horizontal="center" vertical="center" wrapText="1"/>
    </xf>
    <xf numFmtId="0" fontId="5" fillId="13" borderId="9" xfId="0" applyFont="1" applyFill="1" applyBorder="1" applyAlignment="1">
      <alignment horizontal="right" vertical="center" wrapText="1"/>
    </xf>
    <xf numFmtId="0" fontId="8" fillId="13" borderId="9" xfId="0" applyFont="1" applyFill="1" applyBorder="1" applyAlignment="1">
      <alignment horizontal="center" vertical="center" wrapText="1"/>
    </xf>
    <xf numFmtId="0" fontId="5" fillId="21" borderId="15" xfId="0" applyFont="1" applyFill="1" applyBorder="1" applyAlignment="1">
      <alignment horizontal="left" vertical="center" wrapText="1"/>
    </xf>
    <xf numFmtId="0" fontId="5" fillId="13" borderId="10" xfId="0" applyFont="1" applyFill="1" applyBorder="1" applyAlignment="1">
      <alignment horizontal="left" vertical="center" wrapText="1"/>
    </xf>
    <xf numFmtId="0" fontId="5" fillId="14" borderId="7" xfId="0" applyFont="1" applyFill="1" applyBorder="1" applyAlignment="1">
      <alignment horizontal="center" vertical="center" wrapText="1"/>
    </xf>
    <xf numFmtId="0" fontId="4" fillId="14" borderId="7" xfId="0" applyFont="1" applyFill="1" applyBorder="1" applyAlignment="1">
      <alignment horizontal="center" vertical="center" wrapText="1"/>
    </xf>
    <xf numFmtId="0" fontId="5" fillId="14" borderId="7" xfId="0" applyFont="1" applyFill="1" applyBorder="1" applyAlignment="1">
      <alignment horizontal="right" vertical="center" wrapText="1"/>
    </xf>
    <xf numFmtId="0" fontId="5" fillId="14" borderId="8" xfId="0" applyFont="1" applyFill="1" applyBorder="1" applyAlignment="1">
      <alignment horizontal="left" vertical="center" wrapText="1"/>
    </xf>
    <xf numFmtId="0" fontId="5" fillId="15" borderId="11" xfId="0" applyFont="1" applyFill="1" applyBorder="1" applyAlignment="1">
      <alignment horizontal="center" vertical="center" wrapText="1"/>
    </xf>
    <xf numFmtId="0" fontId="4" fillId="15" borderId="11" xfId="0" applyFont="1" applyFill="1" applyBorder="1" applyAlignment="1">
      <alignment horizontal="center" vertical="center" wrapText="1"/>
    </xf>
    <xf numFmtId="0" fontId="5" fillId="15" borderId="11" xfId="0" applyFont="1" applyFill="1" applyBorder="1" applyAlignment="1">
      <alignment horizontal="right" vertical="center" wrapText="1"/>
    </xf>
    <xf numFmtId="0" fontId="5" fillId="15" borderId="12" xfId="0" applyFont="1" applyFill="1" applyBorder="1" applyAlignment="1">
      <alignment horizontal="left" vertical="center" wrapText="1"/>
    </xf>
    <xf numFmtId="0" fontId="5" fillId="16" borderId="7" xfId="0" applyFont="1" applyFill="1" applyBorder="1" applyAlignment="1">
      <alignment horizontal="center" vertical="center" wrapText="1"/>
    </xf>
    <xf numFmtId="0" fontId="4" fillId="16" borderId="7" xfId="0" applyFont="1" applyFill="1" applyBorder="1" applyAlignment="1">
      <alignment horizontal="center" vertical="center" wrapText="1"/>
    </xf>
    <xf numFmtId="0" fontId="5" fillId="16" borderId="7" xfId="0" applyFont="1" applyFill="1" applyBorder="1" applyAlignment="1">
      <alignment horizontal="right" vertical="center" wrapText="1"/>
    </xf>
    <xf numFmtId="0" fontId="5" fillId="16" borderId="8" xfId="0" applyFont="1" applyFill="1" applyBorder="1" applyAlignment="1">
      <alignment horizontal="left" vertical="center" wrapText="1"/>
    </xf>
    <xf numFmtId="0" fontId="5" fillId="17" borderId="9" xfId="0" applyFont="1" applyFill="1" applyBorder="1" applyAlignment="1">
      <alignment horizontal="center" vertical="center" wrapText="1"/>
    </xf>
    <xf numFmtId="0" fontId="4" fillId="17" borderId="9" xfId="0" applyFont="1" applyFill="1" applyBorder="1" applyAlignment="1">
      <alignment horizontal="center" vertical="center" wrapText="1"/>
    </xf>
    <xf numFmtId="0" fontId="5" fillId="17" borderId="9" xfId="0" applyFont="1" applyFill="1" applyBorder="1" applyAlignment="1">
      <alignment horizontal="right" vertical="center" wrapText="1"/>
    </xf>
    <xf numFmtId="0" fontId="5" fillId="17" borderId="10" xfId="0" applyFont="1" applyFill="1" applyBorder="1" applyAlignment="1">
      <alignment horizontal="left" vertical="center" wrapText="1"/>
    </xf>
    <xf numFmtId="0" fontId="5" fillId="18" borderId="16" xfId="0" applyFont="1" applyFill="1" applyBorder="1" applyAlignment="1">
      <alignment horizontal="center" vertical="center" wrapText="1"/>
    </xf>
    <xf numFmtId="0" fontId="7" fillId="18" borderId="16" xfId="0" applyFont="1" applyFill="1" applyBorder="1" applyAlignment="1">
      <alignment horizontal="center" vertical="center" wrapText="1"/>
    </xf>
    <xf numFmtId="0" fontId="5" fillId="18" borderId="16" xfId="0" applyFont="1" applyFill="1" applyBorder="1" applyAlignment="1">
      <alignment horizontal="right" vertical="center" wrapText="1"/>
    </xf>
    <xf numFmtId="0" fontId="5" fillId="18" borderId="17" xfId="0" applyFont="1" applyFill="1" applyBorder="1" applyAlignment="1">
      <alignment horizontal="left" vertical="center" wrapText="1"/>
    </xf>
    <xf numFmtId="0" fontId="8" fillId="18" borderId="16" xfId="0" applyFont="1" applyFill="1" applyBorder="1" applyAlignment="1">
      <alignment horizontal="center" vertical="center" wrapText="1"/>
    </xf>
    <xf numFmtId="0" fontId="5" fillId="19" borderId="7" xfId="0" applyFont="1" applyFill="1" applyBorder="1" applyAlignment="1">
      <alignment horizontal="center" vertical="center" wrapText="1"/>
    </xf>
    <xf numFmtId="0" fontId="7" fillId="19" borderId="7" xfId="0" applyFont="1" applyFill="1" applyBorder="1" applyAlignment="1">
      <alignment horizontal="center" vertical="center" wrapText="1"/>
    </xf>
    <xf numFmtId="0" fontId="5" fillId="19" borderId="7" xfId="0" applyFont="1" applyFill="1" applyBorder="1" applyAlignment="1">
      <alignment horizontal="right" vertical="center" wrapText="1"/>
    </xf>
    <xf numFmtId="0" fontId="5" fillId="19" borderId="8" xfId="0" applyFont="1" applyFill="1" applyBorder="1" applyAlignment="1">
      <alignment horizontal="left" vertical="center" wrapText="1"/>
    </xf>
    <xf numFmtId="0" fontId="8" fillId="19" borderId="7" xfId="0" applyFont="1" applyFill="1" applyBorder="1" applyAlignment="1">
      <alignment horizontal="center" vertical="center" wrapText="1"/>
    </xf>
    <xf numFmtId="0" fontId="5" fillId="20" borderId="18" xfId="0" applyFont="1" applyFill="1" applyBorder="1" applyAlignment="1">
      <alignment horizontal="center" vertical="center" wrapText="1"/>
    </xf>
    <xf numFmtId="0" fontId="7" fillId="20" borderId="18" xfId="0" applyFont="1" applyFill="1" applyBorder="1" applyAlignment="1">
      <alignment horizontal="center" vertical="center" wrapText="1"/>
    </xf>
    <xf numFmtId="0" fontId="5" fillId="20" borderId="18" xfId="0" applyFont="1" applyFill="1" applyBorder="1" applyAlignment="1">
      <alignment horizontal="right" vertical="center" wrapText="1"/>
    </xf>
    <xf numFmtId="0" fontId="8" fillId="20" borderId="18" xfId="0" applyFont="1" applyFill="1" applyBorder="1" applyAlignment="1">
      <alignment horizontal="center" vertical="center" wrapText="1"/>
    </xf>
    <xf numFmtId="0" fontId="5" fillId="20" borderId="19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/>
    </xf>
    <xf numFmtId="0" fontId="11" fillId="3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4" fillId="21" borderId="1" xfId="0" applyFont="1" applyFill="1" applyBorder="1" applyAlignment="1">
      <alignment horizontal="center" vertical="center" wrapText="1"/>
    </xf>
    <xf numFmtId="0" fontId="13" fillId="21" borderId="1" xfId="0" applyFont="1" applyFill="1" applyBorder="1" applyAlignment="1">
      <alignment horizontal="center" vertical="center" wrapText="1"/>
    </xf>
    <xf numFmtId="0" fontId="15" fillId="21" borderId="1" xfId="0" applyFont="1" applyFill="1" applyBorder="1" applyAlignment="1">
      <alignment horizontal="center" vertical="center" wrapText="1"/>
    </xf>
    <xf numFmtId="0" fontId="16" fillId="21" borderId="1" xfId="0" applyFont="1" applyFill="1" applyBorder="1" applyAlignment="1">
      <alignment horizontal="center" vertical="center" wrapText="1"/>
    </xf>
    <xf numFmtId="0" fontId="17" fillId="21" borderId="1" xfId="0" applyFont="1" applyFill="1" applyBorder="1" applyAlignment="1">
      <alignment horizontal="center" vertical="center" wrapText="1"/>
    </xf>
    <xf numFmtId="0" fontId="18" fillId="21" borderId="1" xfId="0" applyFont="1" applyFill="1" applyBorder="1" applyAlignment="1">
      <alignment horizontal="center" vertical="center" wrapText="1"/>
    </xf>
    <xf numFmtId="0" fontId="19" fillId="21" borderId="1" xfId="0" applyFont="1" applyFill="1" applyBorder="1" applyAlignment="1">
      <alignment horizontal="center" vertical="center" wrapText="1"/>
    </xf>
    <xf numFmtId="0" fontId="20" fillId="21" borderId="1" xfId="0" applyFont="1" applyFill="1" applyBorder="1" applyAlignment="1">
      <alignment horizontal="center" vertical="center" wrapText="1"/>
    </xf>
    <xf numFmtId="0" fontId="21" fillId="21" borderId="1" xfId="0" applyFont="1" applyFill="1" applyBorder="1" applyAlignment="1">
      <alignment horizontal="center" vertical="center" wrapText="1"/>
    </xf>
    <xf numFmtId="0" fontId="11" fillId="3" borderId="1" xfId="0" applyNumberFormat="1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/>
    </xf>
    <xf numFmtId="0" fontId="11" fillId="21" borderId="1" xfId="0" applyFont="1" applyFill="1" applyBorder="1" applyAlignment="1">
      <alignment horizontal="center" vertical="center" wrapText="1"/>
    </xf>
    <xf numFmtId="0" fontId="11" fillId="3" borderId="1" xfId="0" applyNumberFormat="1" applyFont="1" applyFill="1" applyBorder="1" applyAlignment="1" applyProtection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 applyProtection="1">
      <alignment horizontal="center" vertical="center"/>
      <protection hidden="1"/>
    </xf>
    <xf numFmtId="0" fontId="24" fillId="0" borderId="1" xfId="0" applyFont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21" borderId="1" xfId="0" applyFont="1" applyFill="1" applyBorder="1" applyAlignment="1">
      <alignment horizontal="center" vertical="center" wrapText="1"/>
    </xf>
    <xf numFmtId="0" fontId="26" fillId="21" borderId="1" xfId="0" applyFont="1" applyFill="1" applyBorder="1" applyAlignment="1">
      <alignment horizontal="center" vertical="center" wrapText="1"/>
    </xf>
    <xf numFmtId="0" fontId="27" fillId="22" borderId="0" xfId="0" applyFont="1" applyFill="1" applyAlignment="1">
      <alignment horizontal="center" vertical="center"/>
    </xf>
    <xf numFmtId="0" fontId="27" fillId="23" borderId="1" xfId="0" applyFont="1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4" borderId="1" xfId="0" applyNumberFormat="1" applyFill="1" applyBorder="1" applyAlignment="1" applyProtection="1">
      <alignment horizontal="center" vertical="center"/>
      <protection locked="0"/>
    </xf>
    <xf numFmtId="0" fontId="0" fillId="23" borderId="1" xfId="0" applyNumberFormat="1" applyFill="1" applyBorder="1" applyAlignment="1" applyProtection="1">
      <alignment horizontal="center" vertical="center"/>
      <protection locked="0"/>
    </xf>
    <xf numFmtId="0" fontId="0" fillId="3" borderId="1" xfId="0" applyFont="1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28" fillId="23" borderId="1" xfId="0" applyNumberFormat="1" applyFont="1" applyFill="1" applyBorder="1">
      <alignment vertical="center"/>
    </xf>
    <xf numFmtId="0" fontId="28" fillId="23" borderId="1" xfId="0" applyFont="1" applyFill="1" applyBorder="1">
      <alignment vertical="center"/>
    </xf>
    <xf numFmtId="0" fontId="0" fillId="0" borderId="0" xfId="0" applyFont="1">
      <alignment vertical="center"/>
    </xf>
    <xf numFmtId="0" fontId="29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27" fillId="23" borderId="26" xfId="0" applyFont="1" applyFill="1" applyBorder="1" applyAlignment="1">
      <alignment horizontal="center" vertical="center"/>
    </xf>
    <xf numFmtId="0" fontId="27" fillId="23" borderId="5" xfId="0" applyFont="1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23" borderId="5" xfId="0" applyFill="1" applyBorder="1" applyAlignment="1">
      <alignment horizontal="center" vertical="center"/>
    </xf>
    <xf numFmtId="0" fontId="0" fillId="0" borderId="28" xfId="0" applyBorder="1">
      <alignment vertical="center"/>
    </xf>
    <xf numFmtId="0" fontId="0" fillId="0" borderId="26" xfId="0" applyBorder="1">
      <alignment vertical="center"/>
    </xf>
    <xf numFmtId="0" fontId="0" fillId="0" borderId="25" xfId="0" applyBorder="1" applyAlignment="1">
      <alignment horizontal="center" vertical="center"/>
    </xf>
    <xf numFmtId="0" fontId="0" fillId="0" borderId="24" xfId="0" applyNumberFormat="1" applyBorder="1" applyAlignment="1" applyProtection="1">
      <alignment horizontal="center" vertical="center"/>
    </xf>
    <xf numFmtId="0" fontId="0" fillId="24" borderId="1" xfId="0" applyNumberFormat="1" applyFill="1" applyBorder="1" applyAlignment="1" applyProtection="1">
      <alignment horizontal="center" vertical="center"/>
    </xf>
    <xf numFmtId="0" fontId="0" fillId="25" borderId="25" xfId="0" applyNumberFormat="1" applyFill="1" applyBorder="1" applyAlignment="1" applyProtection="1">
      <alignment horizontal="center" vertical="center"/>
    </xf>
    <xf numFmtId="0" fontId="28" fillId="15" borderId="1" xfId="0" applyNumberFormat="1" applyFont="1" applyFill="1" applyBorder="1">
      <alignment vertical="center"/>
    </xf>
    <xf numFmtId="0" fontId="28" fillId="15" borderId="1" xfId="0" applyFont="1" applyFill="1" applyBorder="1">
      <alignment vertical="center"/>
    </xf>
    <xf numFmtId="0" fontId="0" fillId="0" borderId="29" xfId="0" applyNumberFormat="1" applyBorder="1" applyAlignment="1" applyProtection="1">
      <alignment horizontal="center" vertical="center"/>
    </xf>
    <xf numFmtId="0" fontId="0" fillId="24" borderId="3" xfId="0" applyNumberFormat="1" applyFill="1" applyBorder="1" applyAlignment="1" applyProtection="1">
      <alignment horizontal="center" vertical="center"/>
    </xf>
    <xf numFmtId="0" fontId="0" fillId="0" borderId="24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 applyProtection="1">
      <alignment horizontal="center" vertical="center"/>
    </xf>
    <xf numFmtId="0" fontId="0" fillId="24" borderId="0" xfId="0" applyFill="1">
      <alignment vertical="center"/>
    </xf>
    <xf numFmtId="0" fontId="0" fillId="24" borderId="0" xfId="0" applyFill="1" applyAlignment="1">
      <alignment horizontal="right" vertical="center"/>
    </xf>
    <xf numFmtId="0" fontId="0" fillId="24" borderId="0" xfId="0" applyFill="1" applyAlignment="1">
      <alignment horizontal="center" vertical="center"/>
    </xf>
    <xf numFmtId="0" fontId="0" fillId="24" borderId="0" xfId="0" applyFont="1" applyFill="1">
      <alignment vertical="center"/>
    </xf>
    <xf numFmtId="0" fontId="0" fillId="24" borderId="30" xfId="0" applyFont="1" applyFill="1" applyBorder="1">
      <alignment vertical="center"/>
    </xf>
    <xf numFmtId="0" fontId="0" fillId="23" borderId="20" xfId="0" applyFill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10" fontId="0" fillId="23" borderId="1" xfId="0" applyNumberFormat="1" applyFont="1" applyFill="1" applyBorder="1" applyAlignment="1" applyProtection="1">
      <alignment horizontal="center" vertical="center"/>
    </xf>
    <xf numFmtId="10" fontId="0" fillId="23" borderId="25" xfId="0" applyNumberFormat="1" applyFont="1" applyFill="1" applyBorder="1" applyAlignment="1" applyProtection="1">
      <alignment horizontal="center" vertical="center"/>
    </xf>
    <xf numFmtId="0" fontId="0" fillId="0" borderId="26" xfId="0" applyNumberFormat="1" applyBorder="1" applyAlignment="1" applyProtection="1">
      <alignment horizontal="center" vertical="center"/>
    </xf>
    <xf numFmtId="0" fontId="0" fillId="24" borderId="31" xfId="0" applyNumberFormat="1" applyFill="1" applyBorder="1" applyAlignment="1" applyProtection="1">
      <alignment horizontal="center" vertical="center"/>
    </xf>
    <xf numFmtId="0" fontId="0" fillId="23" borderId="32" xfId="0" applyFill="1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4" xfId="0" applyBorder="1">
      <alignment vertical="center"/>
    </xf>
    <xf numFmtId="0" fontId="0" fillId="23" borderId="3" xfId="0" applyFill="1" applyBorder="1" applyAlignment="1">
      <alignment horizontal="center" vertical="center"/>
    </xf>
    <xf numFmtId="0" fontId="0" fillId="0" borderId="30" xfId="0" applyBorder="1">
      <alignment vertical="center"/>
    </xf>
    <xf numFmtId="0" fontId="0" fillId="0" borderId="33" xfId="0" applyNumberFormat="1" applyBorder="1" applyAlignment="1" applyProtection="1">
      <alignment horizontal="center" vertical="center"/>
    </xf>
    <xf numFmtId="0" fontId="0" fillId="24" borderId="2" xfId="0" applyNumberFormat="1" applyFill="1" applyBorder="1" applyAlignment="1" applyProtection="1">
      <alignment horizontal="center" vertical="center"/>
    </xf>
    <xf numFmtId="0" fontId="0" fillId="23" borderId="2" xfId="0" applyFill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31" fillId="15" borderId="2" xfId="0" applyFont="1" applyFill="1" applyBorder="1">
      <alignment vertical="center"/>
    </xf>
    <xf numFmtId="0" fontId="0" fillId="0" borderId="1" xfId="0" applyNumberFormat="1" applyFill="1" applyBorder="1" applyAlignment="1">
      <alignment horizontal="center" vertical="center"/>
    </xf>
    <xf numFmtId="0" fontId="31" fillId="15" borderId="25" xfId="0" applyNumberFormat="1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 applyAlignment="1">
      <alignment horizontal="right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29" xfId="0" applyNumberFormat="1" applyFill="1" applyBorder="1" applyAlignment="1" applyProtection="1">
      <alignment horizontal="center" vertical="center"/>
    </xf>
    <xf numFmtId="0" fontId="0" fillId="0" borderId="3" xfId="0" applyNumberFormat="1" applyFill="1" applyBorder="1" applyAlignment="1" applyProtection="1">
      <alignment horizontal="center" vertical="center"/>
    </xf>
    <xf numFmtId="0" fontId="0" fillId="24" borderId="4" xfId="0" applyNumberFormat="1" applyFill="1" applyBorder="1" applyAlignment="1" applyProtection="1">
      <alignment horizontal="center" vertical="center"/>
    </xf>
    <xf numFmtId="0" fontId="0" fillId="0" borderId="34" xfId="0" applyNumberFormat="1" applyFill="1" applyBorder="1">
      <alignment vertical="center"/>
    </xf>
    <xf numFmtId="0" fontId="0" fillId="24" borderId="2" xfId="0" applyNumberFormat="1" applyFill="1" applyBorder="1" applyProtection="1">
      <alignment vertical="center"/>
    </xf>
    <xf numFmtId="0" fontId="0" fillId="24" borderId="20" xfId="0" applyNumberFormat="1" applyFill="1" applyBorder="1" applyProtection="1">
      <alignment vertical="center"/>
    </xf>
    <xf numFmtId="0" fontId="0" fillId="0" borderId="6" xfId="0" applyNumberFormat="1" applyFill="1" applyBorder="1" applyAlignment="1">
      <alignment vertical="center"/>
    </xf>
    <xf numFmtId="0" fontId="0" fillId="0" borderId="35" xfId="0" applyNumberFormat="1" applyFill="1" applyBorder="1" applyAlignment="1">
      <alignment vertical="center"/>
    </xf>
    <xf numFmtId="0" fontId="0" fillId="0" borderId="30" xfId="0" applyNumberFormat="1" applyFill="1" applyBorder="1">
      <alignment vertical="center"/>
    </xf>
    <xf numFmtId="0" fontId="0" fillId="0" borderId="36" xfId="0" applyBorder="1">
      <alignment vertical="center"/>
    </xf>
    <xf numFmtId="0" fontId="0" fillId="23" borderId="5" xfId="0" applyNumberFormat="1" applyFill="1" applyBorder="1" applyAlignment="1" applyProtection="1">
      <alignment horizontal="center" vertical="center"/>
      <protection locked="0"/>
    </xf>
    <xf numFmtId="0" fontId="0" fillId="0" borderId="27" xfId="0" applyNumberFormat="1" applyFill="1" applyBorder="1" applyAlignment="1" applyProtection="1">
      <alignment horizontal="center" vertical="center"/>
      <protection locked="0"/>
    </xf>
    <xf numFmtId="0" fontId="0" fillId="0" borderId="5" xfId="0" applyNumberFormat="1" applyFill="1" applyBorder="1" applyAlignment="1" applyProtection="1">
      <alignment horizontal="center" vertical="center"/>
      <protection locked="0"/>
    </xf>
    <xf numFmtId="0" fontId="0" fillId="23" borderId="25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23" borderId="2" xfId="0" applyNumberFormat="1" applyFill="1" applyBorder="1" applyAlignment="1" applyProtection="1">
      <alignment horizontal="center" vertical="center"/>
      <protection locked="0"/>
    </xf>
    <xf numFmtId="0" fontId="0" fillId="0" borderId="3" xfId="0" applyNumberFormat="1" applyFill="1" applyBorder="1" applyAlignment="1" applyProtection="1">
      <alignment horizontal="center" vertical="center"/>
      <protection locked="0"/>
    </xf>
    <xf numFmtId="0" fontId="0" fillId="23" borderId="37" xfId="0" applyFill="1" applyBorder="1" applyAlignment="1">
      <alignment horizontal="center" vertical="center"/>
    </xf>
    <xf numFmtId="0" fontId="0" fillId="23" borderId="2" xfId="0" applyNumberForma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3" borderId="0" xfId="0" applyFont="1" applyFill="1" applyBorder="1">
      <alignment vertical="center"/>
    </xf>
    <xf numFmtId="0" fontId="2" fillId="3" borderId="38" xfId="0" applyFont="1" applyFill="1" applyBorder="1">
      <alignment vertical="center"/>
    </xf>
    <xf numFmtId="0" fontId="0" fillId="0" borderId="39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23" borderId="41" xfId="0" applyFill="1" applyBorder="1" applyAlignment="1">
      <alignment horizontal="center" vertical="center"/>
    </xf>
    <xf numFmtId="0" fontId="0" fillId="23" borderId="40" xfId="0" applyFill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left" vertical="center"/>
    </xf>
    <xf numFmtId="0" fontId="0" fillId="6" borderId="0" xfId="0" applyFill="1" applyAlignment="1">
      <alignment horizontal="right" vertical="center"/>
    </xf>
    <xf numFmtId="0" fontId="0" fillId="6" borderId="0" xfId="0" applyFill="1" applyAlignment="1">
      <alignment horizontal="left" vertical="center"/>
    </xf>
    <xf numFmtId="0" fontId="32" fillId="13" borderId="2" xfId="0" applyFont="1" applyFill="1" applyBorder="1" applyAlignment="1">
      <alignment horizontal="right" vertical="center"/>
    </xf>
    <xf numFmtId="0" fontId="32" fillId="13" borderId="43" xfId="0" applyFont="1" applyFill="1" applyBorder="1" applyAlignment="1">
      <alignment horizontal="right" vertical="center"/>
    </xf>
    <xf numFmtId="0" fontId="32" fillId="13" borderId="43" xfId="0" applyFont="1" applyFill="1" applyBorder="1">
      <alignment vertical="center"/>
    </xf>
    <xf numFmtId="0" fontId="32" fillId="13" borderId="43" xfId="0" applyFont="1" applyFill="1" applyBorder="1" applyAlignment="1">
      <alignment horizontal="left" vertical="center"/>
    </xf>
    <xf numFmtId="0" fontId="0" fillId="15" borderId="20" xfId="0" applyFill="1" applyBorder="1">
      <alignment vertical="center"/>
    </xf>
    <xf numFmtId="0" fontId="0" fillId="15" borderId="2" xfId="0" applyFill="1" applyBorder="1">
      <alignment vertical="center"/>
    </xf>
    <xf numFmtId="0" fontId="33" fillId="0" borderId="35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right" vertical="center"/>
    </xf>
    <xf numFmtId="0" fontId="0" fillId="5" borderId="6" xfId="0" applyFill="1" applyBorder="1" applyAlignment="1">
      <alignment horizontal="right" vertical="center"/>
    </xf>
    <xf numFmtId="0" fontId="0" fillId="5" borderId="27" xfId="0" applyNumberFormat="1" applyFill="1" applyBorder="1" applyAlignment="1">
      <alignment horizontal="left" vertical="center"/>
    </xf>
    <xf numFmtId="0" fontId="0" fillId="5" borderId="5" xfId="0" applyNumberFormat="1" applyFill="1" applyBorder="1" applyAlignment="1">
      <alignment horizontal="left" vertical="center"/>
    </xf>
    <xf numFmtId="0" fontId="0" fillId="5" borderId="6" xfId="0" applyNumberForma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24" borderId="1" xfId="0" applyNumberFormat="1" applyFont="1" applyFill="1" applyBorder="1" applyAlignment="1" applyProtection="1">
      <alignment horizontal="center" vertical="center"/>
      <protection locked="0"/>
    </xf>
    <xf numFmtId="0" fontId="0" fillId="23" borderId="1" xfId="0" applyFont="1" applyFill="1" applyBorder="1" applyAlignment="1">
      <alignment horizontal="center" vertical="center"/>
    </xf>
    <xf numFmtId="0" fontId="0" fillId="23" borderId="1" xfId="0" applyFont="1" applyFill="1" applyBorder="1">
      <alignment vertical="center"/>
    </xf>
    <xf numFmtId="0" fontId="0" fillId="0" borderId="3" xfId="0" applyBorder="1" applyAlignment="1">
      <alignment horizontal="left" vertical="center"/>
    </xf>
    <xf numFmtId="0" fontId="0" fillId="24" borderId="3" xfId="0" applyNumberFormat="1" applyFill="1" applyBorder="1" applyAlignment="1" applyProtection="1">
      <alignment horizontal="center" vertical="center"/>
      <protection locked="0"/>
    </xf>
    <xf numFmtId="0" fontId="0" fillId="0" borderId="3" xfId="0" applyBorder="1">
      <alignment vertical="center"/>
    </xf>
    <xf numFmtId="0" fontId="0" fillId="3" borderId="1" xfId="0" applyFill="1" applyBorder="1">
      <alignment vertical="center"/>
    </xf>
    <xf numFmtId="0" fontId="0" fillId="25" borderId="1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0" fillId="25" borderId="5" xfId="0" applyFill="1" applyBorder="1">
      <alignment vertical="center"/>
    </xf>
    <xf numFmtId="0" fontId="0" fillId="3" borderId="2" xfId="0" applyFill="1" applyBorder="1">
      <alignment vertical="center"/>
    </xf>
    <xf numFmtId="0" fontId="0" fillId="13" borderId="1" xfId="0" applyFill="1" applyBorder="1">
      <alignment vertical="center"/>
    </xf>
    <xf numFmtId="0" fontId="0" fillId="25" borderId="1" xfId="0" applyFill="1" applyBorder="1" applyAlignment="1">
      <alignment horizontal="right" vertical="center"/>
    </xf>
    <xf numFmtId="0" fontId="34" fillId="25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8" borderId="1" xfId="0" applyFont="1" applyFill="1" applyBorder="1" applyAlignment="1">
      <alignment horizontal="center" vertical="center"/>
    </xf>
    <xf numFmtId="10" fontId="0" fillId="18" borderId="1" xfId="0" applyNumberFormat="1" applyFont="1" applyFill="1" applyBorder="1" applyAlignment="1">
      <alignment horizontal="center" vertical="center"/>
    </xf>
    <xf numFmtId="0" fontId="35" fillId="26" borderId="4" xfId="0" applyFont="1" applyFill="1" applyBorder="1" applyAlignment="1">
      <alignment horizontal="center" vertical="center" shrinkToFit="1"/>
    </xf>
    <xf numFmtId="0" fontId="35" fillId="26" borderId="38" xfId="0" applyFont="1" applyFill="1" applyBorder="1" applyAlignment="1">
      <alignment horizontal="center" vertical="center" shrinkToFit="1"/>
    </xf>
    <xf numFmtId="0" fontId="35" fillId="26" borderId="6" xfId="0" applyFont="1" applyFill="1" applyBorder="1" applyAlignment="1">
      <alignment horizontal="center" vertical="center" shrinkToFit="1"/>
    </xf>
    <xf numFmtId="0" fontId="35" fillId="26" borderId="35" xfId="0" applyFont="1" applyFill="1" applyBorder="1" applyAlignment="1">
      <alignment horizontal="center" vertical="center" shrinkToFit="1"/>
    </xf>
    <xf numFmtId="0" fontId="36" fillId="7" borderId="4" xfId="0" applyFont="1" applyFill="1" applyBorder="1" applyAlignment="1">
      <alignment horizontal="center" vertical="center" shrinkToFit="1"/>
    </xf>
    <xf numFmtId="0" fontId="36" fillId="7" borderId="38" xfId="0" applyFont="1" applyFill="1" applyBorder="1" applyAlignment="1">
      <alignment horizontal="center" vertical="center" shrinkToFit="1"/>
    </xf>
    <xf numFmtId="0" fontId="36" fillId="7" borderId="6" xfId="0" applyFont="1" applyFill="1" applyBorder="1" applyAlignment="1">
      <alignment horizontal="center" vertical="center" shrinkToFit="1"/>
    </xf>
    <xf numFmtId="0" fontId="36" fillId="7" borderId="35" xfId="0" applyFont="1" applyFill="1" applyBorder="1" applyAlignment="1">
      <alignment horizontal="center" vertical="center" shrinkToFit="1"/>
    </xf>
    <xf numFmtId="0" fontId="37" fillId="0" borderId="0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1" fillId="15" borderId="1" xfId="0" applyFont="1" applyFill="1" applyBorder="1" applyAlignment="1">
      <alignment horizontal="center" vertical="center"/>
    </xf>
    <xf numFmtId="0" fontId="31" fillId="15" borderId="2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28" fillId="15" borderId="6" xfId="0" applyNumberFormat="1" applyFont="1" applyFill="1" applyBorder="1">
      <alignment vertical="center"/>
    </xf>
    <xf numFmtId="0" fontId="38" fillId="15" borderId="0" xfId="0" applyNumberFormat="1" applyFont="1" applyFill="1" applyBorder="1">
      <alignment vertical="center"/>
    </xf>
    <xf numFmtId="0" fontId="0" fillId="23" borderId="43" xfId="0" applyFill="1" applyBorder="1" applyAlignment="1">
      <alignment horizontal="right" vertical="center"/>
    </xf>
    <xf numFmtId="0" fontId="28" fillId="15" borderId="2" xfId="0" applyFont="1" applyFill="1" applyBorder="1">
      <alignment vertical="center"/>
    </xf>
    <xf numFmtId="0" fontId="38" fillId="15" borderId="43" xfId="0" applyNumberFormat="1" applyFont="1" applyFill="1" applyBorder="1">
      <alignment vertical="center"/>
    </xf>
    <xf numFmtId="0" fontId="0" fillId="24" borderId="5" xfId="0" applyNumberFormat="1" applyFill="1" applyBorder="1" applyAlignment="1" applyProtection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1" fillId="15" borderId="1" xfId="0" applyFont="1" applyFill="1" applyBorder="1">
      <alignment vertical="center"/>
    </xf>
    <xf numFmtId="0" fontId="0" fillId="0" borderId="38" xfId="0" applyBorder="1" applyAlignment="1">
      <alignment horizontal="center" vertical="center"/>
    </xf>
    <xf numFmtId="0" fontId="0" fillId="15" borderId="4" xfId="0" applyFont="1" applyFill="1" applyBorder="1">
      <alignment vertical="center"/>
    </xf>
    <xf numFmtId="0" fontId="31" fillId="15" borderId="38" xfId="0" applyFont="1" applyFill="1" applyBorder="1">
      <alignment vertical="center"/>
    </xf>
    <xf numFmtId="0" fontId="0" fillId="0" borderId="43" xfId="0" applyBorder="1" applyAlignment="1">
      <alignment horizontal="center" vertical="center"/>
    </xf>
    <xf numFmtId="0" fontId="0" fillId="15" borderId="43" xfId="0" applyFill="1" applyBorder="1">
      <alignment vertical="center"/>
    </xf>
    <xf numFmtId="0" fontId="0" fillId="0" borderId="1" xfId="0" applyNumberFormat="1" applyFill="1" applyBorder="1" applyAlignment="1" applyProtection="1">
      <alignment horizontal="center" vertical="center"/>
    </xf>
    <xf numFmtId="0" fontId="0" fillId="0" borderId="44" xfId="0" applyNumberFormat="1" applyBorder="1" applyAlignment="1" applyProtection="1">
      <alignment horizontal="center" vertical="center"/>
    </xf>
    <xf numFmtId="0" fontId="0" fillId="24" borderId="20" xfId="0" applyNumberFormat="1" applyFill="1" applyBorder="1">
      <alignment vertical="center"/>
    </xf>
    <xf numFmtId="0" fontId="0" fillId="0" borderId="32" xfId="0" applyBorder="1" applyAlignment="1">
      <alignment horizontal="center" vertical="center"/>
    </xf>
    <xf numFmtId="0" fontId="0" fillId="15" borderId="43" xfId="0" applyNumberFormat="1" applyFill="1" applyBorder="1" applyAlignment="1">
      <alignment horizontal="center" vertical="center"/>
    </xf>
    <xf numFmtId="0" fontId="0" fillId="15" borderId="34" xfId="0" applyNumberForma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4" xfId="0" applyNumberFormat="1" applyFill="1" applyBorder="1" applyAlignment="1">
      <alignment horizontal="center" vertical="center"/>
    </xf>
    <xf numFmtId="0" fontId="31" fillId="15" borderId="5" xfId="0" applyNumberFormat="1" applyFont="1" applyFill="1" applyBorder="1" applyAlignment="1">
      <alignment horizontal="center" vertical="center"/>
    </xf>
    <xf numFmtId="0" fontId="31" fillId="15" borderId="28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5" borderId="25" xfId="0" applyNumberForma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45" xfId="0" applyFill="1" applyBorder="1" applyAlignment="1">
      <alignment horizontal="center" vertical="center"/>
    </xf>
    <xf numFmtId="0" fontId="31" fillId="15" borderId="1" xfId="0" applyFont="1" applyFill="1" applyBorder="1" applyAlignment="1">
      <alignment vertical="center"/>
    </xf>
    <xf numFmtId="0" fontId="28" fillId="3" borderId="0" xfId="0" applyFont="1" applyFill="1" applyBorder="1">
      <alignment vertical="center"/>
    </xf>
    <xf numFmtId="0" fontId="0" fillId="5" borderId="35" xfId="0" applyNumberFormat="1" applyFill="1" applyBorder="1" applyAlignment="1">
      <alignment horizontal="right" vertical="center"/>
    </xf>
    <xf numFmtId="0" fontId="0" fillId="5" borderId="35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23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2" borderId="0" xfId="0" applyFill="1" applyBorder="1" applyAlignment="1">
      <alignment horizontal="center" vertical="center"/>
    </xf>
    <xf numFmtId="9" fontId="0" fillId="17" borderId="1" xfId="0" applyNumberFormat="1" applyFill="1" applyBorder="1" applyAlignment="1">
      <alignment horizontal="center" vertical="center"/>
    </xf>
    <xf numFmtId="0" fontId="0" fillId="0" borderId="0" xfId="0" applyNumberFormat="1" applyFill="1" applyAlignment="1" applyProtection="1">
      <alignment horizontal="center" vertical="center"/>
      <protection locked="0"/>
    </xf>
    <xf numFmtId="10" fontId="0" fillId="18" borderId="2" xfId="0" applyNumberFormat="1" applyFont="1" applyFill="1" applyBorder="1" applyAlignment="1">
      <alignment horizontal="center" vertical="center"/>
    </xf>
    <xf numFmtId="10" fontId="0" fillId="25" borderId="1" xfId="0" applyNumberFormat="1" applyFill="1" applyBorder="1" applyAlignment="1">
      <alignment horizontal="center" vertical="center"/>
    </xf>
    <xf numFmtId="0" fontId="35" fillId="26" borderId="32" xfId="0" applyFont="1" applyFill="1" applyBorder="1" applyAlignment="1">
      <alignment horizontal="center" vertical="center" shrinkToFit="1"/>
    </xf>
    <xf numFmtId="0" fontId="39" fillId="27" borderId="4" xfId="0" applyFont="1" applyFill="1" applyBorder="1" applyAlignment="1">
      <alignment horizontal="center" vertical="center"/>
    </xf>
    <xf numFmtId="0" fontId="39" fillId="27" borderId="38" xfId="0" applyFont="1" applyFill="1" applyBorder="1" applyAlignment="1">
      <alignment horizontal="center" vertical="center"/>
    </xf>
    <xf numFmtId="0" fontId="35" fillId="26" borderId="27" xfId="0" applyFont="1" applyFill="1" applyBorder="1" applyAlignment="1">
      <alignment horizontal="center" vertical="center" shrinkToFit="1"/>
    </xf>
    <xf numFmtId="0" fontId="39" fillId="27" borderId="6" xfId="0" applyFont="1" applyFill="1" applyBorder="1" applyAlignment="1">
      <alignment horizontal="center" vertical="center"/>
    </xf>
    <xf numFmtId="0" fontId="39" fillId="27" borderId="35" xfId="0" applyFont="1" applyFill="1" applyBorder="1" applyAlignment="1">
      <alignment horizontal="center" vertical="center"/>
    </xf>
    <xf numFmtId="0" fontId="36" fillId="7" borderId="32" xfId="0" applyFont="1" applyFill="1" applyBorder="1" applyAlignment="1">
      <alignment horizontal="center" vertical="center" shrinkToFit="1"/>
    </xf>
    <xf numFmtId="0" fontId="39" fillId="28" borderId="38" xfId="0" applyNumberFormat="1" applyFont="1" applyFill="1" applyBorder="1" applyAlignment="1">
      <alignment horizontal="center" vertical="center" wrapText="1"/>
    </xf>
    <xf numFmtId="0" fontId="36" fillId="7" borderId="27" xfId="0" applyFont="1" applyFill="1" applyBorder="1" applyAlignment="1">
      <alignment horizontal="center" vertical="center" shrinkToFit="1"/>
    </xf>
    <xf numFmtId="0" fontId="39" fillId="28" borderId="35" xfId="0" applyNumberFormat="1" applyFont="1" applyFill="1" applyBorder="1" applyAlignment="1">
      <alignment horizontal="center" vertical="center" wrapText="1"/>
    </xf>
    <xf numFmtId="0" fontId="39" fillId="27" borderId="4" xfId="0" applyNumberFormat="1" applyFont="1" applyFill="1" applyBorder="1" applyAlignment="1">
      <alignment horizontal="center" vertical="center" wrapText="1"/>
    </xf>
    <xf numFmtId="0" fontId="39" fillId="27" borderId="38" xfId="0" applyNumberFormat="1" applyFont="1" applyFill="1" applyBorder="1" applyAlignment="1">
      <alignment horizontal="center" vertical="center" wrapText="1"/>
    </xf>
    <xf numFmtId="0" fontId="39" fillId="27" borderId="6" xfId="0" applyNumberFormat="1" applyFont="1" applyFill="1" applyBorder="1" applyAlignment="1">
      <alignment horizontal="center" vertical="center" wrapText="1"/>
    </xf>
    <xf numFmtId="0" fontId="39" fillId="27" borderId="35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horizontal="right" vertical="center"/>
    </xf>
    <xf numFmtId="0" fontId="0" fillId="0" borderId="1" xfId="0" applyFont="1" applyBorder="1">
      <alignment vertical="center"/>
    </xf>
    <xf numFmtId="0" fontId="0" fillId="3" borderId="1" xfId="0" applyNumberFormat="1" applyFont="1" applyFill="1" applyBorder="1" applyAlignment="1" applyProtection="1">
      <alignment horizontal="center" vertical="center"/>
    </xf>
    <xf numFmtId="0" fontId="31" fillId="15" borderId="1" xfId="0" applyNumberFormat="1" applyFont="1" applyFill="1" applyBorder="1" applyProtection="1">
      <alignment vertical="center"/>
    </xf>
    <xf numFmtId="0" fontId="0" fillId="24" borderId="0" xfId="0" applyNumberFormat="1" applyFont="1" applyFill="1" applyProtection="1">
      <alignment vertical="center"/>
    </xf>
    <xf numFmtId="0" fontId="0" fillId="24" borderId="30" xfId="0" applyNumberFormat="1" applyFont="1" applyFill="1" applyBorder="1" applyProtection="1">
      <alignment vertical="center"/>
    </xf>
    <xf numFmtId="10" fontId="0" fillId="23" borderId="1" xfId="0" applyNumberFormat="1" applyFill="1" applyBorder="1" applyAlignment="1">
      <alignment horizontal="center" vertical="center"/>
    </xf>
    <xf numFmtId="10" fontId="0" fillId="23" borderId="25" xfId="0" applyNumberForma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0" fillId="0" borderId="25" xfId="0" applyNumberFormat="1" applyFill="1" applyBorder="1">
      <alignment vertical="center"/>
    </xf>
    <xf numFmtId="0" fontId="0" fillId="0" borderId="20" xfId="0" applyNumberFormat="1" applyFill="1" applyBorder="1" applyAlignment="1" applyProtection="1">
      <alignment horizontal="center" vertical="center"/>
      <protection locked="0"/>
    </xf>
    <xf numFmtId="0" fontId="0" fillId="0" borderId="1" xfId="0" applyNumberFormat="1" applyFill="1" applyBorder="1" applyAlignment="1" applyProtection="1">
      <alignment horizontal="center" vertical="center"/>
      <protection locked="0"/>
    </xf>
    <xf numFmtId="0" fontId="0" fillId="23" borderId="25" xfId="0" applyNumberFormat="1" applyFill="1" applyBorder="1" applyAlignment="1">
      <alignment horizontal="center" vertical="center"/>
    </xf>
    <xf numFmtId="0" fontId="0" fillId="0" borderId="38" xfId="0" applyNumberFormat="1" applyBorder="1">
      <alignment vertical="center"/>
    </xf>
    <xf numFmtId="0" fontId="28" fillId="3" borderId="46" xfId="0" applyNumberFormat="1" applyFont="1" applyFill="1" applyBorder="1">
      <alignment vertical="center"/>
    </xf>
    <xf numFmtId="0" fontId="0" fillId="0" borderId="47" xfId="0" applyBorder="1">
      <alignment vertical="center"/>
    </xf>
    <xf numFmtId="0" fontId="0" fillId="5" borderId="27" xfId="0" applyNumberFormat="1" applyFill="1" applyBorder="1" applyAlignment="1">
      <alignment horizontal="center" vertical="center"/>
    </xf>
    <xf numFmtId="0" fontId="0" fillId="24" borderId="5" xfId="0" applyNumberFormat="1" applyFont="1" applyFill="1" applyBorder="1" applyAlignment="1" applyProtection="1">
      <alignment horizontal="center" vertical="center"/>
      <protection locked="0"/>
    </xf>
    <xf numFmtId="0" fontId="0" fillId="23" borderId="5" xfId="0" applyFill="1" applyBorder="1">
      <alignment vertical="center"/>
    </xf>
    <xf numFmtId="0" fontId="0" fillId="23" borderId="1" xfId="0" applyFill="1" applyBorder="1">
      <alignment vertical="center"/>
    </xf>
    <xf numFmtId="0" fontId="0" fillId="5" borderId="2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23" borderId="20" xfId="0" applyFill="1" applyBorder="1" applyAlignment="1">
      <alignment horizontal="center" vertical="center"/>
    </xf>
    <xf numFmtId="0" fontId="34" fillId="3" borderId="0" xfId="0" applyFont="1" applyFill="1">
      <alignment vertical="center"/>
    </xf>
    <xf numFmtId="0" fontId="0" fillId="3" borderId="1" xfId="0" applyFont="1" applyFill="1" applyBorder="1">
      <alignment vertical="center"/>
    </xf>
    <xf numFmtId="0" fontId="5" fillId="21" borderId="0" xfId="0" applyFont="1" applyFill="1" applyBorder="1" applyAlignment="1">
      <alignment horizontal="center" vertical="center" wrapText="1"/>
    </xf>
    <xf numFmtId="0" fontId="39" fillId="27" borderId="32" xfId="0" applyFont="1" applyFill="1" applyBorder="1" applyAlignment="1">
      <alignment horizontal="center" vertical="center"/>
    </xf>
    <xf numFmtId="0" fontId="39" fillId="29" borderId="0" xfId="0" applyFont="1" applyFill="1" applyBorder="1" applyAlignment="1">
      <alignment vertical="center"/>
    </xf>
    <xf numFmtId="0" fontId="39" fillId="27" borderId="27" xfId="0" applyFont="1" applyFill="1" applyBorder="1" applyAlignment="1">
      <alignment horizontal="center" vertical="center"/>
    </xf>
    <xf numFmtId="0" fontId="39" fillId="28" borderId="32" xfId="0" applyNumberFormat="1" applyFont="1" applyFill="1" applyBorder="1" applyAlignment="1">
      <alignment horizontal="center" vertical="center" wrapText="1"/>
    </xf>
    <xf numFmtId="0" fontId="39" fillId="29" borderId="0" xfId="0" applyNumberFormat="1" applyFont="1" applyFill="1" applyBorder="1" applyAlignment="1">
      <alignment vertical="center" wrapText="1"/>
    </xf>
    <xf numFmtId="0" fontId="39" fillId="28" borderId="27" xfId="0" applyNumberFormat="1" applyFont="1" applyFill="1" applyBorder="1" applyAlignment="1">
      <alignment horizontal="center" vertical="center" wrapText="1"/>
    </xf>
    <xf numFmtId="0" fontId="39" fillId="27" borderId="32" xfId="0" applyNumberFormat="1" applyFont="1" applyFill="1" applyBorder="1" applyAlignment="1">
      <alignment horizontal="center" vertical="center" wrapText="1"/>
    </xf>
    <xf numFmtId="0" fontId="39" fillId="27" borderId="27" xfId="0" applyNumberFormat="1" applyFont="1" applyFill="1" applyBorder="1" applyAlignment="1">
      <alignment horizontal="center" vertical="center" wrapText="1"/>
    </xf>
    <xf numFmtId="0" fontId="0" fillId="25" borderId="0" xfId="0" applyFill="1">
      <alignment vertical="center"/>
    </xf>
    <xf numFmtId="0" fontId="0" fillId="8" borderId="4" xfId="0" applyFont="1" applyFill="1" applyBorder="1">
      <alignment vertical="center"/>
    </xf>
    <xf numFmtId="0" fontId="0" fillId="8" borderId="38" xfId="0" applyFill="1" applyBorder="1">
      <alignment vertical="center"/>
    </xf>
    <xf numFmtId="0" fontId="0" fillId="8" borderId="48" xfId="0" applyFill="1" applyBorder="1">
      <alignment vertical="center"/>
    </xf>
    <xf numFmtId="0" fontId="0" fillId="8" borderId="6" xfId="0" applyFill="1" applyBorder="1">
      <alignment vertical="center"/>
    </xf>
    <xf numFmtId="0" fontId="0" fillId="8" borderId="0" xfId="0" applyFill="1" applyBorder="1">
      <alignment vertical="center"/>
    </xf>
    <xf numFmtId="0" fontId="0" fillId="5" borderId="3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25" borderId="4" xfId="0" applyFill="1" applyBorder="1" applyAlignment="1">
      <alignment horizontal="center" vertical="center"/>
    </xf>
    <xf numFmtId="0" fontId="0" fillId="25" borderId="38" xfId="0" applyFill="1" applyBorder="1" applyAlignment="1">
      <alignment horizontal="center" vertical="center"/>
    </xf>
    <xf numFmtId="0" fontId="0" fillId="5" borderId="43" xfId="0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/>
    </xf>
    <xf numFmtId="0" fontId="0" fillId="0" borderId="48" xfId="0" applyBorder="1">
      <alignment vertical="center"/>
    </xf>
    <xf numFmtId="0" fontId="0" fillId="15" borderId="0" xfId="0" applyFill="1" applyBorder="1" applyAlignment="1">
      <alignment horizontal="center" vertical="center"/>
    </xf>
    <xf numFmtId="0" fontId="0" fillId="14" borderId="48" xfId="0" applyFill="1" applyBorder="1" applyAlignment="1">
      <alignment horizontal="right" vertical="center"/>
    </xf>
    <xf numFmtId="0" fontId="0" fillId="14" borderId="6" xfId="0" applyFill="1" applyBorder="1" applyAlignment="1">
      <alignment horizontal="right" vertical="center"/>
    </xf>
    <xf numFmtId="0" fontId="0" fillId="0" borderId="35" xfId="0" applyBorder="1" applyAlignment="1">
      <alignment horizontal="center" vertical="center"/>
    </xf>
    <xf numFmtId="0" fontId="0" fillId="17" borderId="4" xfId="0" applyFill="1" applyBorder="1">
      <alignment vertical="center"/>
    </xf>
    <xf numFmtId="0" fontId="0" fillId="17" borderId="38" xfId="0" applyFill="1" applyBorder="1">
      <alignment vertical="center"/>
    </xf>
    <xf numFmtId="0" fontId="0" fillId="17" borderId="48" xfId="0" applyFill="1" applyBorder="1">
      <alignment vertical="center"/>
    </xf>
    <xf numFmtId="0" fontId="0" fillId="17" borderId="6" xfId="0" applyFill="1" applyBorder="1">
      <alignment vertical="center"/>
    </xf>
    <xf numFmtId="0" fontId="0" fillId="17" borderId="35" xfId="0" applyFill="1" applyBorder="1">
      <alignment vertical="center"/>
    </xf>
    <xf numFmtId="0" fontId="0" fillId="9" borderId="2" xfId="0" applyFill="1" applyBorder="1" applyAlignment="1">
      <alignment horizontal="center" vertical="center"/>
    </xf>
    <xf numFmtId="0" fontId="0" fillId="9" borderId="48" xfId="0" applyFill="1" applyBorder="1">
      <alignment vertical="center"/>
    </xf>
    <xf numFmtId="0" fontId="0" fillId="8" borderId="32" xfId="0" applyFill="1" applyBorder="1">
      <alignment vertical="center"/>
    </xf>
    <xf numFmtId="0" fontId="0" fillId="8" borderId="49" xfId="0" applyFill="1" applyBorder="1">
      <alignment vertical="center"/>
    </xf>
    <xf numFmtId="0" fontId="0" fillId="8" borderId="35" xfId="0" applyFill="1" applyBorder="1">
      <alignment vertical="center"/>
    </xf>
    <xf numFmtId="0" fontId="0" fillId="8" borderId="27" xfId="0" applyFill="1" applyBorder="1">
      <alignment vertical="center"/>
    </xf>
    <xf numFmtId="0" fontId="0" fillId="5" borderId="38" xfId="0" applyFill="1" applyBorder="1" applyAlignment="1">
      <alignment horizontal="center" vertical="center"/>
    </xf>
    <xf numFmtId="0" fontId="0" fillId="17" borderId="32" xfId="0" applyFill="1" applyBorder="1">
      <alignment vertical="center"/>
    </xf>
    <xf numFmtId="0" fontId="0" fillId="17" borderId="49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48" xfId="0" applyFill="1" applyBorder="1">
      <alignment vertical="center"/>
    </xf>
    <xf numFmtId="0" fontId="0" fillId="17" borderId="27" xfId="0" applyFill="1" applyBorder="1">
      <alignment vertical="center"/>
    </xf>
    <xf numFmtId="0" fontId="0" fillId="0" borderId="6" xfId="0" applyFill="1" applyBorder="1">
      <alignment vertical="center"/>
    </xf>
    <xf numFmtId="0" fontId="0" fillId="9" borderId="20" xfId="0" applyFill="1" applyBorder="1" applyAlignment="1">
      <alignment horizontal="center" vertical="center"/>
    </xf>
    <xf numFmtId="0" fontId="0" fillId="9" borderId="1" xfId="0" applyFont="1" applyFill="1" applyBorder="1" applyAlignment="1">
      <alignment vertical="center"/>
    </xf>
    <xf numFmtId="0" fontId="0" fillId="9" borderId="31" xfId="0" applyFill="1" applyBorder="1">
      <alignment vertical="center"/>
    </xf>
    <xf numFmtId="0" fontId="0" fillId="9" borderId="3" xfId="0" applyFill="1" applyBorder="1">
      <alignment vertical="center"/>
    </xf>
    <xf numFmtId="0" fontId="41" fillId="0" borderId="0" xfId="0" applyFont="1" applyFill="1" applyBorder="1" applyAlignment="1">
      <alignment horizontal="center" vertical="center" wrapText="1"/>
    </xf>
    <xf numFmtId="0" fontId="0" fillId="18" borderId="0" xfId="0" applyFont="1" applyFill="1">
      <alignment vertical="center"/>
    </xf>
    <xf numFmtId="0" fontId="0" fillId="30" borderId="0" xfId="0" applyFill="1">
      <alignment vertical="center"/>
    </xf>
    <xf numFmtId="0" fontId="0" fillId="17" borderId="2" xfId="0" applyFill="1" applyBorder="1">
      <alignment vertical="center"/>
    </xf>
    <xf numFmtId="0" fontId="0" fillId="17" borderId="1" xfId="0" applyFill="1" applyBorder="1">
      <alignment vertical="center"/>
    </xf>
    <xf numFmtId="0" fontId="0" fillId="0" borderId="32" xfId="0" applyFill="1" applyBorder="1">
      <alignment vertical="center"/>
    </xf>
    <xf numFmtId="0" fontId="0" fillId="0" borderId="49" xfId="0" applyFill="1" applyBorder="1">
      <alignment vertical="center"/>
    </xf>
    <xf numFmtId="0" fontId="0" fillId="17" borderId="0" xfId="0" applyFill="1" applyBorder="1">
      <alignment vertical="center"/>
    </xf>
    <xf numFmtId="0" fontId="0" fillId="0" borderId="27" xfId="0" applyFill="1" applyBorder="1">
      <alignment vertical="center"/>
    </xf>
    <xf numFmtId="0" fontId="0" fillId="2" borderId="0" xfId="0" applyFill="1">
      <alignment vertical="center"/>
    </xf>
    <xf numFmtId="0" fontId="0" fillId="5" borderId="32" xfId="0" applyFill="1" applyBorder="1" applyAlignment="1">
      <alignment horizontal="center" vertical="center"/>
    </xf>
    <xf numFmtId="0" fontId="0" fillId="25" borderId="32" xfId="0" applyFill="1" applyBorder="1" applyAlignment="1">
      <alignment horizontal="center" vertical="center"/>
    </xf>
    <xf numFmtId="0" fontId="0" fillId="11" borderId="4" xfId="0" applyFill="1" applyBorder="1">
      <alignment vertical="center"/>
    </xf>
    <xf numFmtId="0" fontId="0" fillId="11" borderId="38" xfId="0" applyFill="1" applyBorder="1">
      <alignment vertical="center"/>
    </xf>
    <xf numFmtId="0" fontId="0" fillId="11" borderId="38" xfId="0" applyFont="1" applyFill="1" applyBorder="1">
      <alignment vertical="center"/>
    </xf>
    <xf numFmtId="0" fontId="0" fillId="11" borderId="48" xfId="0" applyFill="1" applyBorder="1">
      <alignment vertical="center"/>
    </xf>
    <xf numFmtId="0" fontId="0" fillId="11" borderId="0" xfId="0" applyFill="1" applyBorder="1">
      <alignment vertical="center"/>
    </xf>
    <xf numFmtId="0" fontId="0" fillId="11" borderId="0" xfId="0" applyFont="1" applyFill="1" applyBorder="1">
      <alignment vertical="center"/>
    </xf>
    <xf numFmtId="0" fontId="0" fillId="5" borderId="27" xfId="0" applyFill="1" applyBorder="1" applyAlignment="1">
      <alignment horizontal="center" vertical="center"/>
    </xf>
    <xf numFmtId="0" fontId="0" fillId="11" borderId="6" xfId="0" applyFill="1" applyBorder="1">
      <alignment vertical="center"/>
    </xf>
    <xf numFmtId="0" fontId="0" fillId="11" borderId="35" xfId="0" applyFill="1" applyBorder="1">
      <alignment vertical="center"/>
    </xf>
    <xf numFmtId="0" fontId="0" fillId="11" borderId="35" xfId="0" applyFont="1" applyFill="1" applyBorder="1">
      <alignment vertical="center"/>
    </xf>
    <xf numFmtId="0" fontId="0" fillId="15" borderId="49" xfId="0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31" borderId="0" xfId="0" applyFill="1">
      <alignment vertical="center"/>
    </xf>
    <xf numFmtId="0" fontId="0" fillId="11" borderId="32" xfId="0" applyFill="1" applyBorder="1">
      <alignment vertical="center"/>
    </xf>
    <xf numFmtId="0" fontId="0" fillId="11" borderId="49" xfId="0" applyFill="1" applyBorder="1">
      <alignment vertical="center"/>
    </xf>
    <xf numFmtId="0" fontId="0" fillId="11" borderId="27" xfId="0" applyFill="1" applyBorder="1">
      <alignment vertical="center"/>
    </xf>
    <xf numFmtId="0" fontId="0" fillId="22" borderId="0" xfId="0" applyFill="1">
      <alignment vertical="center"/>
    </xf>
    <xf numFmtId="0" fontId="0" fillId="31" borderId="0" xfId="0" applyFill="1" applyAlignment="1">
      <alignment horizontal="center" vertical="center"/>
    </xf>
    <xf numFmtId="0" fontId="0" fillId="0" borderId="0" xfId="0" applyFont="1" applyFill="1">
      <alignment vertical="center"/>
    </xf>
    <xf numFmtId="0" fontId="32" fillId="0" borderId="0" xfId="0" applyNumberFormat="1" applyFont="1" applyFill="1" applyAlignment="1">
      <alignment vertical="center" wrapText="1"/>
    </xf>
    <xf numFmtId="0" fontId="32" fillId="0" borderId="1" xfId="0" applyNumberFormat="1" applyFont="1" applyFill="1" applyBorder="1" applyAlignment="1">
      <alignment vertical="center" wrapText="1"/>
    </xf>
    <xf numFmtId="0" fontId="0" fillId="9" borderId="5" xfId="0" applyFill="1" applyBorder="1">
      <alignment vertical="center"/>
    </xf>
    <xf numFmtId="0" fontId="0" fillId="9" borderId="4" xfId="0" applyFill="1" applyBorder="1">
      <alignment vertical="center"/>
    </xf>
    <xf numFmtId="0" fontId="0" fillId="9" borderId="32" xfId="0" applyFill="1" applyBorder="1">
      <alignment vertical="center"/>
    </xf>
    <xf numFmtId="0" fontId="0" fillId="9" borderId="49" xfId="0" applyFill="1" applyBorder="1">
      <alignment vertical="center"/>
    </xf>
    <xf numFmtId="0" fontId="0" fillId="9" borderId="6" xfId="0" applyFill="1" applyBorder="1">
      <alignment vertical="center"/>
    </xf>
    <xf numFmtId="0" fontId="0" fillId="9" borderId="27" xfId="0" applyFill="1" applyBorder="1">
      <alignment vertical="center"/>
    </xf>
    <xf numFmtId="0" fontId="0" fillId="0" borderId="0" xfId="0" applyNumberFormat="1" applyFont="1" applyFill="1" applyAlignment="1"/>
    <xf numFmtId="0" fontId="0" fillId="9" borderId="4" xfId="0" applyFont="1" applyFill="1" applyBorder="1">
      <alignment vertical="center"/>
    </xf>
    <xf numFmtId="0" fontId="0" fillId="9" borderId="38" xfId="0" applyFont="1" applyFill="1" applyBorder="1">
      <alignment vertical="center"/>
    </xf>
    <xf numFmtId="0" fontId="0" fillId="9" borderId="0" xfId="0" applyFont="1" applyFill="1">
      <alignment vertical="center"/>
    </xf>
    <xf numFmtId="0" fontId="0" fillId="9" borderId="48" xfId="0" applyFont="1" applyFill="1" applyBorder="1">
      <alignment vertical="center"/>
    </xf>
    <xf numFmtId="0" fontId="42" fillId="9" borderId="6" xfId="0" applyFont="1" applyFill="1" applyBorder="1">
      <alignment vertical="center"/>
    </xf>
    <xf numFmtId="0" fontId="0" fillId="9" borderId="35" xfId="0" applyFill="1" applyBorder="1">
      <alignment vertical="center"/>
    </xf>
    <xf numFmtId="0" fontId="0" fillId="0" borderId="1" xfId="0" applyFont="1" applyBorder="1" applyProtection="1">
      <alignment vertical="center"/>
      <protection hidden="1"/>
    </xf>
    <xf numFmtId="0" fontId="0" fillId="0" borderId="0" xfId="0" applyFont="1" applyProtection="1">
      <alignment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Radio" checked="Checked" firstButton="1" fmlaLink="$D$13" val="0"/>
</file>

<file path=xl/ctrlProps/ctrlProp10.xml><?xml version="1.0" encoding="utf-8"?>
<formControlPr xmlns="http://schemas.microsoft.com/office/spreadsheetml/2009/9/main" objectType="Spin" dx="16" fmlaLink="$E$7" max="252" page="10" val="0"/>
</file>

<file path=xl/ctrlProps/ctrlProp11.xml><?xml version="1.0" encoding="utf-8"?>
<formControlPr xmlns="http://schemas.microsoft.com/office/spreadsheetml/2009/9/main" objectType="Spin" dx="16" fmlaLink="$E$8" max="252" page="10" val="252"/>
</file>

<file path=xl/ctrlProps/ctrlProp12.xml><?xml version="1.0" encoding="utf-8"?>
<formControlPr xmlns="http://schemas.microsoft.com/office/spreadsheetml/2009/9/main" objectType="Spin" dx="16" fmlaLink="$E$9" max="252" page="10" val="0"/>
</file>

<file path=xl/ctrlProps/ctrlProp13.xml><?xml version="1.0" encoding="utf-8"?>
<formControlPr xmlns="http://schemas.microsoft.com/office/spreadsheetml/2009/9/main" objectType="Spin" dx="16" fmlaLink="$E$10" max="252" page="10" val="6"/>
</file>

<file path=xl/ctrlProps/ctrlProp14.xml><?xml version="1.0" encoding="utf-8"?>
<formControlPr xmlns="http://schemas.microsoft.com/office/spreadsheetml/2009/9/main" objectType="Spin" dx="16" fmlaLink="$E$11" max="252" page="10" val="0"/>
</file>

<file path=xl/ctrlProps/ctrlProp15.xml><?xml version="1.0" encoding="utf-8"?>
<formControlPr xmlns="http://schemas.microsoft.com/office/spreadsheetml/2009/9/main" objectType="Spin" dx="16" fmlaLink="$P$6" max="252" page="10" val="6"/>
</file>

<file path=xl/ctrlProps/ctrlProp16.xml><?xml version="1.0" encoding="utf-8"?>
<formControlPr xmlns="http://schemas.microsoft.com/office/spreadsheetml/2009/9/main" objectType="Spin" dx="16" max="252" page="10" val="2"/>
</file>

<file path=xl/ctrlProps/ctrlProp17.xml><?xml version="1.0" encoding="utf-8"?>
<formControlPr xmlns="http://schemas.microsoft.com/office/spreadsheetml/2009/9/main" objectType="Spin" dx="16" fmlaLink="$P$8" max="252" page="10" val="0"/>
</file>

<file path=xl/ctrlProps/ctrlProp18.xml><?xml version="1.0" encoding="utf-8"?>
<formControlPr xmlns="http://schemas.microsoft.com/office/spreadsheetml/2009/9/main" objectType="Spin" dx="16" fmlaLink="$P$9" max="252" page="10" val="0"/>
</file>

<file path=xl/ctrlProps/ctrlProp19.xml><?xml version="1.0" encoding="utf-8"?>
<formControlPr xmlns="http://schemas.microsoft.com/office/spreadsheetml/2009/9/main" objectType="Spin" dx="16" fmlaLink="$P$10" max="252" page="10" val="0"/>
</file>

<file path=xl/ctrlProps/ctrlProp2.xml><?xml version="1.0" encoding="utf-8"?>
<formControlPr xmlns="http://schemas.microsoft.com/office/spreadsheetml/2009/9/main" objectType="Radio" val="0"/>
</file>

<file path=xl/ctrlProps/ctrlProp20.xml><?xml version="1.0" encoding="utf-8"?>
<formControlPr xmlns="http://schemas.microsoft.com/office/spreadsheetml/2009/9/main" objectType="Spin" dx="16" fmlaLink="$P$11" max="252" page="10" val="252"/>
</file>

<file path=xl/ctrlProps/ctrlProp21.xml><?xml version="1.0" encoding="utf-8"?>
<formControlPr xmlns="http://schemas.microsoft.com/office/spreadsheetml/2009/9/main" objectType="Radio" firstButton="1" fmlaLink="$F$7" val="0"/>
</file>

<file path=xl/ctrlProps/ctrlProp22.xml><?xml version="1.0" encoding="utf-8"?>
<formControlPr xmlns="http://schemas.microsoft.com/office/spreadsheetml/2009/9/main" objectType="Radio" checked="Checked" val="0"/>
</file>

<file path=xl/ctrlProps/ctrlProp23.xml><?xml version="1.0" encoding="utf-8"?>
<formControlPr xmlns="http://schemas.microsoft.com/office/spreadsheetml/2009/9/main" objectType="Radio" val="0"/>
</file>

<file path=xl/ctrlProps/ctrlProp24.xml><?xml version="1.0" encoding="utf-8"?>
<formControlPr xmlns="http://schemas.microsoft.com/office/spreadsheetml/2009/9/main" objectType="Radio" val="0"/>
</file>

<file path=xl/ctrlProps/ctrlProp25.xml><?xml version="1.0" encoding="utf-8"?>
<formControlPr xmlns="http://schemas.microsoft.com/office/spreadsheetml/2009/9/main" objectType="Radio" val="0"/>
</file>

<file path=xl/ctrlProps/ctrlProp26.xml><?xml version="1.0" encoding="utf-8"?>
<formControlPr xmlns="http://schemas.microsoft.com/office/spreadsheetml/2009/9/main" objectType="GBox" val="0"/>
</file>

<file path=xl/ctrlProps/ctrlProp27.xml><?xml version="1.0" encoding="utf-8"?>
<formControlPr xmlns="http://schemas.microsoft.com/office/spreadsheetml/2009/9/main" objectType="Radio" checked="Checked" firstButton="1" fmlaLink="G7" val="0"/>
</file>

<file path=xl/ctrlProps/ctrlProp28.xml><?xml version="1.0" encoding="utf-8"?>
<formControlPr xmlns="http://schemas.microsoft.com/office/spreadsheetml/2009/9/main" objectType="Radio" val="0"/>
</file>

<file path=xl/ctrlProps/ctrlProp29.xml><?xml version="1.0" encoding="utf-8"?>
<formControlPr xmlns="http://schemas.microsoft.com/office/spreadsheetml/2009/9/main" objectType="Radio" val="0"/>
</file>

<file path=xl/ctrlProps/ctrlProp3.xml><?xml version="1.0" encoding="utf-8"?>
<formControlPr xmlns="http://schemas.microsoft.com/office/spreadsheetml/2009/9/main" objectType="Radio" val="0"/>
</file>

<file path=xl/ctrlProps/ctrlProp30.xml><?xml version="1.0" encoding="utf-8"?>
<formControlPr xmlns="http://schemas.microsoft.com/office/spreadsheetml/2009/9/main" objectType="Radio" val="0"/>
</file>

<file path=xl/ctrlProps/ctrlProp31.xml><?xml version="1.0" encoding="utf-8"?>
<formControlPr xmlns="http://schemas.microsoft.com/office/spreadsheetml/2009/9/main" objectType="Radio" val="0"/>
</file>

<file path=xl/ctrlProps/ctrlProp32.xml><?xml version="1.0" encoding="utf-8"?>
<formControlPr xmlns="http://schemas.microsoft.com/office/spreadsheetml/2009/9/main" objectType="GBox" noThreeD="1" val="0"/>
</file>

<file path=xl/ctrlProps/ctrlProp33.xml><?xml version="1.0" encoding="utf-8"?>
<formControlPr xmlns="http://schemas.microsoft.com/office/spreadsheetml/2009/9/main" objectType="Radio" checked="Checked" firstButton="1" fmlaLink="$Q$7" val="0"/>
</file>

<file path=xl/ctrlProps/ctrlProp34.xml><?xml version="1.0" encoding="utf-8"?>
<formControlPr xmlns="http://schemas.microsoft.com/office/spreadsheetml/2009/9/main" objectType="Radio" val="0"/>
</file>

<file path=xl/ctrlProps/ctrlProp35.xml><?xml version="1.0" encoding="utf-8"?>
<formControlPr xmlns="http://schemas.microsoft.com/office/spreadsheetml/2009/9/main" objectType="Radio" val="0"/>
</file>

<file path=xl/ctrlProps/ctrlProp36.xml><?xml version="1.0" encoding="utf-8"?>
<formControlPr xmlns="http://schemas.microsoft.com/office/spreadsheetml/2009/9/main" objectType="Radio" val="0"/>
</file>

<file path=xl/ctrlProps/ctrlProp37.xml><?xml version="1.0" encoding="utf-8"?>
<formControlPr xmlns="http://schemas.microsoft.com/office/spreadsheetml/2009/9/main" objectType="Radio" val="0"/>
</file>

<file path=xl/ctrlProps/ctrlProp38.xml><?xml version="1.0" encoding="utf-8"?>
<formControlPr xmlns="http://schemas.microsoft.com/office/spreadsheetml/2009/9/main" objectType="GBox" val="0"/>
</file>

<file path=xl/ctrlProps/ctrlProp39.xml><?xml version="1.0" encoding="utf-8"?>
<formControlPr xmlns="http://schemas.microsoft.com/office/spreadsheetml/2009/9/main" objectType="Radio" firstButton="1" fmlaLink="$R$7" val="0"/>
</file>

<file path=xl/ctrlProps/ctrlProp4.xml><?xml version="1.0" encoding="utf-8"?>
<formControlPr xmlns="http://schemas.microsoft.com/office/spreadsheetml/2009/9/main" objectType="GBox" noThreeD="1" val="0"/>
</file>

<file path=xl/ctrlProps/ctrlProp40.xml><?xml version="1.0" encoding="utf-8"?>
<formControlPr xmlns="http://schemas.microsoft.com/office/spreadsheetml/2009/9/main" objectType="Radio" val="0"/>
</file>

<file path=xl/ctrlProps/ctrlProp41.xml><?xml version="1.0" encoding="utf-8"?>
<formControlPr xmlns="http://schemas.microsoft.com/office/spreadsheetml/2009/9/main" objectType="Radio" checked="Checked" val="0"/>
</file>

<file path=xl/ctrlProps/ctrlProp42.xml><?xml version="1.0" encoding="utf-8"?>
<formControlPr xmlns="http://schemas.microsoft.com/office/spreadsheetml/2009/9/main" objectType="Radio" val="0"/>
</file>

<file path=xl/ctrlProps/ctrlProp43.xml><?xml version="1.0" encoding="utf-8"?>
<formControlPr xmlns="http://schemas.microsoft.com/office/spreadsheetml/2009/9/main" objectType="Radio" val="0"/>
</file>

<file path=xl/ctrlProps/ctrlProp44.xml><?xml version="1.0" encoding="utf-8"?>
<formControlPr xmlns="http://schemas.microsoft.com/office/spreadsheetml/2009/9/main" objectType="GBox" val="0"/>
</file>

<file path=xl/ctrlProps/ctrlProp45.xml><?xml version="1.0" encoding="utf-8"?>
<formControlPr xmlns="http://schemas.microsoft.com/office/spreadsheetml/2009/9/main" objectType="CheckBox" fmlaLink="$E$16" val="0"/>
</file>

<file path=xl/ctrlProps/ctrlProp46.xml><?xml version="1.0" encoding="utf-8"?>
<formControlPr xmlns="http://schemas.microsoft.com/office/spreadsheetml/2009/9/main" objectType="CheckBox" fmlaLink="$E$17" val="0"/>
</file>

<file path=xl/ctrlProps/ctrlProp47.xml><?xml version="1.0" encoding="utf-8"?>
<formControlPr xmlns="http://schemas.microsoft.com/office/spreadsheetml/2009/9/main" objectType="CheckBox" fmlaLink="$E$18" val="0"/>
</file>

<file path=xl/ctrlProps/ctrlProp48.xml><?xml version="1.0" encoding="utf-8"?>
<formControlPr xmlns="http://schemas.microsoft.com/office/spreadsheetml/2009/9/main" objectType="CheckBox" fmlaLink="$E$19" val="0"/>
</file>

<file path=xl/ctrlProps/ctrlProp49.xml><?xml version="1.0" encoding="utf-8"?>
<formControlPr xmlns="http://schemas.microsoft.com/office/spreadsheetml/2009/9/main" objectType="CheckBox" fmlaLink="$E$15" val="0"/>
</file>

<file path=xl/ctrlProps/ctrlProp5.xml><?xml version="1.0" encoding="utf-8"?>
<formControlPr xmlns="http://schemas.microsoft.com/office/spreadsheetml/2009/9/main" objectType="Radio" checked="Checked" firstButton="1" fmlaLink="$O$13" val="0"/>
</file>

<file path=xl/ctrlProps/ctrlProp50.xml><?xml version="1.0" encoding="utf-8"?>
<formControlPr xmlns="http://schemas.microsoft.com/office/spreadsheetml/2009/9/main" objectType="CheckBox" fmlaLink="$K$15" val="0"/>
</file>

<file path=xl/ctrlProps/ctrlProp51.xml><?xml version="1.0" encoding="utf-8"?>
<formControlPr xmlns="http://schemas.microsoft.com/office/spreadsheetml/2009/9/main" objectType="CheckBox" fmlaLink="$K$16" val="0"/>
</file>

<file path=xl/ctrlProps/ctrlProp52.xml><?xml version="1.0" encoding="utf-8"?>
<formControlPr xmlns="http://schemas.microsoft.com/office/spreadsheetml/2009/9/main" objectType="CheckBox" fmlaLink="$J$14" val="0"/>
</file>

<file path=xl/ctrlProps/ctrlProp53.xml><?xml version="1.0" encoding="utf-8"?>
<formControlPr xmlns="http://schemas.microsoft.com/office/spreadsheetml/2009/9/main" objectType="CheckBox" fmlaLink="$P$16" val="0"/>
</file>

<file path=xl/ctrlProps/ctrlProp54.xml><?xml version="1.0" encoding="utf-8"?>
<formControlPr xmlns="http://schemas.microsoft.com/office/spreadsheetml/2009/9/main" objectType="CheckBox" fmlaLink="$P$17" val="0"/>
</file>

<file path=xl/ctrlProps/ctrlProp55.xml><?xml version="1.0" encoding="utf-8"?>
<formControlPr xmlns="http://schemas.microsoft.com/office/spreadsheetml/2009/9/main" objectType="CheckBox" fmlaLink="$P$18" val="0"/>
</file>

<file path=xl/ctrlProps/ctrlProp56.xml><?xml version="1.0" encoding="utf-8"?>
<formControlPr xmlns="http://schemas.microsoft.com/office/spreadsheetml/2009/9/main" objectType="CheckBox" fmlaLink="$P$19" val="0"/>
</file>

<file path=xl/ctrlProps/ctrlProp57.xml><?xml version="1.0" encoding="utf-8"?>
<formControlPr xmlns="http://schemas.microsoft.com/office/spreadsheetml/2009/9/main" objectType="CheckBox" fmlaLink="$P$15" val="0"/>
</file>

<file path=xl/ctrlProps/ctrlProp58.xml><?xml version="1.0" encoding="utf-8"?>
<formControlPr xmlns="http://schemas.microsoft.com/office/spreadsheetml/2009/9/main" objectType="Radio" firstButton="1" fmlaLink="$F$28" val="0"/>
</file>

<file path=xl/ctrlProps/ctrlProp59.xml><?xml version="1.0" encoding="utf-8"?>
<formControlPr xmlns="http://schemas.microsoft.com/office/spreadsheetml/2009/9/main" objectType="Radio" checked="Checked" val="0"/>
</file>

<file path=xl/ctrlProps/ctrlProp6.xml><?xml version="1.0" encoding="utf-8"?>
<formControlPr xmlns="http://schemas.microsoft.com/office/spreadsheetml/2009/9/main" objectType="Radio" val="0"/>
</file>

<file path=xl/ctrlProps/ctrlProp60.xml><?xml version="1.0" encoding="utf-8"?>
<formControlPr xmlns="http://schemas.microsoft.com/office/spreadsheetml/2009/9/main" objectType="GBox" noThreeD="1" val="0"/>
</file>

<file path=xl/ctrlProps/ctrlProp61.xml><?xml version="1.0" encoding="utf-8"?>
<formControlPr xmlns="http://schemas.microsoft.com/office/spreadsheetml/2009/9/main" objectType="Radio" checked="Checked" firstButton="1" fmlaLink="$K$18" val="0"/>
</file>

<file path=xl/ctrlProps/ctrlProp62.xml><?xml version="1.0" encoding="utf-8"?>
<formControlPr xmlns="http://schemas.microsoft.com/office/spreadsheetml/2009/9/main" objectType="Radio" val="0"/>
</file>

<file path=xl/ctrlProps/ctrlProp63.xml><?xml version="1.0" encoding="utf-8"?>
<formControlPr xmlns="http://schemas.microsoft.com/office/spreadsheetml/2009/9/main" objectType="CheckBox" fmlaLink="$J$29" val="0"/>
</file>

<file path=xl/ctrlProps/ctrlProp64.xml><?xml version="1.0" encoding="utf-8"?>
<formControlPr xmlns="http://schemas.microsoft.com/office/spreadsheetml/2009/9/main" objectType="CheckBox" fmlaLink="$H$15" val="0"/>
</file>

<file path=xl/ctrlProps/ctrlProp65.xml><?xml version="1.0" encoding="utf-8"?>
<formControlPr xmlns="http://schemas.microsoft.com/office/spreadsheetml/2009/9/main" objectType="CheckBox" fmlaLink="$H$16" val="0"/>
</file>

<file path=xl/ctrlProps/ctrlProp66.xml><?xml version="1.0" encoding="utf-8"?>
<formControlPr xmlns="http://schemas.microsoft.com/office/spreadsheetml/2009/9/main" objectType="CheckBox" fmlaLink="$H$17" val="0"/>
</file>

<file path=xl/ctrlProps/ctrlProp67.xml><?xml version="1.0" encoding="utf-8"?>
<formControlPr xmlns="http://schemas.microsoft.com/office/spreadsheetml/2009/9/main" objectType="CheckBox" fmlaLink="$H$18" val="0"/>
</file>

<file path=xl/ctrlProps/ctrlProp68.xml><?xml version="1.0" encoding="utf-8"?>
<formControlPr xmlns="http://schemas.microsoft.com/office/spreadsheetml/2009/9/main" objectType="CheckBox" fmlaLink="$H$15" val="0"/>
</file>

<file path=xl/ctrlProps/ctrlProp69.xml><?xml version="1.0" encoding="utf-8"?>
<formControlPr xmlns="http://schemas.microsoft.com/office/spreadsheetml/2009/9/main" objectType="CheckBox" fmlaLink="$H$16" val="0"/>
</file>

<file path=xl/ctrlProps/ctrlProp7.xml><?xml version="1.0" encoding="utf-8"?>
<formControlPr xmlns="http://schemas.microsoft.com/office/spreadsheetml/2009/9/main" objectType="Radio" val="0"/>
</file>

<file path=xl/ctrlProps/ctrlProp70.xml><?xml version="1.0" encoding="utf-8"?>
<formControlPr xmlns="http://schemas.microsoft.com/office/spreadsheetml/2009/9/main" objectType="CheckBox" fmlaLink="$H$17" val="0"/>
</file>

<file path=xl/ctrlProps/ctrlProp71.xml><?xml version="1.0" encoding="utf-8"?>
<formControlPr xmlns="http://schemas.microsoft.com/office/spreadsheetml/2009/9/main" objectType="CheckBox" fmlaLink="$S$15" val="0"/>
</file>

<file path=xl/ctrlProps/ctrlProp72.xml><?xml version="1.0" encoding="utf-8"?>
<formControlPr xmlns="http://schemas.microsoft.com/office/spreadsheetml/2009/9/main" objectType="CheckBox" fmlaLink="$S$16" val="0"/>
</file>

<file path=xl/ctrlProps/ctrlProp73.xml><?xml version="1.0" encoding="utf-8"?>
<formControlPr xmlns="http://schemas.microsoft.com/office/spreadsheetml/2009/9/main" objectType="CheckBox" fmlaLink="$S$17" val="0"/>
</file>

<file path=xl/ctrlProps/ctrlProp74.xml><?xml version="1.0" encoding="utf-8"?>
<formControlPr xmlns="http://schemas.microsoft.com/office/spreadsheetml/2009/9/main" objectType="CheckBox" fmlaLink="$S$18" val="0"/>
</file>

<file path=xl/ctrlProps/ctrlProp75.xml><?xml version="1.0" encoding="utf-8"?>
<formControlPr xmlns="http://schemas.microsoft.com/office/spreadsheetml/2009/9/main" objectType="Radio" firstButton="1" fmlaLink="$J$23" val="0"/>
</file>

<file path=xl/ctrlProps/ctrlProp76.xml><?xml version="1.0" encoding="utf-8"?>
<formControlPr xmlns="http://schemas.microsoft.com/office/spreadsheetml/2009/9/main" objectType="Radio" val="0"/>
</file>

<file path=xl/ctrlProps/ctrlProp77.xml><?xml version="1.0" encoding="utf-8"?>
<formControlPr xmlns="http://schemas.microsoft.com/office/spreadsheetml/2009/9/main" objectType="Radio" val="0"/>
</file>

<file path=xl/ctrlProps/ctrlProp78.xml><?xml version="1.0" encoding="utf-8"?>
<formControlPr xmlns="http://schemas.microsoft.com/office/spreadsheetml/2009/9/main" objectType="GBox" noThreeD="1" val="0"/>
</file>

<file path=xl/ctrlProps/ctrlProp79.xml><?xml version="1.0" encoding="utf-8"?>
<formControlPr xmlns="http://schemas.microsoft.com/office/spreadsheetml/2009/9/main" objectType="Radio" checked="Checked" val="0"/>
</file>

<file path=xl/ctrlProps/ctrlProp8.xml><?xml version="1.0" encoding="utf-8"?>
<formControlPr xmlns="http://schemas.microsoft.com/office/spreadsheetml/2009/9/main" objectType="GBox" val="0"/>
</file>

<file path=xl/ctrlProps/ctrlProp80.xml><?xml version="1.0" encoding="utf-8"?>
<formControlPr xmlns="http://schemas.microsoft.com/office/spreadsheetml/2009/9/main" objectType="Spin" dx="16" fmlaLink="$E$6" max="252" page="10" val="0"/>
</file>

<file path=xl/ctrlProps/ctrlProp81.xml><?xml version="1.0" encoding="utf-8"?>
<formControlPr xmlns="http://schemas.microsoft.com/office/spreadsheetml/2009/9/main" objectType="Spin" dx="16" fmlaLink="$E$7" max="252" page="10" val="0"/>
</file>

<file path=xl/ctrlProps/ctrlProp82.xml><?xml version="1.0" encoding="utf-8"?>
<formControlPr xmlns="http://schemas.microsoft.com/office/spreadsheetml/2009/9/main" objectType="Spin" dx="16" fmlaLink="$E$8" max="252" page="10" val="0"/>
</file>

<file path=xl/ctrlProps/ctrlProp83.xml><?xml version="1.0" encoding="utf-8"?>
<formControlPr xmlns="http://schemas.microsoft.com/office/spreadsheetml/2009/9/main" objectType="Spin" dx="16" fmlaLink="$E$9" max="252" page="10" val="0"/>
</file>

<file path=xl/ctrlProps/ctrlProp84.xml><?xml version="1.0" encoding="utf-8"?>
<formControlPr xmlns="http://schemas.microsoft.com/office/spreadsheetml/2009/9/main" objectType="Spin" dx="16" fmlaLink="$E$10" max="252" page="10" val="0"/>
</file>

<file path=xl/ctrlProps/ctrlProp85.xml><?xml version="1.0" encoding="utf-8"?>
<formControlPr xmlns="http://schemas.microsoft.com/office/spreadsheetml/2009/9/main" objectType="Spin" dx="16" fmlaLink="$E$11" max="252" page="10" val="0"/>
</file>

<file path=xl/ctrlProps/ctrlProp86.xml><?xml version="1.0" encoding="utf-8"?>
<formControlPr xmlns="http://schemas.microsoft.com/office/spreadsheetml/2009/9/main" objectType="Radio" checked="Checked" val="0"/>
</file>

<file path=xl/ctrlProps/ctrlProp87.xml><?xml version="1.0" encoding="utf-8"?>
<formControlPr xmlns="http://schemas.microsoft.com/office/spreadsheetml/2009/9/main" objectType="Radio" val="0"/>
</file>

<file path=xl/ctrlProps/ctrlProp88.xml><?xml version="1.0" encoding="utf-8"?>
<formControlPr xmlns="http://schemas.microsoft.com/office/spreadsheetml/2009/9/main" objectType="Radio" val="0"/>
</file>

<file path=xl/ctrlProps/ctrlProp89.xml><?xml version="1.0" encoding="utf-8"?>
<formControlPr xmlns="http://schemas.microsoft.com/office/spreadsheetml/2009/9/main" objectType="Radio" val="0"/>
</file>

<file path=xl/ctrlProps/ctrlProp9.xml><?xml version="1.0" encoding="utf-8"?>
<formControlPr xmlns="http://schemas.microsoft.com/office/spreadsheetml/2009/9/main" objectType="Spin" dx="16" fmlaLink="$E$6" max="252" page="10" val="252"/>
</file>

<file path=xl/ctrlProps/ctrlProp90.xml><?xml version="1.0" encoding="utf-8"?>
<formControlPr xmlns="http://schemas.microsoft.com/office/spreadsheetml/2009/9/main" objectType="Radio" firstButton="1" val="0"/>
</file>

<file path=xl/ctrlProps/ctrlProp91.xml><?xml version="1.0" encoding="utf-8"?>
<formControlPr xmlns="http://schemas.microsoft.com/office/spreadsheetml/2009/9/main" objectType="Radio" val="0"/>
</file>

<file path=xl/ctrlProps/ctrlProp92.xml><?xml version="1.0" encoding="utf-8"?>
<formControlPr xmlns="http://schemas.microsoft.com/office/spreadsheetml/2009/9/main" objectType="Radio" val="0"/>
</file>

<file path=xl/ctrlProps/ctrlProp93.xml><?xml version="1.0" encoding="utf-8"?>
<formControlPr xmlns="http://schemas.microsoft.com/office/spreadsheetml/2009/9/main" objectType="Radio" checked="Checked" val="0"/>
</file>

<file path=xl/ctrlProps/ctrlProp94.xml><?xml version="1.0" encoding="utf-8"?>
<formControlPr xmlns="http://schemas.microsoft.com/office/spreadsheetml/2009/9/main" objectType="Radio" val="0"/>
</file>

<file path=xl/ctrlProps/ctrlProp95.xml><?xml version="1.0" encoding="utf-8"?>
<formControlPr xmlns="http://schemas.microsoft.com/office/spreadsheetml/2009/9/main" objectType="Radio" firstButton="1" val="0"/>
</file>

<file path=xl/ctrlProps/ctrlProp96.xml><?xml version="1.0" encoding="utf-8"?>
<formControlPr xmlns="http://schemas.microsoft.com/office/spreadsheetml/2009/9/main" objectType="GBox" noThreeD="1" val="0"/>
</file>

<file path=xl/ctrlProps/ctrlProp97.xml><?xml version="1.0" encoding="utf-8"?>
<formControlPr xmlns="http://schemas.microsoft.com/office/spreadsheetml/2009/9/main" objectType="GBox" val="0"/>
</file>

<file path=xl/ctrlProps/ctrlProp98.xml><?xml version="1.0" encoding="utf-8"?>
<formControlPr xmlns="http://schemas.microsoft.com/office/spreadsheetml/2009/9/main" objectType="GBox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12</xdr:row>
          <xdr:rowOff>66675</xdr:rowOff>
        </xdr:from>
        <xdr:to>
          <xdr:col>2</xdr:col>
          <xdr:colOff>219075</xdr:colOff>
          <xdr:row>12</xdr:row>
          <xdr:rowOff>180975</xdr:rowOff>
        </xdr:to>
        <xdr:sp>
          <xdr:nvSpPr>
            <xdr:cNvPr id="1026" name="选项按钮 798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371600" y="2883535"/>
              <a:ext cx="180975" cy="11430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13</xdr:row>
          <xdr:rowOff>47625</xdr:rowOff>
        </xdr:from>
        <xdr:to>
          <xdr:col>2</xdr:col>
          <xdr:colOff>219075</xdr:colOff>
          <xdr:row>13</xdr:row>
          <xdr:rowOff>152400</xdr:rowOff>
        </xdr:to>
        <xdr:sp>
          <xdr:nvSpPr>
            <xdr:cNvPr id="1027" name="选项按钮 799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371600" y="3081655"/>
              <a:ext cx="180975" cy="10477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13</xdr:row>
          <xdr:rowOff>200025</xdr:rowOff>
        </xdr:from>
        <xdr:to>
          <xdr:col>2</xdr:col>
          <xdr:colOff>257175</xdr:colOff>
          <xdr:row>14</xdr:row>
          <xdr:rowOff>200025</xdr:rowOff>
        </xdr:to>
        <xdr:sp>
          <xdr:nvSpPr>
            <xdr:cNvPr id="1028" name="选项按钮 800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371600" y="3234055"/>
              <a:ext cx="219075" cy="21717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171450</xdr:rowOff>
        </xdr:from>
        <xdr:to>
          <xdr:col>3</xdr:col>
          <xdr:colOff>19050</xdr:colOff>
          <xdr:row>15</xdr:row>
          <xdr:rowOff>9525</xdr:rowOff>
        </xdr:to>
        <xdr:sp>
          <xdr:nvSpPr>
            <xdr:cNvPr id="1029" name="分组框 802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333500" y="2747645"/>
              <a:ext cx="428625" cy="73025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12</xdr:row>
          <xdr:rowOff>28575</xdr:rowOff>
        </xdr:from>
        <xdr:to>
          <xdr:col>13</xdr:col>
          <xdr:colOff>285750</xdr:colOff>
          <xdr:row>12</xdr:row>
          <xdr:rowOff>200025</xdr:rowOff>
        </xdr:to>
        <xdr:sp>
          <xdr:nvSpPr>
            <xdr:cNvPr id="1030" name="选项按钮 807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8115300" y="2845435"/>
              <a:ext cx="171450" cy="1714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114300</xdr:colOff>
          <xdr:row>13</xdr:row>
          <xdr:rowOff>28575</xdr:rowOff>
        </xdr:from>
        <xdr:to>
          <xdr:col>13</xdr:col>
          <xdr:colOff>361950</xdr:colOff>
          <xdr:row>13</xdr:row>
          <xdr:rowOff>171450</xdr:rowOff>
        </xdr:to>
        <xdr:sp>
          <xdr:nvSpPr>
            <xdr:cNvPr id="1031" name="选项按钮 808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8115300" y="3062605"/>
              <a:ext cx="247650" cy="14287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14</xdr:row>
          <xdr:rowOff>0</xdr:rowOff>
        </xdr:from>
        <xdr:to>
          <xdr:col>13</xdr:col>
          <xdr:colOff>352425</xdr:colOff>
          <xdr:row>14</xdr:row>
          <xdr:rowOff>200025</xdr:rowOff>
        </xdr:to>
        <xdr:sp>
          <xdr:nvSpPr>
            <xdr:cNvPr id="1032" name="选项按钮 809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8105775" y="3251200"/>
              <a:ext cx="247650" cy="20002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647700</xdr:colOff>
          <xdr:row>11</xdr:row>
          <xdr:rowOff>142875</xdr:rowOff>
        </xdr:from>
        <xdr:to>
          <xdr:col>14</xdr:col>
          <xdr:colOff>85725</xdr:colOff>
          <xdr:row>15</xdr:row>
          <xdr:rowOff>0</xdr:rowOff>
        </xdr:to>
        <xdr:sp>
          <xdr:nvSpPr>
            <xdr:cNvPr id="1033" name="分组框 822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8001000" y="2719070"/>
              <a:ext cx="495300" cy="7493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4</xdr:col>
      <xdr:colOff>619125</xdr:colOff>
      <xdr:row>5</xdr:row>
      <xdr:rowOff>0</xdr:rowOff>
    </xdr:from>
    <xdr:to>
      <xdr:col>5</xdr:col>
      <xdr:colOff>9525</xdr:colOff>
      <xdr:row>10</xdr:row>
      <xdr:rowOff>238125</xdr:rowOff>
    </xdr:to>
    <xdr:grpSp>
      <xdr:nvGrpSpPr>
        <xdr:cNvPr id="3080" name="Group 194"/>
        <xdr:cNvGrpSpPr>
          <a:grpSpLocks noRot="1"/>
        </xdr:cNvGrpSpPr>
      </xdr:nvGrpSpPr>
      <xdr:grpSpPr>
        <a:xfrm>
          <a:off x="3095625" y="1132205"/>
          <a:ext cx="133350" cy="1441450"/>
          <a:chOff x="0" y="0"/>
          <a:chExt cx="204" cy="2263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035" name="微调框 837" hidden="1">
                <a:extLst>
                  <a:ext uri="{63B3BB69-23CF-44E3-9099-C40C66FF867C}">
                    <a14:compatExt spid="_x0000_s1035"/>
                  </a:ext>
                </a:extLst>
              </xdr:cNvPr>
              <xdr:cNvSpPr/>
            </xdr:nvSpPr>
            <xdr:spPr>
              <a:xfrm>
                <a:off x="0" y="0"/>
                <a:ext cx="204" cy="348"/>
              </a:xfrm>
              <a:prstGeom prst="rect">
                <a:avLst/>
              </a:prstGeom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1036" name="微调框 840" hidden="1">
                <a:extLst>
                  <a:ext uri="{63B3BB69-23CF-44E3-9099-C40C66FF867C}">
                    <a14:compatExt spid="_x0000_s1036"/>
                  </a:ext>
                </a:extLst>
              </xdr:cNvPr>
              <xdr:cNvSpPr/>
            </xdr:nvSpPr>
            <xdr:spPr>
              <a:xfrm>
                <a:off x="0" y="396"/>
                <a:ext cx="204" cy="345"/>
              </a:xfrm>
              <a:prstGeom prst="rect">
                <a:avLst/>
              </a:prstGeom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1037" name="微调框 846" hidden="1">
                <a:extLst>
                  <a:ext uri="{63B3BB69-23CF-44E3-9099-C40C66FF867C}">
                    <a14:compatExt spid="_x0000_s1037"/>
                  </a:ext>
                </a:extLst>
              </xdr:cNvPr>
              <xdr:cNvSpPr/>
            </xdr:nvSpPr>
            <xdr:spPr>
              <a:xfrm>
                <a:off x="0" y="792"/>
                <a:ext cx="204" cy="345"/>
              </a:xfrm>
              <a:prstGeom prst="rect">
                <a:avLst/>
              </a:prstGeom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1038" name="微调框 847" hidden="1">
                <a:extLst>
                  <a:ext uri="{63B3BB69-23CF-44E3-9099-C40C66FF867C}">
                    <a14:compatExt spid="_x0000_s1038"/>
                  </a:ext>
                </a:extLst>
              </xdr:cNvPr>
              <xdr:cNvSpPr/>
            </xdr:nvSpPr>
            <xdr:spPr>
              <a:xfrm>
                <a:off x="0" y="1171"/>
                <a:ext cx="204" cy="345"/>
              </a:xfrm>
              <a:prstGeom prst="rect">
                <a:avLst/>
              </a:prstGeom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1039" name="微调框 848" hidden="1">
                <a:extLst>
                  <a:ext uri="{63B3BB69-23CF-44E3-9099-C40C66FF867C}">
                    <a14:compatExt spid="_x0000_s1039"/>
                  </a:ext>
                </a:extLst>
              </xdr:cNvPr>
              <xdr:cNvSpPr/>
            </xdr:nvSpPr>
            <xdr:spPr>
              <a:xfrm>
                <a:off x="0" y="1552"/>
                <a:ext cx="204" cy="345"/>
              </a:xfrm>
              <a:prstGeom prst="rect">
                <a:avLst/>
              </a:prstGeom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1040" name="微调框 849" hidden="1">
                <a:extLst>
                  <a:ext uri="{63B3BB69-23CF-44E3-9099-C40C66FF867C}">
                    <a14:compatExt spid="_x0000_s1040"/>
                  </a:ext>
                </a:extLst>
              </xdr:cNvPr>
              <xdr:cNvSpPr/>
            </xdr:nvSpPr>
            <xdr:spPr>
              <a:xfrm>
                <a:off x="0" y="1918"/>
                <a:ext cx="204" cy="345"/>
              </a:xfrm>
              <a:prstGeom prst="rect">
                <a:avLst/>
              </a:prstGeom>
            </xdr:spPr>
          </xdr:sp>
        </mc:Choice>
        <mc:Fallback/>
      </mc:AlternateContent>
    </xdr:grpSp>
    <xdr:clientData/>
  </xdr:twoCellAnchor>
  <xdr:twoCellAnchor>
    <xdr:from>
      <xdr:col>15</xdr:col>
      <xdr:colOff>571500</xdr:colOff>
      <xdr:row>5</xdr:row>
      <xdr:rowOff>0</xdr:rowOff>
    </xdr:from>
    <xdr:to>
      <xdr:col>16</xdr:col>
      <xdr:colOff>0</xdr:colOff>
      <xdr:row>10</xdr:row>
      <xdr:rowOff>228600</xdr:rowOff>
    </xdr:to>
    <xdr:grpSp>
      <xdr:nvGrpSpPr>
        <xdr:cNvPr id="3087" name="Group 201"/>
        <xdr:cNvGrpSpPr>
          <a:grpSpLocks noRot="1"/>
        </xdr:cNvGrpSpPr>
      </xdr:nvGrpSpPr>
      <xdr:grpSpPr>
        <a:xfrm>
          <a:off x="9667875" y="1132205"/>
          <a:ext cx="123825" cy="1431925"/>
          <a:chOff x="0" y="0"/>
          <a:chExt cx="204" cy="2256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042" name="微调框 850" hidden="1">
                <a:extLst>
                  <a:ext uri="{63B3BB69-23CF-44E3-9099-C40C66FF867C}">
                    <a14:compatExt spid="_x0000_s1042"/>
                  </a:ext>
                </a:extLst>
              </xdr:cNvPr>
              <xdr:cNvSpPr/>
            </xdr:nvSpPr>
            <xdr:spPr>
              <a:xfrm>
                <a:off x="0" y="0"/>
                <a:ext cx="204" cy="345"/>
              </a:xfrm>
              <a:prstGeom prst="rect">
                <a:avLst/>
              </a:prstGeom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1043" name="微调框 851" hidden="1">
                <a:extLst>
                  <a:ext uri="{63B3BB69-23CF-44E3-9099-C40C66FF867C}">
                    <a14:compatExt spid="_x0000_s1043"/>
                  </a:ext>
                </a:extLst>
              </xdr:cNvPr>
              <xdr:cNvSpPr/>
            </xdr:nvSpPr>
            <xdr:spPr>
              <a:xfrm>
                <a:off x="0" y="380"/>
                <a:ext cx="204" cy="345"/>
              </a:xfrm>
              <a:prstGeom prst="rect">
                <a:avLst/>
              </a:prstGeom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1044" name="微调框 852" hidden="1">
                <a:extLst>
                  <a:ext uri="{63B3BB69-23CF-44E3-9099-C40C66FF867C}">
                    <a14:compatExt spid="_x0000_s1044"/>
                  </a:ext>
                </a:extLst>
              </xdr:cNvPr>
              <xdr:cNvSpPr/>
            </xdr:nvSpPr>
            <xdr:spPr>
              <a:xfrm>
                <a:off x="0" y="760"/>
                <a:ext cx="204" cy="345"/>
              </a:xfrm>
              <a:prstGeom prst="rect">
                <a:avLst/>
              </a:prstGeom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1045" name="微调框 853" hidden="1">
                <a:extLst>
                  <a:ext uri="{63B3BB69-23CF-44E3-9099-C40C66FF867C}">
                    <a14:compatExt spid="_x0000_s1045"/>
                  </a:ext>
                </a:extLst>
              </xdr:cNvPr>
              <xdr:cNvSpPr/>
            </xdr:nvSpPr>
            <xdr:spPr>
              <a:xfrm>
                <a:off x="0" y="1151"/>
                <a:ext cx="204" cy="345"/>
              </a:xfrm>
              <a:prstGeom prst="rect">
                <a:avLst/>
              </a:prstGeom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1046" name="微调框 854" hidden="1">
                <a:extLst>
                  <a:ext uri="{63B3BB69-23CF-44E3-9099-C40C66FF867C}">
                    <a14:compatExt spid="_x0000_s1046"/>
                  </a:ext>
                </a:extLst>
              </xdr:cNvPr>
              <xdr:cNvSpPr/>
            </xdr:nvSpPr>
            <xdr:spPr>
              <a:xfrm>
                <a:off x="0" y="1533"/>
                <a:ext cx="204" cy="345"/>
              </a:xfrm>
              <a:prstGeom prst="rect">
                <a:avLst/>
              </a:prstGeom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1047" name="微调框 855" hidden="1">
                <a:extLst>
                  <a:ext uri="{63B3BB69-23CF-44E3-9099-C40C66FF867C}">
                    <a14:compatExt spid="_x0000_s1047"/>
                  </a:ext>
                </a:extLst>
              </xdr:cNvPr>
              <xdr:cNvSpPr/>
            </xdr:nvSpPr>
            <xdr:spPr>
              <a:xfrm>
                <a:off x="0" y="1911"/>
                <a:ext cx="204" cy="345"/>
              </a:xfrm>
              <a:prstGeom prst="rect">
                <a:avLst/>
              </a:prstGeom>
            </xdr:spPr>
          </xdr:sp>
        </mc:Choice>
        <mc:Fallback/>
      </mc:AlternateContent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6</xdr:row>
          <xdr:rowOff>57150</xdr:rowOff>
        </xdr:from>
        <xdr:to>
          <xdr:col>5</xdr:col>
          <xdr:colOff>266700</xdr:colOff>
          <xdr:row>6</xdr:row>
          <xdr:rowOff>161925</xdr:rowOff>
        </xdr:to>
        <xdr:sp>
          <xdr:nvSpPr>
            <xdr:cNvPr id="1048" name="选项按钮 901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3305175" y="1430020"/>
              <a:ext cx="180975" cy="10477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7</xdr:row>
          <xdr:rowOff>66675</xdr:rowOff>
        </xdr:from>
        <xdr:to>
          <xdr:col>5</xdr:col>
          <xdr:colOff>266700</xdr:colOff>
          <xdr:row>7</xdr:row>
          <xdr:rowOff>180975</xdr:rowOff>
        </xdr:to>
        <xdr:sp>
          <xdr:nvSpPr>
            <xdr:cNvPr id="1049" name="选项按钮 902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3305175" y="1680210"/>
              <a:ext cx="180975" cy="11430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8</xdr:row>
          <xdr:rowOff>76200</xdr:rowOff>
        </xdr:from>
        <xdr:to>
          <xdr:col>5</xdr:col>
          <xdr:colOff>266700</xdr:colOff>
          <xdr:row>8</xdr:row>
          <xdr:rowOff>180975</xdr:rowOff>
        </xdr:to>
        <xdr:sp>
          <xdr:nvSpPr>
            <xdr:cNvPr id="1050" name="选项按钮 903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3305175" y="1930400"/>
              <a:ext cx="180975" cy="10477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9</xdr:row>
          <xdr:rowOff>66675</xdr:rowOff>
        </xdr:from>
        <xdr:to>
          <xdr:col>5</xdr:col>
          <xdr:colOff>266700</xdr:colOff>
          <xdr:row>9</xdr:row>
          <xdr:rowOff>171450</xdr:rowOff>
        </xdr:to>
        <xdr:sp>
          <xdr:nvSpPr>
            <xdr:cNvPr id="1051" name="选项按钮 904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3305175" y="2161540"/>
              <a:ext cx="180975" cy="10477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10</xdr:row>
          <xdr:rowOff>66675</xdr:rowOff>
        </xdr:from>
        <xdr:to>
          <xdr:col>5</xdr:col>
          <xdr:colOff>266700</xdr:colOff>
          <xdr:row>10</xdr:row>
          <xdr:rowOff>171450</xdr:rowOff>
        </xdr:to>
        <xdr:sp>
          <xdr:nvSpPr>
            <xdr:cNvPr id="1052" name="选项按钮 905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3305175" y="2402205"/>
              <a:ext cx="180975" cy="10477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742950</xdr:colOff>
          <xdr:row>5</xdr:row>
          <xdr:rowOff>161925</xdr:rowOff>
        </xdr:from>
        <xdr:to>
          <xdr:col>5</xdr:col>
          <xdr:colOff>381000</xdr:colOff>
          <xdr:row>11</xdr:row>
          <xdr:rowOff>9525</xdr:rowOff>
        </xdr:to>
        <xdr:sp>
          <xdr:nvSpPr>
            <xdr:cNvPr id="1053" name="分组框 911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3219450" y="1294130"/>
              <a:ext cx="381000" cy="129159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6</xdr:row>
          <xdr:rowOff>57150</xdr:rowOff>
        </xdr:from>
        <xdr:to>
          <xdr:col>6</xdr:col>
          <xdr:colOff>247650</xdr:colOff>
          <xdr:row>6</xdr:row>
          <xdr:rowOff>171450</xdr:rowOff>
        </xdr:to>
        <xdr:sp>
          <xdr:nvSpPr>
            <xdr:cNvPr id="1054" name="选项按钮 932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3676650" y="1430020"/>
              <a:ext cx="180975" cy="11430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7</xdr:row>
          <xdr:rowOff>66675</xdr:rowOff>
        </xdr:from>
        <xdr:to>
          <xdr:col>6</xdr:col>
          <xdr:colOff>247650</xdr:colOff>
          <xdr:row>7</xdr:row>
          <xdr:rowOff>171450</xdr:rowOff>
        </xdr:to>
        <xdr:sp>
          <xdr:nvSpPr>
            <xdr:cNvPr id="1055" name="选项按钮 933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3676650" y="1680210"/>
              <a:ext cx="180975" cy="10477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8</xdr:row>
          <xdr:rowOff>76200</xdr:rowOff>
        </xdr:from>
        <xdr:to>
          <xdr:col>6</xdr:col>
          <xdr:colOff>247650</xdr:colOff>
          <xdr:row>8</xdr:row>
          <xdr:rowOff>180975</xdr:rowOff>
        </xdr:to>
        <xdr:sp>
          <xdr:nvSpPr>
            <xdr:cNvPr id="1056" name="选项按钮 934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3676650" y="1930400"/>
              <a:ext cx="180975" cy="10477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9</xdr:row>
          <xdr:rowOff>66675</xdr:rowOff>
        </xdr:from>
        <xdr:to>
          <xdr:col>6</xdr:col>
          <xdr:colOff>247650</xdr:colOff>
          <xdr:row>9</xdr:row>
          <xdr:rowOff>171450</xdr:rowOff>
        </xdr:to>
        <xdr:sp>
          <xdr:nvSpPr>
            <xdr:cNvPr id="1057" name="选项按钮 935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3676650" y="2161540"/>
              <a:ext cx="180975" cy="10477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10</xdr:row>
          <xdr:rowOff>66675</xdr:rowOff>
        </xdr:from>
        <xdr:to>
          <xdr:col>6</xdr:col>
          <xdr:colOff>247650</xdr:colOff>
          <xdr:row>10</xdr:row>
          <xdr:rowOff>171450</xdr:rowOff>
        </xdr:to>
        <xdr:sp>
          <xdr:nvSpPr>
            <xdr:cNvPr id="1058" name="选项按钮 936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3676650" y="2402205"/>
              <a:ext cx="180975" cy="10477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333375</xdr:colOff>
          <xdr:row>5</xdr:row>
          <xdr:rowOff>152400</xdr:rowOff>
        </xdr:from>
        <xdr:to>
          <xdr:col>6</xdr:col>
          <xdr:colOff>295275</xdr:colOff>
          <xdr:row>11</xdr:row>
          <xdr:rowOff>0</xdr:rowOff>
        </xdr:to>
        <xdr:sp>
          <xdr:nvSpPr>
            <xdr:cNvPr id="1059" name="分组框 942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3552825" y="1284605"/>
              <a:ext cx="352425" cy="129159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6</xdr:row>
          <xdr:rowOff>47625</xdr:rowOff>
        </xdr:from>
        <xdr:to>
          <xdr:col>16</xdr:col>
          <xdr:colOff>257175</xdr:colOff>
          <xdr:row>6</xdr:row>
          <xdr:rowOff>152400</xdr:rowOff>
        </xdr:to>
        <xdr:sp>
          <xdr:nvSpPr>
            <xdr:cNvPr id="1060" name="选项按钮 828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9867900" y="1420495"/>
              <a:ext cx="180975" cy="10477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7</xdr:row>
          <xdr:rowOff>66675</xdr:rowOff>
        </xdr:from>
        <xdr:to>
          <xdr:col>16</xdr:col>
          <xdr:colOff>257175</xdr:colOff>
          <xdr:row>7</xdr:row>
          <xdr:rowOff>171450</xdr:rowOff>
        </xdr:to>
        <xdr:sp>
          <xdr:nvSpPr>
            <xdr:cNvPr id="1061" name="选项按钮 829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9867900" y="1680210"/>
              <a:ext cx="180975" cy="10477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8</xdr:row>
          <xdr:rowOff>76200</xdr:rowOff>
        </xdr:from>
        <xdr:to>
          <xdr:col>16</xdr:col>
          <xdr:colOff>257175</xdr:colOff>
          <xdr:row>8</xdr:row>
          <xdr:rowOff>180975</xdr:rowOff>
        </xdr:to>
        <xdr:sp>
          <xdr:nvSpPr>
            <xdr:cNvPr id="1062" name="选项按钮 830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9867900" y="1930400"/>
              <a:ext cx="180975" cy="10477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9</xdr:row>
          <xdr:rowOff>66675</xdr:rowOff>
        </xdr:from>
        <xdr:to>
          <xdr:col>16</xdr:col>
          <xdr:colOff>257175</xdr:colOff>
          <xdr:row>9</xdr:row>
          <xdr:rowOff>171450</xdr:rowOff>
        </xdr:to>
        <xdr:sp>
          <xdr:nvSpPr>
            <xdr:cNvPr id="1063" name="选项按钮 831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9867900" y="2161540"/>
              <a:ext cx="180975" cy="10477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10</xdr:row>
          <xdr:rowOff>66675</xdr:rowOff>
        </xdr:from>
        <xdr:to>
          <xdr:col>16</xdr:col>
          <xdr:colOff>257175</xdr:colOff>
          <xdr:row>10</xdr:row>
          <xdr:rowOff>171450</xdr:rowOff>
        </xdr:to>
        <xdr:sp>
          <xdr:nvSpPr>
            <xdr:cNvPr id="1064" name="选项按钮 832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9867900" y="2402205"/>
              <a:ext cx="180975" cy="10477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695325</xdr:colOff>
          <xdr:row>5</xdr:row>
          <xdr:rowOff>142875</xdr:rowOff>
        </xdr:from>
        <xdr:to>
          <xdr:col>17</xdr:col>
          <xdr:colOff>85725</xdr:colOff>
          <xdr:row>11</xdr:row>
          <xdr:rowOff>0</xdr:rowOff>
        </xdr:to>
        <xdr:sp>
          <xdr:nvSpPr>
            <xdr:cNvPr id="1065" name="分组框 838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9791700" y="1275080"/>
              <a:ext cx="438150" cy="130111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66675</xdr:colOff>
          <xdr:row>6</xdr:row>
          <xdr:rowOff>47625</xdr:rowOff>
        </xdr:from>
        <xdr:to>
          <xdr:col>17</xdr:col>
          <xdr:colOff>247650</xdr:colOff>
          <xdr:row>6</xdr:row>
          <xdr:rowOff>152400</xdr:rowOff>
        </xdr:to>
        <xdr:sp>
          <xdr:nvSpPr>
            <xdr:cNvPr id="1066" name="选项按钮 817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10210800" y="1420495"/>
              <a:ext cx="180975" cy="10477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66675</xdr:colOff>
          <xdr:row>7</xdr:row>
          <xdr:rowOff>66675</xdr:rowOff>
        </xdr:from>
        <xdr:to>
          <xdr:col>17</xdr:col>
          <xdr:colOff>247650</xdr:colOff>
          <xdr:row>7</xdr:row>
          <xdr:rowOff>171450</xdr:rowOff>
        </xdr:to>
        <xdr:sp>
          <xdr:nvSpPr>
            <xdr:cNvPr id="1067" name="选项按钮 818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10210800" y="1680210"/>
              <a:ext cx="180975" cy="10477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66675</xdr:colOff>
          <xdr:row>8</xdr:row>
          <xdr:rowOff>76200</xdr:rowOff>
        </xdr:from>
        <xdr:to>
          <xdr:col>17</xdr:col>
          <xdr:colOff>247650</xdr:colOff>
          <xdr:row>8</xdr:row>
          <xdr:rowOff>180975</xdr:rowOff>
        </xdr:to>
        <xdr:sp>
          <xdr:nvSpPr>
            <xdr:cNvPr id="1068" name="选项按钮 819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10210800" y="1930400"/>
              <a:ext cx="180975" cy="10477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66675</xdr:colOff>
          <xdr:row>9</xdr:row>
          <xdr:rowOff>66675</xdr:rowOff>
        </xdr:from>
        <xdr:to>
          <xdr:col>17</xdr:col>
          <xdr:colOff>247650</xdr:colOff>
          <xdr:row>9</xdr:row>
          <xdr:rowOff>171450</xdr:rowOff>
        </xdr:to>
        <xdr:sp>
          <xdr:nvSpPr>
            <xdr:cNvPr id="1069" name="选项按钮 820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10210800" y="2161540"/>
              <a:ext cx="180975" cy="10477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66675</xdr:colOff>
          <xdr:row>10</xdr:row>
          <xdr:rowOff>66675</xdr:rowOff>
        </xdr:from>
        <xdr:to>
          <xdr:col>17</xdr:col>
          <xdr:colOff>247650</xdr:colOff>
          <xdr:row>10</xdr:row>
          <xdr:rowOff>171450</xdr:rowOff>
        </xdr:to>
        <xdr:sp>
          <xdr:nvSpPr>
            <xdr:cNvPr id="1070" name="选项按钮 821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10210800" y="2402205"/>
              <a:ext cx="180975" cy="10477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5</xdr:row>
          <xdr:rowOff>142875</xdr:rowOff>
        </xdr:from>
        <xdr:to>
          <xdr:col>18</xdr:col>
          <xdr:colOff>0</xdr:colOff>
          <xdr:row>11</xdr:row>
          <xdr:rowOff>9525</xdr:rowOff>
        </xdr:to>
        <xdr:sp>
          <xdr:nvSpPr>
            <xdr:cNvPr id="1071" name="分组框 82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10144125" y="1275080"/>
              <a:ext cx="352425" cy="13106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15</xdr:row>
          <xdr:rowOff>57150</xdr:rowOff>
        </xdr:from>
        <xdr:to>
          <xdr:col>4</xdr:col>
          <xdr:colOff>523875</xdr:colOff>
          <xdr:row>15</xdr:row>
          <xdr:rowOff>161925</xdr:rowOff>
        </xdr:to>
        <xdr:sp>
          <xdr:nvSpPr>
            <xdr:cNvPr id="1072" name="复选框 832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2600325" y="3525520"/>
              <a:ext cx="400050" cy="10477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16</xdr:row>
          <xdr:rowOff>76200</xdr:rowOff>
        </xdr:from>
        <xdr:to>
          <xdr:col>4</xdr:col>
          <xdr:colOff>523875</xdr:colOff>
          <xdr:row>16</xdr:row>
          <xdr:rowOff>180975</xdr:rowOff>
        </xdr:to>
        <xdr:sp>
          <xdr:nvSpPr>
            <xdr:cNvPr id="1073" name="复选框 834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2600325" y="3747135"/>
              <a:ext cx="400050" cy="10477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17</xdr:row>
          <xdr:rowOff>57150</xdr:rowOff>
        </xdr:from>
        <xdr:to>
          <xdr:col>4</xdr:col>
          <xdr:colOff>523875</xdr:colOff>
          <xdr:row>17</xdr:row>
          <xdr:rowOff>161925</xdr:rowOff>
        </xdr:to>
        <xdr:sp>
          <xdr:nvSpPr>
            <xdr:cNvPr id="1074" name="复选框 836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2600325" y="3956685"/>
              <a:ext cx="400050" cy="10477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18</xdr:row>
          <xdr:rowOff>57150</xdr:rowOff>
        </xdr:from>
        <xdr:to>
          <xdr:col>4</xdr:col>
          <xdr:colOff>523875</xdr:colOff>
          <xdr:row>18</xdr:row>
          <xdr:rowOff>161925</xdr:rowOff>
        </xdr:to>
        <xdr:sp>
          <xdr:nvSpPr>
            <xdr:cNvPr id="1075" name="复选框 84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2600325" y="4185285"/>
              <a:ext cx="400050" cy="10477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14</xdr:row>
          <xdr:rowOff>57150</xdr:rowOff>
        </xdr:from>
        <xdr:to>
          <xdr:col>4</xdr:col>
          <xdr:colOff>523875</xdr:colOff>
          <xdr:row>14</xdr:row>
          <xdr:rowOff>161925</xdr:rowOff>
        </xdr:to>
        <xdr:sp>
          <xdr:nvSpPr>
            <xdr:cNvPr id="1076" name="复选框 850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2600325" y="3308350"/>
              <a:ext cx="400050" cy="10477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180975</xdr:colOff>
          <xdr:row>14</xdr:row>
          <xdr:rowOff>66675</xdr:rowOff>
        </xdr:from>
        <xdr:to>
          <xdr:col>9</xdr:col>
          <xdr:colOff>361950</xdr:colOff>
          <xdr:row>14</xdr:row>
          <xdr:rowOff>171450</xdr:rowOff>
        </xdr:to>
        <xdr:sp>
          <xdr:nvSpPr>
            <xdr:cNvPr id="1077" name="复选框 852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5667375" y="3317875"/>
              <a:ext cx="180975" cy="10477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180975</xdr:colOff>
          <xdr:row>15</xdr:row>
          <xdr:rowOff>57150</xdr:rowOff>
        </xdr:from>
        <xdr:to>
          <xdr:col>9</xdr:col>
          <xdr:colOff>361950</xdr:colOff>
          <xdr:row>15</xdr:row>
          <xdr:rowOff>161925</xdr:rowOff>
        </xdr:to>
        <xdr:sp>
          <xdr:nvSpPr>
            <xdr:cNvPr id="1078" name="复选框 8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5667375" y="3525520"/>
              <a:ext cx="180975" cy="10477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180975</xdr:colOff>
          <xdr:row>13</xdr:row>
          <xdr:rowOff>66675</xdr:rowOff>
        </xdr:from>
        <xdr:to>
          <xdr:col>9</xdr:col>
          <xdr:colOff>352425</xdr:colOff>
          <xdr:row>13</xdr:row>
          <xdr:rowOff>161925</xdr:rowOff>
        </xdr:to>
        <xdr:sp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5667375" y="3100705"/>
              <a:ext cx="171450" cy="952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15</xdr:row>
          <xdr:rowOff>76200</xdr:rowOff>
        </xdr:from>
        <xdr:to>
          <xdr:col>15</xdr:col>
          <xdr:colOff>314325</xdr:colOff>
          <xdr:row>15</xdr:row>
          <xdr:rowOff>180975</xdr:rowOff>
        </xdr:to>
        <xdr:sp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9229725" y="3544570"/>
              <a:ext cx="180975" cy="10477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16</xdr:row>
          <xdr:rowOff>76200</xdr:rowOff>
        </xdr:from>
        <xdr:to>
          <xdr:col>15</xdr:col>
          <xdr:colOff>314325</xdr:colOff>
          <xdr:row>16</xdr:row>
          <xdr:rowOff>180975</xdr:rowOff>
        </xdr:to>
        <xdr:sp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9229725" y="3747135"/>
              <a:ext cx="180975" cy="10477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17</xdr:row>
          <xdr:rowOff>57150</xdr:rowOff>
        </xdr:from>
        <xdr:to>
          <xdr:col>15</xdr:col>
          <xdr:colOff>314325</xdr:colOff>
          <xdr:row>17</xdr:row>
          <xdr:rowOff>161925</xdr:rowOff>
        </xdr:to>
        <xdr:sp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9229725" y="3956685"/>
              <a:ext cx="180975" cy="10477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18</xdr:row>
          <xdr:rowOff>66675</xdr:rowOff>
        </xdr:from>
        <xdr:to>
          <xdr:col>15</xdr:col>
          <xdr:colOff>314325</xdr:colOff>
          <xdr:row>18</xdr:row>
          <xdr:rowOff>171450</xdr:rowOff>
        </xdr:to>
        <xdr:sp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>
            <a:xfrm>
              <a:off x="9229725" y="4194810"/>
              <a:ext cx="180975" cy="10477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14</xdr:row>
          <xdr:rowOff>57150</xdr:rowOff>
        </xdr:from>
        <xdr:to>
          <xdr:col>15</xdr:col>
          <xdr:colOff>314325</xdr:colOff>
          <xdr:row>14</xdr:row>
          <xdr:rowOff>161925</xdr:rowOff>
        </xdr:to>
        <xdr:sp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9229725" y="3308350"/>
              <a:ext cx="180975" cy="10477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123825</xdr:colOff>
          <xdr:row>27</xdr:row>
          <xdr:rowOff>9525</xdr:rowOff>
        </xdr:from>
        <xdr:to>
          <xdr:col>6</xdr:col>
          <xdr:colOff>161925</xdr:colOff>
          <xdr:row>27</xdr:row>
          <xdr:rowOff>228600</xdr:rowOff>
        </xdr:to>
        <xdr:sp>
          <xdr:nvSpPr>
            <xdr:cNvPr id="1092" name="Option Button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>
            <a:xfrm>
              <a:off x="3343275" y="6089015"/>
              <a:ext cx="428625" cy="21907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 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123825</xdr:colOff>
          <xdr:row>27</xdr:row>
          <xdr:rowOff>238125</xdr:rowOff>
        </xdr:from>
        <xdr:to>
          <xdr:col>6</xdr:col>
          <xdr:colOff>161925</xdr:colOff>
          <xdr:row>28</xdr:row>
          <xdr:rowOff>209550</xdr:rowOff>
        </xdr:to>
        <xdr:sp>
          <xdr:nvSpPr>
            <xdr:cNvPr id="1093" name="Option Button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>
            <a:xfrm>
              <a:off x="3343275" y="6317615"/>
              <a:ext cx="428625" cy="21209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771525</xdr:colOff>
          <xdr:row>16</xdr:row>
          <xdr:rowOff>85725</xdr:rowOff>
        </xdr:from>
        <xdr:to>
          <xdr:col>9</xdr:col>
          <xdr:colOff>438150</xdr:colOff>
          <xdr:row>19</xdr:row>
          <xdr:rowOff>152400</xdr:rowOff>
        </xdr:to>
        <xdr:sp>
          <xdr:nvSpPr>
            <xdr:cNvPr id="1098" name="Group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5457825" y="3756660"/>
              <a:ext cx="466725" cy="72644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16</xdr:row>
          <xdr:rowOff>200025</xdr:rowOff>
        </xdr:from>
        <xdr:to>
          <xdr:col>9</xdr:col>
          <xdr:colOff>400050</xdr:colOff>
          <xdr:row>18</xdr:row>
          <xdr:rowOff>28575</xdr:rowOff>
        </xdr:to>
        <xdr:sp>
          <xdr:nvSpPr>
            <xdr:cNvPr id="1100" name="Option Button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5581650" y="3870960"/>
              <a:ext cx="304800" cy="28575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17</xdr:row>
          <xdr:rowOff>200025</xdr:rowOff>
        </xdr:from>
        <xdr:to>
          <xdr:col>9</xdr:col>
          <xdr:colOff>400050</xdr:colOff>
          <xdr:row>19</xdr:row>
          <xdr:rowOff>47625</xdr:rowOff>
        </xdr:to>
        <xdr:sp>
          <xdr:nvSpPr>
            <xdr:cNvPr id="1101" name="Option Button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5581650" y="4099560"/>
              <a:ext cx="304800" cy="2787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85725</xdr:colOff>
          <xdr:row>28</xdr:row>
          <xdr:rowOff>57150</xdr:rowOff>
        </xdr:from>
        <xdr:to>
          <xdr:col>9</xdr:col>
          <xdr:colOff>228600</xdr:colOff>
          <xdr:row>28</xdr:row>
          <xdr:rowOff>200025</xdr:rowOff>
        </xdr:to>
        <xdr:sp>
          <xdr:nvSpPr>
            <xdr:cNvPr id="1106" name="复选框 21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>
            <a:xfrm>
              <a:off x="5572125" y="6377305"/>
              <a:ext cx="142875" cy="1428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95250</xdr:colOff>
          <xdr:row>14</xdr:row>
          <xdr:rowOff>0</xdr:rowOff>
        </xdr:from>
        <xdr:to>
          <xdr:col>7</xdr:col>
          <xdr:colOff>523875</xdr:colOff>
          <xdr:row>15</xdr:row>
          <xdr:rowOff>9525</xdr:rowOff>
        </xdr:to>
        <xdr:sp>
          <xdr:nvSpPr>
            <xdr:cNvPr id="3088" name="Check Box 2064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>
            <a:xfrm>
              <a:off x="4095750" y="3251200"/>
              <a:ext cx="428625" cy="22669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95250</xdr:colOff>
          <xdr:row>15</xdr:row>
          <xdr:rowOff>19050</xdr:rowOff>
        </xdr:from>
        <xdr:to>
          <xdr:col>7</xdr:col>
          <xdr:colOff>523875</xdr:colOff>
          <xdr:row>16</xdr:row>
          <xdr:rowOff>0</xdr:rowOff>
        </xdr:to>
        <xdr:sp>
          <xdr:nvSpPr>
            <xdr:cNvPr id="3095" name="Check Box 2071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>
            <a:xfrm>
              <a:off x="4095750" y="3487420"/>
              <a:ext cx="428625" cy="18351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 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95250</xdr:colOff>
          <xdr:row>16</xdr:row>
          <xdr:rowOff>47625</xdr:rowOff>
        </xdr:from>
        <xdr:to>
          <xdr:col>7</xdr:col>
          <xdr:colOff>523875</xdr:colOff>
          <xdr:row>16</xdr:row>
          <xdr:rowOff>219075</xdr:rowOff>
        </xdr:to>
        <xdr:sp>
          <xdr:nvSpPr>
            <xdr:cNvPr id="3097" name="Check Box 2073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>
            <a:xfrm>
              <a:off x="4095750" y="3718560"/>
              <a:ext cx="428625" cy="1714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 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95250</xdr:colOff>
          <xdr:row>17</xdr:row>
          <xdr:rowOff>38100</xdr:rowOff>
        </xdr:from>
        <xdr:to>
          <xdr:col>7</xdr:col>
          <xdr:colOff>523875</xdr:colOff>
          <xdr:row>17</xdr:row>
          <xdr:rowOff>209550</xdr:rowOff>
        </xdr:to>
        <xdr:sp>
          <xdr:nvSpPr>
            <xdr:cNvPr id="3099" name="Check Box 2075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>
            <a:xfrm>
              <a:off x="4095750" y="3937635"/>
              <a:ext cx="428625" cy="1714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 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95250</xdr:colOff>
          <xdr:row>14</xdr:row>
          <xdr:rowOff>0</xdr:rowOff>
        </xdr:from>
        <xdr:to>
          <xdr:col>18</xdr:col>
          <xdr:colOff>523875</xdr:colOff>
          <xdr:row>15</xdr:row>
          <xdr:rowOff>9525</xdr:rowOff>
        </xdr:to>
        <xdr:sp>
          <xdr:nvSpPr>
            <xdr:cNvPr id="3101" name="Check Box 2077" hidden="1">
              <a:extLst>
                <a:ext uri="{63B3BB69-23CF-44E3-9099-C40C66FF867C}">
                  <a14:compatExt spid="_x0000_s3101"/>
                </a:ext>
              </a:extLst>
            </xdr:cNvPr>
            <xdr:cNvSpPr/>
          </xdr:nvSpPr>
          <xdr:spPr>
            <a:xfrm>
              <a:off x="10591800" y="3251200"/>
              <a:ext cx="428625" cy="22669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95250</xdr:colOff>
          <xdr:row>15</xdr:row>
          <xdr:rowOff>19050</xdr:rowOff>
        </xdr:from>
        <xdr:to>
          <xdr:col>18</xdr:col>
          <xdr:colOff>523875</xdr:colOff>
          <xdr:row>16</xdr:row>
          <xdr:rowOff>0</xdr:rowOff>
        </xdr:to>
        <xdr:sp>
          <xdr:nvSpPr>
            <xdr:cNvPr id="3102" name="Check Box 2078" hidden="1">
              <a:extLst>
                <a:ext uri="{63B3BB69-23CF-44E3-9099-C40C66FF867C}">
                  <a14:compatExt spid="_x0000_s3102"/>
                </a:ext>
              </a:extLst>
            </xdr:cNvPr>
            <xdr:cNvSpPr/>
          </xdr:nvSpPr>
          <xdr:spPr>
            <a:xfrm>
              <a:off x="10591800" y="3487420"/>
              <a:ext cx="428625" cy="18351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 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95250</xdr:colOff>
          <xdr:row>16</xdr:row>
          <xdr:rowOff>47625</xdr:rowOff>
        </xdr:from>
        <xdr:to>
          <xdr:col>18</xdr:col>
          <xdr:colOff>523875</xdr:colOff>
          <xdr:row>16</xdr:row>
          <xdr:rowOff>219075</xdr:rowOff>
        </xdr:to>
        <xdr:sp>
          <xdr:nvSpPr>
            <xdr:cNvPr id="3103" name="Check Box 2079" hidden="1">
              <a:extLst>
                <a:ext uri="{63B3BB69-23CF-44E3-9099-C40C66FF867C}">
                  <a14:compatExt spid="_x0000_s3103"/>
                </a:ext>
              </a:extLst>
            </xdr:cNvPr>
            <xdr:cNvSpPr/>
          </xdr:nvSpPr>
          <xdr:spPr>
            <a:xfrm>
              <a:off x="10591800" y="3718560"/>
              <a:ext cx="428625" cy="1714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 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95250</xdr:colOff>
          <xdr:row>14</xdr:row>
          <xdr:rowOff>0</xdr:rowOff>
        </xdr:from>
        <xdr:to>
          <xdr:col>18</xdr:col>
          <xdr:colOff>523875</xdr:colOff>
          <xdr:row>15</xdr:row>
          <xdr:rowOff>9525</xdr:rowOff>
        </xdr:to>
        <xdr:sp>
          <xdr:nvSpPr>
            <xdr:cNvPr id="3104" name="Check Box 2080" hidden="1">
              <a:extLst>
                <a:ext uri="{63B3BB69-23CF-44E3-9099-C40C66FF867C}">
                  <a14:compatExt spid="_x0000_s3104"/>
                </a:ext>
              </a:extLst>
            </xdr:cNvPr>
            <xdr:cNvSpPr/>
          </xdr:nvSpPr>
          <xdr:spPr>
            <a:xfrm>
              <a:off x="10591800" y="3251200"/>
              <a:ext cx="428625" cy="22669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95250</xdr:colOff>
          <xdr:row>15</xdr:row>
          <xdr:rowOff>19050</xdr:rowOff>
        </xdr:from>
        <xdr:to>
          <xdr:col>18</xdr:col>
          <xdr:colOff>523875</xdr:colOff>
          <xdr:row>16</xdr:row>
          <xdr:rowOff>0</xdr:rowOff>
        </xdr:to>
        <xdr:sp>
          <xdr:nvSpPr>
            <xdr:cNvPr id="3105" name="Check Box 2081" hidden="1">
              <a:extLst>
                <a:ext uri="{63B3BB69-23CF-44E3-9099-C40C66FF867C}">
                  <a14:compatExt spid="_x0000_s3105"/>
                </a:ext>
              </a:extLst>
            </xdr:cNvPr>
            <xdr:cNvSpPr/>
          </xdr:nvSpPr>
          <xdr:spPr>
            <a:xfrm>
              <a:off x="10591800" y="3487420"/>
              <a:ext cx="428625" cy="18351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 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95250</xdr:colOff>
          <xdr:row>16</xdr:row>
          <xdr:rowOff>47625</xdr:rowOff>
        </xdr:from>
        <xdr:to>
          <xdr:col>18</xdr:col>
          <xdr:colOff>523875</xdr:colOff>
          <xdr:row>16</xdr:row>
          <xdr:rowOff>219075</xdr:rowOff>
        </xdr:to>
        <xdr:sp>
          <xdr:nvSpPr>
            <xdr:cNvPr id="3106" name="Check Box 2082" hidden="1">
              <a:extLst>
                <a:ext uri="{63B3BB69-23CF-44E3-9099-C40C66FF867C}">
                  <a14:compatExt spid="_x0000_s3106"/>
                </a:ext>
              </a:extLst>
            </xdr:cNvPr>
            <xdr:cNvSpPr/>
          </xdr:nvSpPr>
          <xdr:spPr>
            <a:xfrm>
              <a:off x="10591800" y="3718560"/>
              <a:ext cx="428625" cy="1714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 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95250</xdr:colOff>
          <xdr:row>17</xdr:row>
          <xdr:rowOff>38100</xdr:rowOff>
        </xdr:from>
        <xdr:to>
          <xdr:col>18</xdr:col>
          <xdr:colOff>523875</xdr:colOff>
          <xdr:row>17</xdr:row>
          <xdr:rowOff>209550</xdr:rowOff>
        </xdr:to>
        <xdr:sp>
          <xdr:nvSpPr>
            <xdr:cNvPr id="3107" name="Check Box 2083" hidden="1">
              <a:extLst>
                <a:ext uri="{63B3BB69-23CF-44E3-9099-C40C66FF867C}">
                  <a14:compatExt spid="_x0000_s3107"/>
                </a:ext>
              </a:extLst>
            </xdr:cNvPr>
            <xdr:cNvSpPr/>
          </xdr:nvSpPr>
          <xdr:spPr>
            <a:xfrm>
              <a:off x="10591800" y="3937635"/>
              <a:ext cx="428625" cy="1714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 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104775</xdr:colOff>
          <xdr:row>22</xdr:row>
          <xdr:rowOff>57150</xdr:rowOff>
        </xdr:from>
        <xdr:to>
          <xdr:col>9</xdr:col>
          <xdr:colOff>581025</xdr:colOff>
          <xdr:row>22</xdr:row>
          <xdr:rowOff>200025</xdr:rowOff>
        </xdr:to>
        <xdr:sp>
          <xdr:nvSpPr>
            <xdr:cNvPr id="3108" name="Option Button 2084" hidden="1">
              <a:extLst>
                <a:ext uri="{63B3BB69-23CF-44E3-9099-C40C66FF867C}">
                  <a14:compatExt spid="_x0000_s3108"/>
                </a:ext>
              </a:extLst>
            </xdr:cNvPr>
            <xdr:cNvSpPr/>
          </xdr:nvSpPr>
          <xdr:spPr>
            <a:xfrm>
              <a:off x="5591175" y="5059680"/>
              <a:ext cx="476250" cy="14287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 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104775</xdr:colOff>
          <xdr:row>23</xdr:row>
          <xdr:rowOff>57150</xdr:rowOff>
        </xdr:from>
        <xdr:to>
          <xdr:col>9</xdr:col>
          <xdr:colOff>695325</xdr:colOff>
          <xdr:row>23</xdr:row>
          <xdr:rowOff>200025</xdr:rowOff>
        </xdr:to>
        <xdr:sp>
          <xdr:nvSpPr>
            <xdr:cNvPr id="3110" name="Option Button 2086" hidden="1">
              <a:extLst>
                <a:ext uri="{63B3BB69-23CF-44E3-9099-C40C66FF867C}">
                  <a14:compatExt spid="_x0000_s3110"/>
                </a:ext>
              </a:extLst>
            </xdr:cNvPr>
            <xdr:cNvSpPr/>
          </xdr:nvSpPr>
          <xdr:spPr>
            <a:xfrm>
              <a:off x="5591175" y="5300345"/>
              <a:ext cx="590550" cy="1428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104775</xdr:colOff>
          <xdr:row>24</xdr:row>
          <xdr:rowOff>57150</xdr:rowOff>
        </xdr:from>
        <xdr:to>
          <xdr:col>9</xdr:col>
          <xdr:colOff>609600</xdr:colOff>
          <xdr:row>24</xdr:row>
          <xdr:rowOff>200025</xdr:rowOff>
        </xdr:to>
        <xdr:sp>
          <xdr:nvSpPr>
            <xdr:cNvPr id="3113" name="Option Button 2089" hidden="1">
              <a:extLst>
                <a:ext uri="{63B3BB69-23CF-44E3-9099-C40C66FF867C}">
                  <a14:compatExt spid="_x0000_s3113"/>
                </a:ext>
              </a:extLst>
            </xdr:cNvPr>
            <xdr:cNvSpPr/>
          </xdr:nvSpPr>
          <xdr:spPr>
            <a:xfrm>
              <a:off x="5591175" y="5541010"/>
              <a:ext cx="504825" cy="1428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561975</xdr:colOff>
          <xdr:row>20</xdr:row>
          <xdr:rowOff>104775</xdr:rowOff>
        </xdr:from>
        <xdr:to>
          <xdr:col>10</xdr:col>
          <xdr:colOff>133350</xdr:colOff>
          <xdr:row>25</xdr:row>
          <xdr:rowOff>95250</xdr:rowOff>
        </xdr:to>
        <xdr:sp>
          <xdr:nvSpPr>
            <xdr:cNvPr id="3115" name="Group Box 2091" hidden="1">
              <a:extLst>
                <a:ext uri="{63B3BB69-23CF-44E3-9099-C40C66FF867C}">
                  <a14:compatExt spid="_x0000_s3115"/>
                </a:ext>
              </a:extLst>
            </xdr:cNvPr>
            <xdr:cNvSpPr/>
          </xdr:nvSpPr>
          <xdr:spPr>
            <a:xfrm>
              <a:off x="5248275" y="4638040"/>
              <a:ext cx="1266825" cy="1181735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 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104775</xdr:colOff>
          <xdr:row>21</xdr:row>
          <xdr:rowOff>47625</xdr:rowOff>
        </xdr:from>
        <xdr:to>
          <xdr:col>9</xdr:col>
          <xdr:colOff>647700</xdr:colOff>
          <xdr:row>21</xdr:row>
          <xdr:rowOff>228600</xdr:rowOff>
        </xdr:to>
        <xdr:sp>
          <xdr:nvSpPr>
            <xdr:cNvPr id="3124" name="Option Button 2100" hidden="1">
              <a:extLst>
                <a:ext uri="{63B3BB69-23CF-44E3-9099-C40C66FF867C}">
                  <a14:compatExt spid="_x0000_s3124"/>
                </a:ext>
              </a:extLst>
            </xdr:cNvPr>
            <xdr:cNvSpPr/>
          </xdr:nvSpPr>
          <xdr:spPr>
            <a:xfrm>
              <a:off x="5591175" y="4809490"/>
              <a:ext cx="542925" cy="18097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628650</xdr:colOff>
      <xdr:row>5</xdr:row>
      <xdr:rowOff>0</xdr:rowOff>
    </xdr:from>
    <xdr:to>
      <xdr:col>4</xdr:col>
      <xdr:colOff>752475</xdr:colOff>
      <xdr:row>11</xdr:row>
      <xdr:rowOff>0</xdr:rowOff>
    </xdr:to>
    <xdr:grpSp>
      <xdr:nvGrpSpPr>
        <xdr:cNvPr id="6143" name="Group 194"/>
        <xdr:cNvGrpSpPr>
          <a:grpSpLocks noRot="1"/>
        </xdr:cNvGrpSpPr>
      </xdr:nvGrpSpPr>
      <xdr:grpSpPr>
        <a:xfrm>
          <a:off x="3314700" y="1095375"/>
          <a:ext cx="123825" cy="1600200"/>
          <a:chOff x="0" y="0"/>
          <a:chExt cx="204" cy="2263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4115" name="微调框 837" hidden="1">
                <a:extLst>
                  <a:ext uri="{63B3BB69-23CF-44E3-9099-C40C66FF867C}">
                    <a14:compatExt spid="_x0000_s4115"/>
                  </a:ext>
                </a:extLst>
              </xdr:cNvPr>
              <xdr:cNvSpPr/>
            </xdr:nvSpPr>
            <xdr:spPr>
              <a:xfrm>
                <a:off x="0" y="0"/>
                <a:ext cx="204" cy="348"/>
              </a:xfrm>
              <a:prstGeom prst="rect">
                <a:avLst/>
              </a:prstGeom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4114" name="微调框 840" hidden="1">
                <a:extLst>
                  <a:ext uri="{63B3BB69-23CF-44E3-9099-C40C66FF867C}">
                    <a14:compatExt spid="_x0000_s4114"/>
                  </a:ext>
                </a:extLst>
              </xdr:cNvPr>
              <xdr:cNvSpPr/>
            </xdr:nvSpPr>
            <xdr:spPr>
              <a:xfrm>
                <a:off x="0" y="396"/>
                <a:ext cx="204" cy="345"/>
              </a:xfrm>
              <a:prstGeom prst="rect">
                <a:avLst/>
              </a:prstGeom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4113" name="微调框 846" hidden="1">
                <a:extLst>
                  <a:ext uri="{63B3BB69-23CF-44E3-9099-C40C66FF867C}">
                    <a14:compatExt spid="_x0000_s4113"/>
                  </a:ext>
                </a:extLst>
              </xdr:cNvPr>
              <xdr:cNvSpPr/>
            </xdr:nvSpPr>
            <xdr:spPr>
              <a:xfrm>
                <a:off x="0" y="792"/>
                <a:ext cx="204" cy="345"/>
              </a:xfrm>
              <a:prstGeom prst="rect">
                <a:avLst/>
              </a:prstGeom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4112" name="微调框 847" hidden="1">
                <a:extLst>
                  <a:ext uri="{63B3BB69-23CF-44E3-9099-C40C66FF867C}">
                    <a14:compatExt spid="_x0000_s4112"/>
                  </a:ext>
                </a:extLst>
              </xdr:cNvPr>
              <xdr:cNvSpPr/>
            </xdr:nvSpPr>
            <xdr:spPr>
              <a:xfrm>
                <a:off x="0" y="1171"/>
                <a:ext cx="204" cy="345"/>
              </a:xfrm>
              <a:prstGeom prst="rect">
                <a:avLst/>
              </a:prstGeom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4111" name="微调框 848" hidden="1">
                <a:extLst>
                  <a:ext uri="{63B3BB69-23CF-44E3-9099-C40C66FF867C}">
                    <a14:compatExt spid="_x0000_s4111"/>
                  </a:ext>
                </a:extLst>
              </xdr:cNvPr>
              <xdr:cNvSpPr/>
            </xdr:nvSpPr>
            <xdr:spPr>
              <a:xfrm>
                <a:off x="0" y="1552"/>
                <a:ext cx="204" cy="345"/>
              </a:xfrm>
              <a:prstGeom prst="rect">
                <a:avLst/>
              </a:prstGeom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4110" name="微调框 849" hidden="1">
                <a:extLst>
                  <a:ext uri="{63B3BB69-23CF-44E3-9099-C40C66FF867C}">
                    <a14:compatExt spid="_x0000_s4110"/>
                  </a:ext>
                </a:extLst>
              </xdr:cNvPr>
              <xdr:cNvSpPr/>
            </xdr:nvSpPr>
            <xdr:spPr>
              <a:xfrm>
                <a:off x="0" y="1918"/>
                <a:ext cx="204" cy="345"/>
              </a:xfrm>
              <a:prstGeom prst="rect">
                <a:avLst/>
              </a:prstGeom>
            </xdr:spPr>
          </xdr:sp>
        </mc:Choice>
        <mc:Fallback/>
      </mc:AlternateContent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104775</xdr:colOff>
          <xdr:row>6</xdr:row>
          <xdr:rowOff>66675</xdr:rowOff>
        </xdr:from>
        <xdr:to>
          <xdr:col>5</xdr:col>
          <xdr:colOff>285750</xdr:colOff>
          <xdr:row>6</xdr:row>
          <xdr:rowOff>171450</xdr:rowOff>
        </xdr:to>
        <xdr:sp>
          <xdr:nvSpPr>
            <xdr:cNvPr id="4109" name="选项按钮 901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>
            <a:xfrm>
              <a:off x="3571875" y="1428750"/>
              <a:ext cx="180975" cy="10477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104775</xdr:colOff>
          <xdr:row>7</xdr:row>
          <xdr:rowOff>76200</xdr:rowOff>
        </xdr:from>
        <xdr:to>
          <xdr:col>5</xdr:col>
          <xdr:colOff>285750</xdr:colOff>
          <xdr:row>7</xdr:row>
          <xdr:rowOff>190500</xdr:rowOff>
        </xdr:to>
        <xdr:sp>
          <xdr:nvSpPr>
            <xdr:cNvPr id="4108" name="选项按钮 90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>
            <a:xfrm>
              <a:off x="3571875" y="1704975"/>
              <a:ext cx="180975" cy="11430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104775</xdr:colOff>
          <xdr:row>8</xdr:row>
          <xdr:rowOff>85725</xdr:rowOff>
        </xdr:from>
        <xdr:to>
          <xdr:col>5</xdr:col>
          <xdr:colOff>285750</xdr:colOff>
          <xdr:row>8</xdr:row>
          <xdr:rowOff>190500</xdr:rowOff>
        </xdr:to>
        <xdr:sp>
          <xdr:nvSpPr>
            <xdr:cNvPr id="4107" name="选项按钮 903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>
            <a:xfrm>
              <a:off x="3571875" y="1981200"/>
              <a:ext cx="180975" cy="10477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104775</xdr:colOff>
          <xdr:row>9</xdr:row>
          <xdr:rowOff>76200</xdr:rowOff>
        </xdr:from>
        <xdr:to>
          <xdr:col>5</xdr:col>
          <xdr:colOff>285750</xdr:colOff>
          <xdr:row>9</xdr:row>
          <xdr:rowOff>180975</xdr:rowOff>
        </xdr:to>
        <xdr:sp>
          <xdr:nvSpPr>
            <xdr:cNvPr id="4106" name="选项按钮 904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>
            <a:xfrm>
              <a:off x="3571875" y="2238375"/>
              <a:ext cx="180975" cy="10477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104775</xdr:colOff>
          <xdr:row>10</xdr:row>
          <xdr:rowOff>76200</xdr:rowOff>
        </xdr:from>
        <xdr:to>
          <xdr:col>5</xdr:col>
          <xdr:colOff>285750</xdr:colOff>
          <xdr:row>10</xdr:row>
          <xdr:rowOff>180975</xdr:rowOff>
        </xdr:to>
        <xdr:sp>
          <xdr:nvSpPr>
            <xdr:cNvPr id="4105" name="选项按钮 905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>
            <a:xfrm>
              <a:off x="3571875" y="2505075"/>
              <a:ext cx="180975" cy="10477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6</xdr:row>
          <xdr:rowOff>57150</xdr:rowOff>
        </xdr:from>
        <xdr:to>
          <xdr:col>6</xdr:col>
          <xdr:colOff>266700</xdr:colOff>
          <xdr:row>6</xdr:row>
          <xdr:rowOff>171450</xdr:rowOff>
        </xdr:to>
        <xdr:sp>
          <xdr:nvSpPr>
            <xdr:cNvPr id="4104" name="选项按钮 932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>
            <a:xfrm>
              <a:off x="4010025" y="1419225"/>
              <a:ext cx="180975" cy="11430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7</xdr:row>
          <xdr:rowOff>66675</xdr:rowOff>
        </xdr:from>
        <xdr:to>
          <xdr:col>6</xdr:col>
          <xdr:colOff>266700</xdr:colOff>
          <xdr:row>7</xdr:row>
          <xdr:rowOff>171450</xdr:rowOff>
        </xdr:to>
        <xdr:sp>
          <xdr:nvSpPr>
            <xdr:cNvPr id="4103" name="选项按钮 933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4010025" y="1695450"/>
              <a:ext cx="180975" cy="10477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8</xdr:row>
          <xdr:rowOff>76200</xdr:rowOff>
        </xdr:from>
        <xdr:to>
          <xdr:col>6</xdr:col>
          <xdr:colOff>266700</xdr:colOff>
          <xdr:row>8</xdr:row>
          <xdr:rowOff>180975</xdr:rowOff>
        </xdr:to>
        <xdr:sp>
          <xdr:nvSpPr>
            <xdr:cNvPr id="4102" name="选项按钮 934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4010025" y="1971675"/>
              <a:ext cx="180975" cy="10477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9</xdr:row>
          <xdr:rowOff>66675</xdr:rowOff>
        </xdr:from>
        <xdr:to>
          <xdr:col>6</xdr:col>
          <xdr:colOff>266700</xdr:colOff>
          <xdr:row>9</xdr:row>
          <xdr:rowOff>171450</xdr:rowOff>
        </xdr:to>
        <xdr:sp>
          <xdr:nvSpPr>
            <xdr:cNvPr id="4101" name="选项按钮 93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>
            <a:xfrm>
              <a:off x="4010025" y="2228850"/>
              <a:ext cx="180975" cy="10477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10</xdr:row>
          <xdr:rowOff>85725</xdr:rowOff>
        </xdr:from>
        <xdr:to>
          <xdr:col>6</xdr:col>
          <xdr:colOff>266700</xdr:colOff>
          <xdr:row>10</xdr:row>
          <xdr:rowOff>190500</xdr:rowOff>
        </xdr:to>
        <xdr:sp>
          <xdr:nvSpPr>
            <xdr:cNvPr id="4100" name="选项按钮 936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4010025" y="2514600"/>
              <a:ext cx="180975" cy="10477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333375</xdr:colOff>
          <xdr:row>5</xdr:row>
          <xdr:rowOff>152400</xdr:rowOff>
        </xdr:from>
        <xdr:to>
          <xdr:col>6</xdr:col>
          <xdr:colOff>228600</xdr:colOff>
          <xdr:row>10</xdr:row>
          <xdr:rowOff>104775</xdr:rowOff>
        </xdr:to>
        <xdr:sp>
          <xdr:nvSpPr>
            <xdr:cNvPr id="4099" name="分组框 942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3800475" y="1247775"/>
              <a:ext cx="352425" cy="128587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5</xdr:row>
          <xdr:rowOff>171450</xdr:rowOff>
        </xdr:from>
        <xdr:to>
          <xdr:col>5</xdr:col>
          <xdr:colOff>438150</xdr:colOff>
          <xdr:row>11</xdr:row>
          <xdr:rowOff>9525</xdr:rowOff>
        </xdr:to>
        <xdr:sp>
          <xdr:nvSpPr>
            <xdr:cNvPr id="4098" name="Group Box 26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3476625" y="1266825"/>
              <a:ext cx="428625" cy="1438275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 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5</xdr:row>
          <xdr:rowOff>171450</xdr:rowOff>
        </xdr:from>
        <xdr:to>
          <xdr:col>6</xdr:col>
          <xdr:colOff>438150</xdr:colOff>
          <xdr:row>10</xdr:row>
          <xdr:rowOff>257175</xdr:rowOff>
        </xdr:to>
        <xdr:sp>
          <xdr:nvSpPr>
            <xdr:cNvPr id="4097" name="Group Box 27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3933825" y="1266825"/>
              <a:ext cx="428625" cy="1419225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 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round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6.xml"/><Relationship Id="rId83" Type="http://schemas.openxmlformats.org/officeDocument/2006/relationships/hyperlink" Target="http://wiki.52poke.com/wiki/%E9%92%BB%E7%9F%B3%E6%9A%B4%E9%A3%8E%EF%BC%88%E6%8A%80%E8%83%BD%EF%BC%89" TargetMode="External"/><Relationship Id="rId82" Type="http://schemas.openxmlformats.org/officeDocument/2006/relationships/ctrlProp" Target="../ctrlProps/ctrlProp79.xml"/><Relationship Id="rId81" Type="http://schemas.openxmlformats.org/officeDocument/2006/relationships/ctrlProp" Target="../ctrlProps/ctrlProp78.xml"/><Relationship Id="rId80" Type="http://schemas.openxmlformats.org/officeDocument/2006/relationships/ctrlProp" Target="../ctrlProps/ctrlProp77.xml"/><Relationship Id="rId8" Type="http://schemas.openxmlformats.org/officeDocument/2006/relationships/ctrlProp" Target="../ctrlProps/ctrlProp5.xml"/><Relationship Id="rId79" Type="http://schemas.openxmlformats.org/officeDocument/2006/relationships/ctrlProp" Target="../ctrlProps/ctrlProp76.xml"/><Relationship Id="rId78" Type="http://schemas.openxmlformats.org/officeDocument/2006/relationships/ctrlProp" Target="../ctrlProps/ctrlProp75.xml"/><Relationship Id="rId77" Type="http://schemas.openxmlformats.org/officeDocument/2006/relationships/ctrlProp" Target="../ctrlProps/ctrlProp74.xml"/><Relationship Id="rId76" Type="http://schemas.openxmlformats.org/officeDocument/2006/relationships/ctrlProp" Target="../ctrlProps/ctrlProp73.xml"/><Relationship Id="rId75" Type="http://schemas.openxmlformats.org/officeDocument/2006/relationships/ctrlProp" Target="../ctrlProps/ctrlProp72.xml"/><Relationship Id="rId74" Type="http://schemas.openxmlformats.org/officeDocument/2006/relationships/ctrlProp" Target="../ctrlProps/ctrlProp71.xml"/><Relationship Id="rId73" Type="http://schemas.openxmlformats.org/officeDocument/2006/relationships/ctrlProp" Target="../ctrlProps/ctrlProp70.xml"/><Relationship Id="rId72" Type="http://schemas.openxmlformats.org/officeDocument/2006/relationships/ctrlProp" Target="../ctrlProps/ctrlProp69.xml"/><Relationship Id="rId71" Type="http://schemas.openxmlformats.org/officeDocument/2006/relationships/ctrlProp" Target="../ctrlProps/ctrlProp68.xml"/><Relationship Id="rId70" Type="http://schemas.openxmlformats.org/officeDocument/2006/relationships/ctrlProp" Target="../ctrlProps/ctrlProp67.xml"/><Relationship Id="rId7" Type="http://schemas.openxmlformats.org/officeDocument/2006/relationships/ctrlProp" Target="../ctrlProps/ctrlProp4.xml"/><Relationship Id="rId69" Type="http://schemas.openxmlformats.org/officeDocument/2006/relationships/ctrlProp" Target="../ctrlProps/ctrlProp66.xml"/><Relationship Id="rId68" Type="http://schemas.openxmlformats.org/officeDocument/2006/relationships/ctrlProp" Target="../ctrlProps/ctrlProp65.xml"/><Relationship Id="rId67" Type="http://schemas.openxmlformats.org/officeDocument/2006/relationships/ctrlProp" Target="../ctrlProps/ctrlProp64.xml"/><Relationship Id="rId66" Type="http://schemas.openxmlformats.org/officeDocument/2006/relationships/ctrlProp" Target="../ctrlProps/ctrlProp63.xml"/><Relationship Id="rId65" Type="http://schemas.openxmlformats.org/officeDocument/2006/relationships/ctrlProp" Target="../ctrlProps/ctrlProp62.xml"/><Relationship Id="rId64" Type="http://schemas.openxmlformats.org/officeDocument/2006/relationships/ctrlProp" Target="../ctrlProps/ctrlProp61.xml"/><Relationship Id="rId63" Type="http://schemas.openxmlformats.org/officeDocument/2006/relationships/ctrlProp" Target="../ctrlProps/ctrlProp60.xml"/><Relationship Id="rId62" Type="http://schemas.openxmlformats.org/officeDocument/2006/relationships/ctrlProp" Target="../ctrlProps/ctrlProp59.xml"/><Relationship Id="rId61" Type="http://schemas.openxmlformats.org/officeDocument/2006/relationships/ctrlProp" Target="../ctrlProps/ctrlProp58.xml"/><Relationship Id="rId60" Type="http://schemas.openxmlformats.org/officeDocument/2006/relationships/ctrlProp" Target="../ctrlProps/ctrlProp57.xml"/><Relationship Id="rId6" Type="http://schemas.openxmlformats.org/officeDocument/2006/relationships/ctrlProp" Target="../ctrlProps/ctrlProp3.xml"/><Relationship Id="rId59" Type="http://schemas.openxmlformats.org/officeDocument/2006/relationships/ctrlProp" Target="../ctrlProps/ctrlProp56.xml"/><Relationship Id="rId58" Type="http://schemas.openxmlformats.org/officeDocument/2006/relationships/ctrlProp" Target="../ctrlProps/ctrlProp55.xml"/><Relationship Id="rId57" Type="http://schemas.openxmlformats.org/officeDocument/2006/relationships/ctrlProp" Target="../ctrlProps/ctrlProp54.xml"/><Relationship Id="rId56" Type="http://schemas.openxmlformats.org/officeDocument/2006/relationships/ctrlProp" Target="../ctrlProps/ctrlProp53.xml"/><Relationship Id="rId55" Type="http://schemas.openxmlformats.org/officeDocument/2006/relationships/ctrlProp" Target="../ctrlProps/ctrlProp52.xml"/><Relationship Id="rId54" Type="http://schemas.openxmlformats.org/officeDocument/2006/relationships/ctrlProp" Target="../ctrlProps/ctrlProp51.xml"/><Relationship Id="rId53" Type="http://schemas.openxmlformats.org/officeDocument/2006/relationships/ctrlProp" Target="../ctrlProps/ctrlProp50.xml"/><Relationship Id="rId52" Type="http://schemas.openxmlformats.org/officeDocument/2006/relationships/ctrlProp" Target="../ctrlProps/ctrlProp49.xml"/><Relationship Id="rId51" Type="http://schemas.openxmlformats.org/officeDocument/2006/relationships/ctrlProp" Target="../ctrlProps/ctrlProp48.xml"/><Relationship Id="rId50" Type="http://schemas.openxmlformats.org/officeDocument/2006/relationships/ctrlProp" Target="../ctrlProps/ctrlProp47.xml"/><Relationship Id="rId5" Type="http://schemas.openxmlformats.org/officeDocument/2006/relationships/ctrlProp" Target="../ctrlProps/ctrlProp2.xml"/><Relationship Id="rId49" Type="http://schemas.openxmlformats.org/officeDocument/2006/relationships/ctrlProp" Target="../ctrlProps/ctrlProp46.xml"/><Relationship Id="rId48" Type="http://schemas.openxmlformats.org/officeDocument/2006/relationships/ctrlProp" Target="../ctrlProps/ctrlProp45.xml"/><Relationship Id="rId47" Type="http://schemas.openxmlformats.org/officeDocument/2006/relationships/ctrlProp" Target="../ctrlProps/ctrlProp44.xml"/><Relationship Id="rId46" Type="http://schemas.openxmlformats.org/officeDocument/2006/relationships/ctrlProp" Target="../ctrlProps/ctrlProp43.xml"/><Relationship Id="rId45" Type="http://schemas.openxmlformats.org/officeDocument/2006/relationships/ctrlProp" Target="../ctrlProps/ctrlProp42.xml"/><Relationship Id="rId44" Type="http://schemas.openxmlformats.org/officeDocument/2006/relationships/ctrlProp" Target="../ctrlProps/ctrlProp41.xml"/><Relationship Id="rId43" Type="http://schemas.openxmlformats.org/officeDocument/2006/relationships/ctrlProp" Target="../ctrlProps/ctrlProp40.xml"/><Relationship Id="rId42" Type="http://schemas.openxmlformats.org/officeDocument/2006/relationships/ctrlProp" Target="../ctrlProps/ctrlProp39.xml"/><Relationship Id="rId41" Type="http://schemas.openxmlformats.org/officeDocument/2006/relationships/ctrlProp" Target="../ctrlProps/ctrlProp38.xml"/><Relationship Id="rId40" Type="http://schemas.openxmlformats.org/officeDocument/2006/relationships/ctrlProp" Target="../ctrlProps/ctrlProp37.xml"/><Relationship Id="rId4" Type="http://schemas.openxmlformats.org/officeDocument/2006/relationships/ctrlProp" Target="../ctrlProps/ctrlProp1.xml"/><Relationship Id="rId39" Type="http://schemas.openxmlformats.org/officeDocument/2006/relationships/ctrlProp" Target="../ctrlProps/ctrlProp36.xml"/><Relationship Id="rId38" Type="http://schemas.openxmlformats.org/officeDocument/2006/relationships/ctrlProp" Target="../ctrlProps/ctrlProp35.xml"/><Relationship Id="rId37" Type="http://schemas.openxmlformats.org/officeDocument/2006/relationships/ctrlProp" Target="../ctrlProps/ctrlProp34.xml"/><Relationship Id="rId36" Type="http://schemas.openxmlformats.org/officeDocument/2006/relationships/ctrlProp" Target="../ctrlProps/ctrlProp33.xml"/><Relationship Id="rId35" Type="http://schemas.openxmlformats.org/officeDocument/2006/relationships/ctrlProp" Target="../ctrlProps/ctrlProp32.xml"/><Relationship Id="rId34" Type="http://schemas.openxmlformats.org/officeDocument/2006/relationships/ctrlProp" Target="../ctrlProps/ctrlProp31.xml"/><Relationship Id="rId33" Type="http://schemas.openxmlformats.org/officeDocument/2006/relationships/ctrlProp" Target="../ctrlProps/ctrlProp30.xml"/><Relationship Id="rId32" Type="http://schemas.openxmlformats.org/officeDocument/2006/relationships/ctrlProp" Target="../ctrlProps/ctrlProp29.xml"/><Relationship Id="rId31" Type="http://schemas.openxmlformats.org/officeDocument/2006/relationships/ctrlProp" Target="../ctrlProps/ctrlProp28.xml"/><Relationship Id="rId30" Type="http://schemas.openxmlformats.org/officeDocument/2006/relationships/ctrlProp" Target="../ctrlProps/ctrlProp27.xml"/><Relationship Id="rId3" Type="http://schemas.openxmlformats.org/officeDocument/2006/relationships/vmlDrawing" Target="../drawings/vmlDrawing1.vml"/><Relationship Id="rId29" Type="http://schemas.openxmlformats.org/officeDocument/2006/relationships/ctrlProp" Target="../ctrlProps/ctrlProp26.xml"/><Relationship Id="rId28" Type="http://schemas.openxmlformats.org/officeDocument/2006/relationships/ctrlProp" Target="../ctrlProps/ctrlProp25.xml"/><Relationship Id="rId27" Type="http://schemas.openxmlformats.org/officeDocument/2006/relationships/ctrlProp" Target="../ctrlProps/ctrlProp24.xml"/><Relationship Id="rId26" Type="http://schemas.openxmlformats.org/officeDocument/2006/relationships/ctrlProp" Target="../ctrlProps/ctrlProp23.xml"/><Relationship Id="rId25" Type="http://schemas.openxmlformats.org/officeDocument/2006/relationships/ctrlProp" Target="../ctrlProps/ctrlProp22.xml"/><Relationship Id="rId24" Type="http://schemas.openxmlformats.org/officeDocument/2006/relationships/ctrlProp" Target="../ctrlProps/ctrlProp21.xml"/><Relationship Id="rId23" Type="http://schemas.openxmlformats.org/officeDocument/2006/relationships/ctrlProp" Target="../ctrlProps/ctrlProp20.xml"/><Relationship Id="rId22" Type="http://schemas.openxmlformats.org/officeDocument/2006/relationships/ctrlProp" Target="../ctrlProps/ctrlProp19.xml"/><Relationship Id="rId21" Type="http://schemas.openxmlformats.org/officeDocument/2006/relationships/ctrlProp" Target="../ctrlProps/ctrlProp18.xml"/><Relationship Id="rId20" Type="http://schemas.openxmlformats.org/officeDocument/2006/relationships/ctrlProp" Target="../ctrlProps/ctrlProp17.xml"/><Relationship Id="rId2" Type="http://schemas.openxmlformats.org/officeDocument/2006/relationships/drawing" Target="../drawings/drawing1.xml"/><Relationship Id="rId19" Type="http://schemas.openxmlformats.org/officeDocument/2006/relationships/ctrlProp" Target="../ctrlProps/ctrlProp16.xml"/><Relationship Id="rId18" Type="http://schemas.openxmlformats.org/officeDocument/2006/relationships/ctrlProp" Target="../ctrlProps/ctrlProp15.xml"/><Relationship Id="rId17" Type="http://schemas.openxmlformats.org/officeDocument/2006/relationships/ctrlProp" Target="../ctrlProps/ctrlProp14.xml"/><Relationship Id="rId16" Type="http://schemas.openxmlformats.org/officeDocument/2006/relationships/ctrlProp" Target="../ctrlProps/ctrlProp13.xml"/><Relationship Id="rId15" Type="http://schemas.openxmlformats.org/officeDocument/2006/relationships/ctrlProp" Target="../ctrlProps/ctrlProp12.xml"/><Relationship Id="rId14" Type="http://schemas.openxmlformats.org/officeDocument/2006/relationships/ctrlProp" Target="../ctrlProps/ctrlProp11.xml"/><Relationship Id="rId13" Type="http://schemas.openxmlformats.org/officeDocument/2006/relationships/ctrlProp" Target="../ctrlProps/ctrlProp10.xml"/><Relationship Id="rId12" Type="http://schemas.openxmlformats.org/officeDocument/2006/relationships/ctrlProp" Target="../ctrlProps/ctrlProp9.xml"/><Relationship Id="rId11" Type="http://schemas.openxmlformats.org/officeDocument/2006/relationships/ctrlProp" Target="../ctrlProps/ctrlProp8.xml"/><Relationship Id="rId10" Type="http://schemas.openxmlformats.org/officeDocument/2006/relationships/ctrlProp" Target="../ctrlProps/ctrlProp7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86.xml"/><Relationship Id="rId8" Type="http://schemas.openxmlformats.org/officeDocument/2006/relationships/ctrlProp" Target="../ctrlProps/ctrlProp85.xml"/><Relationship Id="rId7" Type="http://schemas.openxmlformats.org/officeDocument/2006/relationships/ctrlProp" Target="../ctrlProps/ctrlProp84.xml"/><Relationship Id="rId6" Type="http://schemas.openxmlformats.org/officeDocument/2006/relationships/ctrlProp" Target="../ctrlProps/ctrlProp83.xml"/><Relationship Id="rId5" Type="http://schemas.openxmlformats.org/officeDocument/2006/relationships/ctrlProp" Target="../ctrlProps/ctrlProp82.xml"/><Relationship Id="rId4" Type="http://schemas.openxmlformats.org/officeDocument/2006/relationships/ctrlProp" Target="../ctrlProps/ctrlProp81.xml"/><Relationship Id="rId3" Type="http://schemas.openxmlformats.org/officeDocument/2006/relationships/ctrlProp" Target="../ctrlProps/ctrlProp80.xml"/><Relationship Id="rId21" Type="http://schemas.openxmlformats.org/officeDocument/2006/relationships/ctrlProp" Target="../ctrlProps/ctrlProp98.xml"/><Relationship Id="rId20" Type="http://schemas.openxmlformats.org/officeDocument/2006/relationships/ctrlProp" Target="../ctrlProps/ctrlProp97.xml"/><Relationship Id="rId2" Type="http://schemas.openxmlformats.org/officeDocument/2006/relationships/vmlDrawing" Target="../drawings/vmlDrawing2.vml"/><Relationship Id="rId19" Type="http://schemas.openxmlformats.org/officeDocument/2006/relationships/ctrlProp" Target="../ctrlProps/ctrlProp96.xml"/><Relationship Id="rId18" Type="http://schemas.openxmlformats.org/officeDocument/2006/relationships/ctrlProp" Target="../ctrlProps/ctrlProp95.xml"/><Relationship Id="rId17" Type="http://schemas.openxmlformats.org/officeDocument/2006/relationships/ctrlProp" Target="../ctrlProps/ctrlProp94.xml"/><Relationship Id="rId16" Type="http://schemas.openxmlformats.org/officeDocument/2006/relationships/ctrlProp" Target="../ctrlProps/ctrlProp93.xml"/><Relationship Id="rId15" Type="http://schemas.openxmlformats.org/officeDocument/2006/relationships/ctrlProp" Target="../ctrlProps/ctrlProp92.xml"/><Relationship Id="rId14" Type="http://schemas.openxmlformats.org/officeDocument/2006/relationships/ctrlProp" Target="../ctrlProps/ctrlProp91.xml"/><Relationship Id="rId13" Type="http://schemas.openxmlformats.org/officeDocument/2006/relationships/ctrlProp" Target="../ctrlProps/ctrlProp90.xml"/><Relationship Id="rId12" Type="http://schemas.openxmlformats.org/officeDocument/2006/relationships/ctrlProp" Target="../ctrlProps/ctrlProp89.xml"/><Relationship Id="rId11" Type="http://schemas.openxmlformats.org/officeDocument/2006/relationships/ctrlProp" Target="../ctrlProps/ctrlProp88.xml"/><Relationship Id="rId10" Type="http://schemas.openxmlformats.org/officeDocument/2006/relationships/ctrlProp" Target="../ctrlProps/ctrlProp87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T810"/>
  <sheetViews>
    <sheetView workbookViewId="0">
      <selection activeCell="A4" sqref="A4:D4"/>
    </sheetView>
  </sheetViews>
  <sheetFormatPr defaultColWidth="9" defaultRowHeight="14.25"/>
  <cols>
    <col min="1" max="1" width="8.875" customWidth="1"/>
    <col min="2" max="2" width="8.625" customWidth="1"/>
    <col min="3" max="3" width="5.375" customWidth="1"/>
    <col min="4" max="4" width="9.625" customWidth="1"/>
    <col min="5" max="5" width="9.75" customWidth="1"/>
    <col min="6" max="7" width="5.125" customWidth="1"/>
    <col min="9" max="9" width="10.5" customWidth="1"/>
    <col min="10" max="10" width="11.75" customWidth="1"/>
    <col min="11" max="11" width="3.5" customWidth="1"/>
    <col min="12" max="12" width="9.25" customWidth="1"/>
    <col min="13" max="13" width="8.5" customWidth="1"/>
    <col min="14" max="14" width="5.375" customWidth="1"/>
    <col min="15" max="15" width="9" customWidth="1"/>
    <col min="16" max="16" width="9.125" customWidth="1"/>
    <col min="17" max="18" width="4.625" customWidth="1"/>
    <col min="19" max="19" width="9.5" customWidth="1"/>
    <col min="20" max="21" width="9.625" customWidth="1"/>
    <col min="22" max="22" width="9.625" style="181" customWidth="1"/>
    <col min="23" max="23" width="14.25" customWidth="1"/>
    <col min="24" max="24" width="12.625" customWidth="1"/>
    <col min="25" max="25" width="12" customWidth="1"/>
    <col min="27" max="27" width="11.375" customWidth="1"/>
    <col min="28" max="29" width="7.75" customWidth="1"/>
    <col min="30" max="30" width="11.125" customWidth="1"/>
    <col min="31" max="31" width="19.25" customWidth="1"/>
    <col min="32" max="32" width="15.375" customWidth="1"/>
    <col min="33" max="35" width="8.75" customWidth="1"/>
    <col min="36" max="36" width="4.75" customWidth="1"/>
    <col min="37" max="43" width="9" customWidth="1"/>
    <col min="44" max="45" width="4.75" customWidth="1"/>
    <col min="46" max="46" width="7.375" customWidth="1"/>
    <col min="47" max="47" width="12.625" customWidth="1"/>
    <col min="56" max="56" width="11.125"/>
    <col min="59" max="59" width="12.625"/>
    <col min="71" max="71" width="11.875" customWidth="1"/>
    <col min="89" max="89" width="9" style="182"/>
    <col min="91" max="91" width="12.5" customWidth="1"/>
    <col min="92" max="92" width="14" customWidth="1"/>
    <col min="94" max="94" width="7.25" customWidth="1"/>
  </cols>
  <sheetData>
    <row r="1" ht="26.1" customHeight="1" spans="1:48">
      <c r="A1" s="183" t="s">
        <v>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AU1" t="s">
        <v>1</v>
      </c>
      <c r="AV1" t="s">
        <v>2</v>
      </c>
    </row>
    <row r="2" ht="15" spans="1:52">
      <c r="A2" s="184" t="s">
        <v>3</v>
      </c>
      <c r="B2" s="185"/>
      <c r="C2" s="185"/>
      <c r="D2" s="185"/>
      <c r="E2" s="185"/>
      <c r="F2" s="185"/>
      <c r="G2" s="185"/>
      <c r="H2" s="186"/>
      <c r="L2" s="184" t="s">
        <v>4</v>
      </c>
      <c r="M2" s="185"/>
      <c r="N2" s="185"/>
      <c r="O2" s="185"/>
      <c r="P2" s="185"/>
      <c r="Q2" s="185"/>
      <c r="R2" s="185"/>
      <c r="S2" s="186"/>
      <c r="V2" s="370" t="s">
        <v>5</v>
      </c>
      <c r="W2" s="12" t="s">
        <v>6</v>
      </c>
      <c r="X2" s="371" t="s">
        <v>7</v>
      </c>
      <c r="Y2" s="371" t="s">
        <v>8</v>
      </c>
      <c r="AU2" t="s">
        <v>9</v>
      </c>
      <c r="AV2" t="s">
        <v>10</v>
      </c>
      <c r="AW2" t="s">
        <v>11</v>
      </c>
      <c r="AX2" t="s">
        <v>12</v>
      </c>
      <c r="AY2" t="s">
        <v>13</v>
      </c>
      <c r="AZ2" t="s">
        <v>14</v>
      </c>
    </row>
    <row r="3" ht="9.95" customHeight="1" spans="1:51">
      <c r="A3" s="187"/>
      <c r="B3" s="188"/>
      <c r="C3" s="188"/>
      <c r="D3" s="188"/>
      <c r="E3" s="188"/>
      <c r="F3" s="188"/>
      <c r="G3" s="188"/>
      <c r="H3" s="189"/>
      <c r="K3" s="180"/>
      <c r="L3" s="187"/>
      <c r="M3" s="188"/>
      <c r="N3" s="188"/>
      <c r="O3" s="188"/>
      <c r="P3" s="188"/>
      <c r="Q3" s="188"/>
      <c r="R3" s="188"/>
      <c r="S3" s="189"/>
      <c r="V3" s="370" t="s">
        <v>15</v>
      </c>
      <c r="W3" s="12" t="s">
        <v>16</v>
      </c>
      <c r="X3" s="371" t="s">
        <v>17</v>
      </c>
      <c r="Y3" s="371" t="s">
        <v>18</v>
      </c>
      <c r="AU3">
        <v>1</v>
      </c>
      <c r="AV3">
        <f>IF(C36="根性",1,0.5)</f>
        <v>0.5</v>
      </c>
      <c r="AW3">
        <v>1</v>
      </c>
      <c r="AX3">
        <v>1</v>
      </c>
      <c r="AY3">
        <v>1</v>
      </c>
    </row>
    <row r="4" ht="21" customHeight="1" spans="1:25">
      <c r="A4" s="190" t="s">
        <v>19</v>
      </c>
      <c r="B4" s="191"/>
      <c r="C4" s="191"/>
      <c r="D4" s="191"/>
      <c r="E4" s="192" t="s">
        <v>20</v>
      </c>
      <c r="F4" s="193">
        <v>50</v>
      </c>
      <c r="G4" s="193"/>
      <c r="H4" s="194"/>
      <c r="L4" s="190" t="s">
        <v>21</v>
      </c>
      <c r="M4" s="191"/>
      <c r="N4" s="191"/>
      <c r="O4" s="191"/>
      <c r="P4" s="192" t="s">
        <v>20</v>
      </c>
      <c r="Q4" s="193">
        <v>50</v>
      </c>
      <c r="R4" s="193"/>
      <c r="S4" s="194"/>
      <c r="V4" s="370" t="s">
        <v>22</v>
      </c>
      <c r="W4" s="12" t="s">
        <v>23</v>
      </c>
      <c r="X4" s="371" t="s">
        <v>24</v>
      </c>
      <c r="Y4" s="371" t="s">
        <v>25</v>
      </c>
    </row>
    <row r="5" ht="17.1" customHeight="1" spans="1:98">
      <c r="A5" s="195"/>
      <c r="B5" s="166" t="s">
        <v>26</v>
      </c>
      <c r="C5" s="166"/>
      <c r="D5" s="166" t="s">
        <v>27</v>
      </c>
      <c r="E5" s="167" t="s">
        <v>28</v>
      </c>
      <c r="F5" s="167" t="s">
        <v>29</v>
      </c>
      <c r="G5" s="167"/>
      <c r="H5" s="196" t="s">
        <v>30</v>
      </c>
      <c r="L5" s="195"/>
      <c r="M5" s="166" t="s">
        <v>26</v>
      </c>
      <c r="N5" s="166"/>
      <c r="O5" s="166" t="s">
        <v>27</v>
      </c>
      <c r="P5" s="167" t="s">
        <v>28</v>
      </c>
      <c r="Q5" s="167" t="s">
        <v>29</v>
      </c>
      <c r="R5" s="167"/>
      <c r="S5" s="196" t="s">
        <v>30</v>
      </c>
      <c r="V5" s="370" t="s">
        <v>31</v>
      </c>
      <c r="W5" s="12" t="s">
        <v>32</v>
      </c>
      <c r="X5" s="371" t="s">
        <v>33</v>
      </c>
      <c r="Y5" s="371" t="s">
        <v>34</v>
      </c>
      <c r="AU5" t="s">
        <v>35</v>
      </c>
      <c r="AV5" s="206" t="s">
        <v>36</v>
      </c>
      <c r="AW5" s="206" t="s">
        <v>37</v>
      </c>
      <c r="AX5" s="206" t="s">
        <v>38</v>
      </c>
      <c r="AY5" s="206" t="s">
        <v>39</v>
      </c>
      <c r="AZ5" s="206" t="s">
        <v>40</v>
      </c>
      <c r="BA5" s="206" t="s">
        <v>41</v>
      </c>
      <c r="BB5" s="206" t="s">
        <v>42</v>
      </c>
      <c r="BC5" s="206" t="s">
        <v>43</v>
      </c>
      <c r="BD5" s="206" t="s">
        <v>44</v>
      </c>
      <c r="BE5" s="206" t="s">
        <v>45</v>
      </c>
      <c r="BF5" s="206" t="s">
        <v>46</v>
      </c>
      <c r="BG5" s="206" t="s">
        <v>47</v>
      </c>
      <c r="BH5" s="206" t="s">
        <v>48</v>
      </c>
      <c r="BI5" s="206" t="s">
        <v>49</v>
      </c>
      <c r="BJ5" s="446" t="s">
        <v>50</v>
      </c>
      <c r="BK5" s="446" t="s">
        <v>51</v>
      </c>
      <c r="BL5" s="446" t="s">
        <v>52</v>
      </c>
      <c r="BM5" s="454" t="s">
        <v>53</v>
      </c>
      <c r="BN5" s="454" t="s">
        <v>54</v>
      </c>
      <c r="BO5" s="454" t="s">
        <v>55</v>
      </c>
      <c r="BP5" s="454" t="s">
        <v>56</v>
      </c>
      <c r="BQ5" s="454" t="s">
        <v>57</v>
      </c>
      <c r="BR5" s="454" t="s">
        <v>58</v>
      </c>
      <c r="BS5" s="454" t="s">
        <v>59</v>
      </c>
      <c r="BT5" s="454" t="s">
        <v>60</v>
      </c>
      <c r="BU5" s="454"/>
      <c r="BV5" s="454" t="s">
        <v>61</v>
      </c>
      <c r="BW5" s="454" t="s">
        <v>62</v>
      </c>
      <c r="BX5" s="24" t="s">
        <v>63</v>
      </c>
      <c r="BY5" s="447" t="s">
        <v>64</v>
      </c>
      <c r="BZ5" s="447" t="s">
        <v>65</v>
      </c>
      <c r="CA5" s="447" t="s">
        <v>66</v>
      </c>
      <c r="CB5" s="469" t="s">
        <v>67</v>
      </c>
      <c r="CC5" s="469" t="s">
        <v>68</v>
      </c>
      <c r="CD5" s="469" t="s">
        <v>69</v>
      </c>
      <c r="CE5" s="22" t="s">
        <v>70</v>
      </c>
      <c r="CF5" s="20" t="s">
        <v>71</v>
      </c>
      <c r="CG5" s="20" t="s">
        <v>72</v>
      </c>
      <c r="CH5" s="473" t="s">
        <v>73</v>
      </c>
      <c r="CI5" s="473" t="s">
        <v>62</v>
      </c>
      <c r="CJ5" s="473" t="s">
        <v>74</v>
      </c>
      <c r="CK5" s="447" t="s">
        <v>75</v>
      </c>
      <c r="CL5" s="447" t="s">
        <v>76</v>
      </c>
      <c r="CM5" s="447" t="s">
        <v>77</v>
      </c>
      <c r="CN5" s="447" t="s">
        <v>78</v>
      </c>
      <c r="CO5" s="474" t="s">
        <v>69</v>
      </c>
      <c r="CP5" s="469" t="s">
        <v>79</v>
      </c>
      <c r="CQ5" s="469" t="s">
        <v>80</v>
      </c>
      <c r="CR5" s="469" t="s">
        <v>81</v>
      </c>
      <c r="CS5" t="s">
        <v>82</v>
      </c>
      <c r="CT5" s="475" t="s">
        <v>83</v>
      </c>
    </row>
    <row r="6" ht="18.95" customHeight="1" spans="1:96">
      <c r="A6" s="197" t="s">
        <v>84</v>
      </c>
      <c r="B6" s="198" t="str">
        <f>IF(ISBLANK(C6),IFERROR(VLOOKUP(A4,Sheet3!$C$3:$M$785,8,FALSE)," "),C6)</f>
        <v> </v>
      </c>
      <c r="C6" s="169"/>
      <c r="D6" s="169">
        <v>31</v>
      </c>
      <c r="E6" s="169">
        <v>252</v>
      </c>
      <c r="F6" s="170" t="s">
        <v>85</v>
      </c>
      <c r="G6" s="170" t="s">
        <v>86</v>
      </c>
      <c r="H6" s="199" t="str">
        <f>IFERROR(INT((B6*2+E6/4+D6)*F4/100+F4+10)," ")</f>
        <v> </v>
      </c>
      <c r="I6" s="308" t="s">
        <v>87</v>
      </c>
      <c r="J6" s="182"/>
      <c r="K6" s="176"/>
      <c r="L6" s="197" t="s">
        <v>84</v>
      </c>
      <c r="M6" s="198" t="str">
        <f>IF(ISBLANK(N6),IFERROR(VLOOKUP(L4,Sheet3!$C$3:$M$785,8,FALSE)," "),N6)</f>
        <v> </v>
      </c>
      <c r="N6" s="169"/>
      <c r="O6" s="169">
        <v>31</v>
      </c>
      <c r="P6" s="169">
        <v>6</v>
      </c>
      <c r="Q6" s="372" t="s">
        <v>85</v>
      </c>
      <c r="R6" s="372" t="s">
        <v>86</v>
      </c>
      <c r="S6" s="199" t="str">
        <f>IFERROR(INT((M6*2+P6/4+O6)*Q4/100+Q4+10)," ")</f>
        <v> </v>
      </c>
      <c r="V6" s="370" t="s">
        <v>88</v>
      </c>
      <c r="W6" s="12" t="s">
        <v>89</v>
      </c>
      <c r="X6" s="371" t="s">
        <v>90</v>
      </c>
      <c r="Y6" s="371" t="s">
        <v>91</v>
      </c>
      <c r="AU6" t="s">
        <v>92</v>
      </c>
      <c r="AV6" s="206">
        <f>IF(Q34&lt;=60,1.5,1)</f>
        <v>1</v>
      </c>
      <c r="AW6" s="206">
        <f>IF(IF(F28=1,H11&lt;S11,H11&gt;S11),1.3,1)</f>
        <v>1</v>
      </c>
      <c r="AX6" s="206">
        <f>IF(ISERROR(MATCH(P31,{"突进","舍身撞","地狱车","高压电击","火焰驱进","勇鸟","木锤","双刃头槌","野性电击","爆爆头突击"},0)),1,1.2)</f>
        <v>1</v>
      </c>
      <c r="AY6" s="206">
        <f>IF(ISERROR(MATCH(P31,{"连续拳","百万拳击","火焰拳","冷冻拳","雷电拳","飘飘拳","音速拳","爆裂拳","气合拳","彗星拳","暗影拳","升空拳","吸取拳","子弹拳","臂锤","增强拳"},0)),1,1.2)</f>
        <v>1</v>
      </c>
      <c r="AZ6" s="206">
        <f>IF(AND(OR(Q32="地",Q32="岩",Q32="钢"),J12="沙暴"),1.3,1)</f>
        <v>1</v>
      </c>
      <c r="BA6" s="206">
        <f>IF(ISERROR(MATCH(P31,BA62:BA189,0)),1,1.3)</f>
        <v>1</v>
      </c>
      <c r="BB6" s="206">
        <f>IF(ISERROR(MATCH(P31,{"水之波动","波导弹","恶之波动","龙之波动"},0)),1,1.5)</f>
        <v>1</v>
      </c>
      <c r="BC6" s="206">
        <f>IF(ISERROR(MATCH(P31,{"啃咬","必杀门牙","咬碎","剧毒之牙","雷之牙","冰之牙","火之牙"},0)),1,1.5)</f>
        <v>1</v>
      </c>
      <c r="BD6" s="206">
        <f>IF(Q33="物理",IF(ISERROR(MATCH(P31,AV62:AV106,0)),1.3,1),IF(ISERROR(MATCH(P31,AW62:AW66,0)),1,1.3))</f>
        <v>1.3</v>
      </c>
      <c r="BE6" s="206">
        <f>IF(AND(IF(F28=1,F14="烧伤",Q14="烧伤"),Q33="特殊"),1.5,1)</f>
        <v>1</v>
      </c>
      <c r="BF6" s="206">
        <f>IF(AND(IF(F28=1,F14="中毒",Q14="中毒"),Q33="物理"),1.5,1)</f>
        <v>1</v>
      </c>
      <c r="BG6" s="206">
        <f>IF(Q32="妖",1+1/3,1)</f>
        <v>1</v>
      </c>
      <c r="BH6" s="206">
        <f>IF(Q32="恶",1+1/3,1)</f>
        <v>1</v>
      </c>
      <c r="BI6" s="206">
        <f>IF(Q33="物理",2,1)</f>
        <v>2</v>
      </c>
      <c r="BJ6" s="446">
        <v>1.3</v>
      </c>
      <c r="BK6" s="446">
        <v>1.3</v>
      </c>
      <c r="BL6" s="446">
        <v>1.3</v>
      </c>
      <c r="BM6" s="454">
        <f>IF(AND(P31="草",IF(F28=1,G13&lt;=0.333,R13&lt;=0.333)),1.5,1)</f>
        <v>1</v>
      </c>
      <c r="BN6" s="454">
        <f>IF(AND(P31="火",IF(F28=1,G13&lt;=0.333,R13&lt;=0.333)),1.5,1)</f>
        <v>1</v>
      </c>
      <c r="BO6" s="454">
        <f>IF(AND(P31="水",IF(F28=1,G13&lt;=0.333,R13&lt;=0.333)),1.5,1)</f>
        <v>1</v>
      </c>
      <c r="BP6" s="454">
        <f>IF(AND(P31="虫",IF(F28=1,G13&lt;=0.333,R13&lt;=0.333)),1.5,1)</f>
        <v>1</v>
      </c>
      <c r="BQ6" s="454">
        <f>IF(IF(F28=1,ISBLANK(F14),ISBLANK(Q14)),1,IF(Q33="物理",1.5,1))</f>
        <v>1</v>
      </c>
      <c r="BR6" s="454">
        <f>IF(IF(F28=1,G13&lt;0.5,R13&lt;0.5),0.5,1)</f>
        <v>1</v>
      </c>
      <c r="BS6" s="454">
        <f>IF(Q33="物理",2,1)</f>
        <v>2</v>
      </c>
      <c r="BT6" s="454">
        <f>IF(AND(Q33="特殊",OR(BD22=1,BD22=6)),1.5,1)</f>
        <v>1</v>
      </c>
      <c r="BU6" s="454"/>
      <c r="BV6" s="454">
        <f>IF(Q33="物理",1.5,1)</f>
        <v>1.5</v>
      </c>
      <c r="BW6" s="454">
        <f>IF(AND(OR(BD22=1,BD22=6),Q33="物理"),1.5,1)</f>
        <v>1</v>
      </c>
      <c r="BX6" s="24">
        <v>2</v>
      </c>
      <c r="BY6" s="447">
        <f>IF(D44&lt;1,2,1)</f>
        <v>1</v>
      </c>
      <c r="BZ6" s="447">
        <f>IF(J29,1.5,1)</f>
        <v>1</v>
      </c>
      <c r="CA6" s="447">
        <v>1.5</v>
      </c>
      <c r="CB6" s="469">
        <v>1.3</v>
      </c>
      <c r="CC6" s="469">
        <v>1.1</v>
      </c>
      <c r="CD6" s="469"/>
      <c r="CE6" s="22">
        <f>IF(OR(C36="破格",C36="涡轮火花",C36="垓级电压"),1,IF(OR(Q32="火",Q32="冰"),0.5,1))</f>
        <v>1</v>
      </c>
      <c r="CF6" s="20">
        <f>IF(OR(C36="破格",C36="涡轮火花",C36="垓级电压"),1,IF(Q32="火",0.5,1))</f>
        <v>1</v>
      </c>
      <c r="CG6" s="20">
        <f>IF(OR(C36="破格",C36="涡轮火花",C36="垓级电压"),1,IF(Q32="火",1.25,1))</f>
        <v>1</v>
      </c>
      <c r="CH6" s="473">
        <f>IF(OR(C36="破格",C36="涡轮火花",C36="垓级电压"),1,IF(ISBLANK(Q14),1,IF(Q33="物理",1.5,1)))</f>
        <v>1</v>
      </c>
      <c r="CI6" s="473">
        <f>IF(OR(C36="破格",C36="涡轮火花",C36="垓级电压"),1,IF(AND(OR(BD22=1,BD22=6),Q33="特殊"),1.5,1))</f>
        <v>1</v>
      </c>
      <c r="CJ6" s="473">
        <f>IF(OR(C36="破格",C36="涡轮火花",C36="垓级电压"),1,IF(AND(J23=3,Q33="物理"),1.5,1))</f>
        <v>1</v>
      </c>
      <c r="CK6" s="447">
        <f>IF(OR(C36="破格",C36="涡轮火花",C36="垓级电压"),1,IF(IF(F28=1,R13=1,G13=1),0.5,1))</f>
        <v>0.5</v>
      </c>
      <c r="CL6" s="447">
        <f>IF(OR(C36="破格",C36="涡轮火花",C36="垓级电压"),1,IF(D44&gt;1,0.75,1))</f>
        <v>1</v>
      </c>
      <c r="CM6" s="447">
        <f>IF(OR(C36="破格",C36="涡轮火花",C36="垓级电压"),1,IF(D44&gt;1,0.75,1))</f>
        <v>1</v>
      </c>
      <c r="CN6" s="447">
        <f>IF(OR(C36="破格",C36="涡轮火花",C36="垓级电压"),1,IF(Q33="物理",0.5,1))</f>
        <v>0.5</v>
      </c>
      <c r="CO6" s="474"/>
      <c r="CP6" s="469">
        <f>IF(OR(C36="破格",C36="涡轮火花",C36="垓级电压"),1,IF(IF(F28=1,Q14="混乱",F14="混乱"),0.8,1))</f>
        <v>1</v>
      </c>
      <c r="CQ6" s="469">
        <f>IF(OR(C36="破格",C36="涡轮火花",C36="垓级电压"),1,IF(BD22=4,0.8,1))</f>
        <v>1</v>
      </c>
      <c r="CR6" s="469">
        <f>IF(OR(C36="破格",C36="涡轮火花",C36="垓级电压"),1,IF(BD22=3,0.8,1))</f>
        <v>1</v>
      </c>
    </row>
    <row r="7" ht="18.95" customHeight="1" spans="1:89">
      <c r="A7" s="197" t="s">
        <v>93</v>
      </c>
      <c r="B7" s="198" t="str">
        <f>IF(ISBLANK(C7),IFERROR(VLOOKUP(A4,Sheet3!$C$3:$M$785,9,FALSE)," "),C7)</f>
        <v> </v>
      </c>
      <c r="C7" s="169"/>
      <c r="D7" s="169">
        <v>31</v>
      </c>
      <c r="E7" s="169">
        <v>0</v>
      </c>
      <c r="F7" s="200">
        <v>2</v>
      </c>
      <c r="G7" s="200">
        <v>1</v>
      </c>
      <c r="H7" s="199" t="str">
        <f>IFERROR(INT(INT(((B7*2+E7/4+D7)*$F$4/100+5))*(1+IF(F7=1,0.1,0)+IF(G7=1,-0.1,0)))," ")</f>
        <v> </v>
      </c>
      <c r="I7" s="176"/>
      <c r="J7" s="182"/>
      <c r="K7" s="176"/>
      <c r="L7" s="197" t="s">
        <v>93</v>
      </c>
      <c r="M7" s="198" t="str">
        <f>IF(ISBLANK(N7),IFERROR(VLOOKUP(L4,Sheet3!$C$3:$M$785,9,FALSE)," "),N7)</f>
        <v> </v>
      </c>
      <c r="N7" s="169"/>
      <c r="O7" s="169">
        <v>31</v>
      </c>
      <c r="P7" s="169">
        <v>252</v>
      </c>
      <c r="Q7" s="373">
        <v>1</v>
      </c>
      <c r="R7" s="373">
        <v>3</v>
      </c>
      <c r="S7" s="199" t="str">
        <f>IFERROR(INT(INT(((M7*2+P7/4+O7)*$Q$4/100+5))*(1+IF($Q$7=1,0.1,0)+IF($R$7=1,-0.1,0)))," ")</f>
        <v> </v>
      </c>
      <c r="V7" s="370" t="s">
        <v>94</v>
      </c>
      <c r="W7" s="12" t="s">
        <v>95</v>
      </c>
      <c r="X7" s="371" t="s">
        <v>96</v>
      </c>
      <c r="Y7" s="371" t="s">
        <v>97</v>
      </c>
      <c r="BJ7" s="446" t="s">
        <v>98</v>
      </c>
      <c r="BK7" s="446" t="s">
        <v>99</v>
      </c>
      <c r="BL7" s="446" t="s">
        <v>100</v>
      </c>
      <c r="CK7"/>
    </row>
    <row r="8" ht="18.95" customHeight="1" spans="1:25">
      <c r="A8" s="197" t="s">
        <v>101</v>
      </c>
      <c r="B8" s="198" t="str">
        <f>IF(ISBLANK(C8),IFERROR(VLOOKUP(A4,Sheet3!$C$3:$M$785,10,FALSE)," "),C8)</f>
        <v> </v>
      </c>
      <c r="C8" s="169"/>
      <c r="D8" s="169">
        <v>31</v>
      </c>
      <c r="E8" s="169">
        <v>252</v>
      </c>
      <c r="F8" s="201"/>
      <c r="G8" s="201"/>
      <c r="H8" s="199" t="str">
        <f>IFERROR(INT(INT(((B8*2+E8/4+D8)*$F$4/100+5))*(1+IF($F$7=2,0.1,0)+IF($G$7=2,-0.1,0)))," ")</f>
        <v> </v>
      </c>
      <c r="I8" s="176"/>
      <c r="J8" s="182"/>
      <c r="K8" s="176"/>
      <c r="L8" s="197" t="s">
        <v>101</v>
      </c>
      <c r="M8" s="198" t="str">
        <f>IF(ISBLANK(N8),IFERROR(VLOOKUP(L4,Sheet3!$C$3:$M$785,10,FALSE)," "),N8)</f>
        <v> </v>
      </c>
      <c r="N8" s="169"/>
      <c r="O8" s="169">
        <v>31</v>
      </c>
      <c r="P8" s="169">
        <v>0</v>
      </c>
      <c r="Q8" s="373"/>
      <c r="R8" s="373"/>
      <c r="S8" s="199" t="str">
        <f>IFERROR(INT(INT(((M8*2+P8/4+O8)*$Q$4/100+5))*(1+IF($Q$7=2,0.1,0)+IF($R$7=2,-0.1,0)))," ")</f>
        <v> </v>
      </c>
      <c r="V8" s="370" t="s">
        <v>102</v>
      </c>
      <c r="W8" s="12" t="s">
        <v>103</v>
      </c>
      <c r="X8" s="371" t="s">
        <v>104</v>
      </c>
      <c r="Y8" s="371" t="s">
        <v>105</v>
      </c>
    </row>
    <row r="9" ht="18.95" customHeight="1" spans="1:25">
      <c r="A9" s="197" t="s">
        <v>106</v>
      </c>
      <c r="B9" s="198" t="str">
        <f>IF(ISBLANK(C9),IFERROR(VLOOKUP(A4,Sheet3!$C$3:$M$785,11,FALSE)," "),C9)</f>
        <v> </v>
      </c>
      <c r="C9" s="169"/>
      <c r="D9" s="169">
        <v>31</v>
      </c>
      <c r="E9" s="169">
        <v>0</v>
      </c>
      <c r="F9" s="201"/>
      <c r="G9" s="201"/>
      <c r="H9" s="199" t="str">
        <f>IFERROR(INT(INT(((B9*2+E9/4+D9)*$F$4/100+5))*(1+IF($F$7=3,0.1,0)+IF($G$7=3,-0.1,0)))," ")</f>
        <v> </v>
      </c>
      <c r="I9" s="176"/>
      <c r="J9" s="182"/>
      <c r="K9" s="176"/>
      <c r="L9" s="197" t="s">
        <v>106</v>
      </c>
      <c r="M9" s="198" t="str">
        <f>IF(ISBLANK(N9),IFERROR(VLOOKUP(L4,Sheet3!$C$3:$M$785,11,FALSE)," "),N9)</f>
        <v> </v>
      </c>
      <c r="N9" s="169"/>
      <c r="O9" s="169">
        <v>31</v>
      </c>
      <c r="P9" s="169">
        <v>0</v>
      </c>
      <c r="Q9" s="373"/>
      <c r="R9" s="373"/>
      <c r="S9" s="199" t="str">
        <f>IFERROR(INT(INT(((M9*2+P9/4+O9)*$Q$4/100+5))*(1+IF($Q$7=3,0.1,0)+IF($R$7=3,-0.1,0)))," ")</f>
        <v> </v>
      </c>
      <c r="V9" s="370" t="s">
        <v>107</v>
      </c>
      <c r="W9" s="12" t="s">
        <v>108</v>
      </c>
      <c r="X9" s="371" t="s">
        <v>109</v>
      </c>
      <c r="Y9" s="371" t="s">
        <v>110</v>
      </c>
    </row>
    <row r="10" ht="18.95" customHeight="1" spans="1:25">
      <c r="A10" s="197" t="s">
        <v>111</v>
      </c>
      <c r="B10" s="198" t="str">
        <f>IF(ISBLANK(C10),IFERROR(VLOOKUP(A4,Sheet3!$C$3:$M$785,12,FALSE)," "),C10)</f>
        <v> </v>
      </c>
      <c r="C10" s="169"/>
      <c r="D10" s="169">
        <v>31</v>
      </c>
      <c r="E10" s="169">
        <v>6</v>
      </c>
      <c r="F10" s="201"/>
      <c r="G10" s="201"/>
      <c r="H10" s="199" t="str">
        <f>IFERROR(INT(INT(((B10*2+E10/4+D10)*$F$4/100+5))*(1+IF($F$7=4,0.1,0)+IF($G$7=4,-0.1,0)))," ")</f>
        <v> </v>
      </c>
      <c r="L10" s="197" t="s">
        <v>111</v>
      </c>
      <c r="M10" s="198" t="str">
        <f>IF(ISBLANK(N10),IFERROR(VLOOKUP(L4,Sheet3!$C$3:$M$785,12,FALSE)," "),N10)</f>
        <v> </v>
      </c>
      <c r="N10" s="169"/>
      <c r="O10" s="169">
        <v>31</v>
      </c>
      <c r="P10" s="169">
        <v>0</v>
      </c>
      <c r="Q10" s="373"/>
      <c r="R10" s="373"/>
      <c r="S10" s="199" t="str">
        <f>IFERROR(INT(INT(((M10*2+P10/4+O10)*$Q$4/100+5))*(1+IF($Q$7=4,0.1,0)+IF($R$7=4,-0.1,0)))," ")</f>
        <v> </v>
      </c>
      <c r="V10" s="370" t="s">
        <v>112</v>
      </c>
      <c r="W10" s="12" t="s">
        <v>113</v>
      </c>
      <c r="X10" s="371" t="s">
        <v>114</v>
      </c>
      <c r="Y10" s="371" t="s">
        <v>115</v>
      </c>
    </row>
    <row r="11" ht="18.95" customHeight="1" spans="1:25">
      <c r="A11" s="202" t="s">
        <v>116</v>
      </c>
      <c r="B11" s="203" t="str">
        <f>IF(ISBLANK(C11),IFERROR(VLOOKUP(A4,Sheet3!$C$3:$M$785,13,FALSE)," "),C11)</f>
        <v> </v>
      </c>
      <c r="C11" s="169"/>
      <c r="D11" s="169">
        <v>31</v>
      </c>
      <c r="E11" s="169">
        <v>0</v>
      </c>
      <c r="F11" s="201"/>
      <c r="G11" s="201"/>
      <c r="H11" s="199" t="str">
        <f>IFERROR(INT(INT(((B11*2+E11/4+D11)*$F$4/100+5))*(1+IF($F$7=5,0.1,0)+IF($G$7=5,-0.1,0)))," ")</f>
        <v> </v>
      </c>
      <c r="L11" s="202" t="s">
        <v>116</v>
      </c>
      <c r="M11" s="203" t="str">
        <f>IF(ISBLANK(N11),IFERROR(VLOOKUP(L4,Sheet3!$C$3:$M$785,13,FALSE)," "),N11)</f>
        <v> </v>
      </c>
      <c r="N11" s="169"/>
      <c r="O11" s="169">
        <v>31</v>
      </c>
      <c r="P11" s="169">
        <v>252</v>
      </c>
      <c r="Q11" s="373"/>
      <c r="R11" s="373"/>
      <c r="S11" s="199" t="str">
        <f>IFERROR(INT(INT(((M11*2+P11/4+O11)*$Q$4/100+5))*(1+IF($Q$7=5,0.1,0)+IF($R$7=5,-0.1,0)))," ")</f>
        <v> </v>
      </c>
      <c r="V11" s="370" t="s">
        <v>117</v>
      </c>
      <c r="W11" s="12" t="s">
        <v>118</v>
      </c>
      <c r="X11" s="371" t="s">
        <v>119</v>
      </c>
      <c r="Y11" s="371" t="s">
        <v>120</v>
      </c>
    </row>
    <row r="12" ht="18.95" customHeight="1" spans="1:25">
      <c r="A12" s="204" t="s">
        <v>121</v>
      </c>
      <c r="B12" s="205">
        <f>SUM(B6:B11)</f>
        <v>0</v>
      </c>
      <c r="C12" s="206"/>
      <c r="D12" s="207" t="s">
        <v>122</v>
      </c>
      <c r="E12" s="208">
        <f>SUM(E6:E11)</f>
        <v>510</v>
      </c>
      <c r="F12" s="209" t="str">
        <f>IF(E12&gt;510,CONCATENATE("已超出",E12-510),CONCATENATE("还剩下",510-E12,"点"))</f>
        <v>还剩下0点</v>
      </c>
      <c r="G12" s="209"/>
      <c r="H12" s="210"/>
      <c r="I12" s="309" t="s">
        <v>123</v>
      </c>
      <c r="J12" s="169"/>
      <c r="K12" s="248"/>
      <c r="L12" s="204" t="s">
        <v>121</v>
      </c>
      <c r="M12" s="205">
        <f>SUM(M6:M11)</f>
        <v>0</v>
      </c>
      <c r="N12" s="206"/>
      <c r="O12" s="207" t="s">
        <v>122</v>
      </c>
      <c r="P12" s="208">
        <f>SUM(P6:P11)</f>
        <v>510</v>
      </c>
      <c r="Q12" s="374" t="str">
        <f>IF(P12&gt;510,CONCATENATE("已超出",P12-510),CONCATENATE("还剩下",510-P12,"点"))</f>
        <v>还剩下0点</v>
      </c>
      <c r="R12" s="374"/>
      <c r="S12" s="375"/>
      <c r="V12" s="370" t="s">
        <v>124</v>
      </c>
      <c r="W12" s="12" t="s">
        <v>125</v>
      </c>
      <c r="X12" s="371" t="s">
        <v>126</v>
      </c>
      <c r="Y12" s="371" t="s">
        <v>127</v>
      </c>
    </row>
    <row r="13" ht="17.1" customHeight="1" spans="1:25">
      <c r="A13" s="204" t="s">
        <v>128</v>
      </c>
      <c r="B13" s="198" t="str">
        <f>IFERROR(VLOOKUP(A4,Sheet3!$C$3:$M$785,5,FALSE)," ")</f>
        <v> </v>
      </c>
      <c r="C13" s="211"/>
      <c r="D13" s="212">
        <v>1</v>
      </c>
      <c r="E13" s="12" t="s">
        <v>129</v>
      </c>
      <c r="F13" s="12"/>
      <c r="G13" s="213">
        <v>1</v>
      </c>
      <c r="H13" s="214"/>
      <c r="K13" s="180"/>
      <c r="L13" s="197" t="s">
        <v>128</v>
      </c>
      <c r="M13" s="198" t="str">
        <f>IFERROR(VLOOKUP(L4,Sheet3!$C$3:$M$785,5,FALSE)," ")</f>
        <v> </v>
      </c>
      <c r="N13" s="211"/>
      <c r="O13" s="218">
        <v>1</v>
      </c>
      <c r="P13" s="12" t="s">
        <v>129</v>
      </c>
      <c r="Q13" s="12"/>
      <c r="R13" s="376">
        <v>1</v>
      </c>
      <c r="S13" s="377"/>
      <c r="V13" s="370" t="s">
        <v>130</v>
      </c>
      <c r="W13" s="12" t="s">
        <v>131</v>
      </c>
      <c r="X13" s="371" t="s">
        <v>132</v>
      </c>
      <c r="Y13" s="371" t="s">
        <v>133</v>
      </c>
    </row>
    <row r="14" ht="17.1" customHeight="1" spans="1:25">
      <c r="A14" s="215" t="s">
        <v>134</v>
      </c>
      <c r="B14" s="216" t="str">
        <f>IFERROR(IF(VLOOKUP(A4,Sheet3!$C$3:$M$785,6,FALSE)=0,B13,VLOOKUP(A4,Sheet3!$C$3:$M$785,6,FALSE))," ")</f>
        <v> </v>
      </c>
      <c r="C14" s="217"/>
      <c r="D14" s="218" t="b">
        <v>0</v>
      </c>
      <c r="E14" s="219" t="s">
        <v>135</v>
      </c>
      <c r="F14" s="220"/>
      <c r="G14" s="220"/>
      <c r="H14" s="221"/>
      <c r="I14" s="309" t="s">
        <v>136</v>
      </c>
      <c r="J14" s="310" t="b">
        <v>0</v>
      </c>
      <c r="K14" s="311"/>
      <c r="L14" s="197" t="s">
        <v>134</v>
      </c>
      <c r="M14" s="216" t="str">
        <f>IFERROR(IF(VLOOKUP(L4,Sheet3!$C$3:$M$785,6,FALSE)=0,M13,VLOOKUP(L4,Sheet3!$C$3:$M$785,6,FALSE))," ")</f>
        <v> </v>
      </c>
      <c r="N14" s="211"/>
      <c r="P14" s="284" t="s">
        <v>135</v>
      </c>
      <c r="Q14" s="220"/>
      <c r="R14" s="220"/>
      <c r="S14" s="221"/>
      <c r="V14" s="370" t="s">
        <v>137</v>
      </c>
      <c r="W14" s="12" t="s">
        <v>138</v>
      </c>
      <c r="X14" s="371" t="s">
        <v>139</v>
      </c>
      <c r="Y14" s="371" t="s">
        <v>140</v>
      </c>
    </row>
    <row r="15" ht="17.1" customHeight="1" spans="1:25">
      <c r="A15" s="222" t="s">
        <v>141</v>
      </c>
      <c r="B15" s="223" t="str">
        <f>IFERROR(IF(VLOOKUP(A4,Sheet3!$C$3:$M$785,7,FALSE)=0," ",VLOOKUP(A4,Sheet3!$C$3:$M$785,7,FALSE))," ")</f>
        <v> </v>
      </c>
      <c r="C15" s="224"/>
      <c r="D15" s="225" t="s">
        <v>142</v>
      </c>
      <c r="E15" s="226" t="b">
        <v>0</v>
      </c>
      <c r="F15" s="227" t="s">
        <v>62</v>
      </c>
      <c r="G15" s="227"/>
      <c r="H15" s="228" t="b">
        <v>0</v>
      </c>
      <c r="I15" s="312" t="s">
        <v>143</v>
      </c>
      <c r="J15" s="313"/>
      <c r="K15" s="314" t="b">
        <v>0</v>
      </c>
      <c r="L15" s="222" t="s">
        <v>141</v>
      </c>
      <c r="M15" s="198" t="str">
        <f>IFERROR(IF(VLOOKUP(L4,Sheet3!$C$3:$M$785,7,FALSE)=0," ",VLOOKUP(L4,Sheet3!$C$3:$M$785,7,FALSE))," ")</f>
        <v> </v>
      </c>
      <c r="N15" s="315"/>
      <c r="O15" s="167" t="s">
        <v>142</v>
      </c>
      <c r="P15" s="226" t="b">
        <v>0</v>
      </c>
      <c r="Q15" s="227" t="s">
        <v>62</v>
      </c>
      <c r="R15" s="227"/>
      <c r="S15" s="228" t="b">
        <v>0</v>
      </c>
      <c r="T15" s="378"/>
      <c r="U15" s="378"/>
      <c r="V15" s="370" t="s">
        <v>144</v>
      </c>
      <c r="W15" s="12" t="s">
        <v>145</v>
      </c>
      <c r="X15" s="371" t="s">
        <v>146</v>
      </c>
      <c r="Y15" s="371" t="s">
        <v>147</v>
      </c>
    </row>
    <row r="16" ht="15.95" customHeight="1" spans="1:25">
      <c r="A16" s="197" t="s">
        <v>148</v>
      </c>
      <c r="B16" s="198" t="str">
        <f>IFERROR(VLOOKUP(A4,Sheet3!$C$3:$P$785,15,FALSE)," ")</f>
        <v> </v>
      </c>
      <c r="C16" s="229"/>
      <c r="D16" s="230" t="s">
        <v>149</v>
      </c>
      <c r="E16" s="226" t="b">
        <v>0</v>
      </c>
      <c r="F16" s="227" t="s">
        <v>150</v>
      </c>
      <c r="G16" s="227"/>
      <c r="H16" s="228" t="b">
        <v>0</v>
      </c>
      <c r="I16" s="309" t="s">
        <v>151</v>
      </c>
      <c r="J16" s="316"/>
      <c r="K16" s="317" t="b">
        <v>0</v>
      </c>
      <c r="L16" s="197" t="s">
        <v>148</v>
      </c>
      <c r="M16" s="318" t="str">
        <f>IFERROR(VLOOKUP(L4,Sheet3!$C$3:$P$785,15,FALSE)," ")</f>
        <v> </v>
      </c>
      <c r="N16" s="229"/>
      <c r="O16" s="319" t="s">
        <v>149</v>
      </c>
      <c r="P16" s="320" t="b">
        <v>0</v>
      </c>
      <c r="Q16" s="227" t="s">
        <v>150</v>
      </c>
      <c r="R16" s="227"/>
      <c r="S16" s="228" t="b">
        <v>0</v>
      </c>
      <c r="V16" s="370" t="s">
        <v>152</v>
      </c>
      <c r="W16" s="12" t="s">
        <v>153</v>
      </c>
      <c r="X16" s="371" t="s">
        <v>154</v>
      </c>
      <c r="Y16" s="371" t="s">
        <v>155</v>
      </c>
    </row>
    <row r="17" ht="18" customHeight="1" spans="1:70">
      <c r="A17" s="202" t="s">
        <v>156</v>
      </c>
      <c r="B17" s="203" t="str">
        <f>IFERROR(IF(VLOOKUP(A4,Sheet3!$C$3:$P$785,16,FALSE)=0," ",VLOOKUP(A4,Sheet3!$C$3:$P$785,16,FALSE))," ")</f>
        <v> </v>
      </c>
      <c r="D17" s="230" t="s">
        <v>157</v>
      </c>
      <c r="E17" s="226" t="b">
        <v>0</v>
      </c>
      <c r="F17" s="227" t="s">
        <v>158</v>
      </c>
      <c r="G17" s="227"/>
      <c r="H17" s="228" t="b">
        <v>0</v>
      </c>
      <c r="J17" s="174"/>
      <c r="K17" s="174"/>
      <c r="L17" s="202" t="s">
        <v>156</v>
      </c>
      <c r="M17" s="203" t="str">
        <f>IFERROR(IF(VLOOKUP(L4,Sheet3!$C$3:$P$785,16,FALSE)=0," ",VLOOKUP(L4,Sheet3!$C$3:$P$785,16,FALSE))," ")</f>
        <v> </v>
      </c>
      <c r="N17" s="231"/>
      <c r="O17" s="319" t="s">
        <v>157</v>
      </c>
      <c r="P17" s="320" t="b">
        <v>0</v>
      </c>
      <c r="Q17" s="227" t="s">
        <v>158</v>
      </c>
      <c r="R17" s="227"/>
      <c r="S17" s="228" t="b">
        <v>0</v>
      </c>
      <c r="V17" s="370" t="s">
        <v>159</v>
      </c>
      <c r="W17" s="12" t="s">
        <v>160</v>
      </c>
      <c r="X17" s="371" t="s">
        <v>161</v>
      </c>
      <c r="Y17" s="371" t="s">
        <v>162</v>
      </c>
      <c r="AU17" t="s">
        <v>163</v>
      </c>
      <c r="AV17" s="404" t="s">
        <v>164</v>
      </c>
      <c r="AW17" s="404" t="s">
        <v>165</v>
      </c>
      <c r="AX17" s="404" t="s">
        <v>166</v>
      </c>
      <c r="AY17" s="404" t="s">
        <v>167</v>
      </c>
      <c r="AZ17" s="404" t="s">
        <v>168</v>
      </c>
      <c r="BA17" s="206" t="s">
        <v>169</v>
      </c>
      <c r="BB17" s="206" t="s">
        <v>170</v>
      </c>
      <c r="BC17" s="206" t="s">
        <v>171</v>
      </c>
      <c r="BD17" s="206" t="s">
        <v>172</v>
      </c>
      <c r="BE17" s="206" t="s">
        <v>173</v>
      </c>
      <c r="BF17" s="206" t="s">
        <v>174</v>
      </c>
      <c r="BG17" s="447" t="s">
        <v>175</v>
      </c>
      <c r="BH17" s="447" t="s">
        <v>176</v>
      </c>
      <c r="BI17" t="s">
        <v>177</v>
      </c>
      <c r="BJ17" t="s">
        <v>178</v>
      </c>
      <c r="BK17" t="s">
        <v>179</v>
      </c>
      <c r="BL17" t="s">
        <v>180</v>
      </c>
      <c r="BM17" s="22" t="s">
        <v>181</v>
      </c>
      <c r="BN17" s="22" t="s">
        <v>172</v>
      </c>
      <c r="BO17" s="22" t="s">
        <v>182</v>
      </c>
      <c r="BP17" s="22" t="s">
        <v>183</v>
      </c>
      <c r="BQ17" t="s">
        <v>184</v>
      </c>
      <c r="BR17" t="s">
        <v>185</v>
      </c>
    </row>
    <row r="18" ht="18" customHeight="1" spans="1:69">
      <c r="A18" s="204" t="s">
        <v>186</v>
      </c>
      <c r="B18" s="198" t="str">
        <f>HLOOKUP(G7,$AW$53:$BA$58,$F$7+1,FALSE)</f>
        <v>大胆</v>
      </c>
      <c r="C18" s="231"/>
      <c r="D18" s="230" t="s">
        <v>187</v>
      </c>
      <c r="E18" s="226" t="b">
        <v>0</v>
      </c>
      <c r="F18" s="232" t="s">
        <v>188</v>
      </c>
      <c r="G18" s="232"/>
      <c r="H18" s="228" t="b">
        <v>0</v>
      </c>
      <c r="I18" s="321" t="s">
        <v>189</v>
      </c>
      <c r="J18" s="322"/>
      <c r="K18" s="323">
        <v>1</v>
      </c>
      <c r="L18" s="233" t="s">
        <v>186</v>
      </c>
      <c r="M18" s="203" t="str">
        <f>HLOOKUP(R7,$AW$53:$BA$58,Q7+1,FALSE)</f>
        <v>固执</v>
      </c>
      <c r="N18" s="231"/>
      <c r="O18" s="319" t="s">
        <v>187</v>
      </c>
      <c r="P18" s="320" t="b">
        <v>0</v>
      </c>
      <c r="Q18" s="227" t="s">
        <v>188</v>
      </c>
      <c r="R18" s="227"/>
      <c r="S18" s="228" t="b">
        <v>0</v>
      </c>
      <c r="V18" s="370" t="s">
        <v>190</v>
      </c>
      <c r="W18" s="12" t="s">
        <v>191</v>
      </c>
      <c r="X18" s="371" t="s">
        <v>192</v>
      </c>
      <c r="Y18" s="371" t="s">
        <v>193</v>
      </c>
      <c r="AU18" t="s">
        <v>92</v>
      </c>
      <c r="AV18" s="404">
        <v>1.2</v>
      </c>
      <c r="AW18" s="404">
        <f>IF(Q33="物理",1.1,1)</f>
        <v>1.1</v>
      </c>
      <c r="AX18" s="404">
        <f>IF(Q33="特殊",1.1,1)</f>
        <v>1</v>
      </c>
      <c r="AY18" s="404">
        <v>1.5</v>
      </c>
      <c r="AZ18" s="404">
        <f>IF(Q32="超",1.2,1)</f>
        <v>1</v>
      </c>
      <c r="BA18" s="206">
        <f>IF(AND(OR(C31="104 可拉可拉",C31="105 嘎拉嘎拉"),Q33="物理"),2,1)</f>
        <v>1</v>
      </c>
      <c r="BB18" s="206">
        <f>IF(AND(C31="366 珍珠贝",Q33="特殊"),2,1)</f>
        <v>1</v>
      </c>
      <c r="BC18" s="206">
        <f>IF(C31="025 皮卡丘",2,1)</f>
        <v>1</v>
      </c>
      <c r="BD18" s="206">
        <f>IF(AND(OR(C31="380 拉帝亚斯",C31="381 拉帝欧斯"),Q33="特殊"),1.5,1)</f>
        <v>1</v>
      </c>
      <c r="BE18" s="206">
        <f>IF(Q33="特殊",1.5,1)</f>
        <v>1</v>
      </c>
      <c r="BF18" s="206">
        <f>IF(Q33="物理",1.5,1)</f>
        <v>1.5</v>
      </c>
      <c r="BG18" s="447">
        <f>IF(D44&gt;1,1.2,1)</f>
        <v>1</v>
      </c>
      <c r="BH18" s="447">
        <v>1.3</v>
      </c>
      <c r="BI18">
        <v>1.1</v>
      </c>
      <c r="BJ18">
        <v>1.5</v>
      </c>
      <c r="BK18">
        <v>0.5</v>
      </c>
      <c r="BL18">
        <v>0.5</v>
      </c>
      <c r="BM18" s="22">
        <f>IF(AND(J31="366 珍珠贝",Q33="特殊"),2,1)</f>
        <v>1</v>
      </c>
      <c r="BN18" s="22">
        <f>IF(AND(OR(J31="380 拉帝亚斯",J31="381 拉帝欧斯"),Q33="特殊"),1.5,1)</f>
        <v>1</v>
      </c>
      <c r="BO18" s="22">
        <v>1.5</v>
      </c>
      <c r="BP18" s="22">
        <f>IF(Q33="特殊",1.5,1)</f>
        <v>1</v>
      </c>
      <c r="BQ18">
        <v>0.9</v>
      </c>
    </row>
    <row r="19" ht="15.95" customHeight="1" spans="1:25">
      <c r="A19" s="233" t="s">
        <v>194</v>
      </c>
      <c r="B19" s="234"/>
      <c r="C19" s="235" t="str">
        <f>HLOOKUP(AV27,$AW$27:$BL$28,2,FALSE)</f>
        <v>恶</v>
      </c>
      <c r="D19" s="230" t="s">
        <v>195</v>
      </c>
      <c r="E19" s="226" t="b">
        <v>0</v>
      </c>
      <c r="F19" s="227"/>
      <c r="G19" s="227"/>
      <c r="H19" s="236"/>
      <c r="I19" s="324" t="s">
        <v>196</v>
      </c>
      <c r="J19" s="271"/>
      <c r="K19" s="325"/>
      <c r="L19" s="204" t="s">
        <v>194</v>
      </c>
      <c r="M19" s="326"/>
      <c r="N19" s="223" t="str">
        <f>HLOOKUP(AV26,$AW$27:$BL$28,2,FALSE)</f>
        <v>恶</v>
      </c>
      <c r="O19" s="319" t="s">
        <v>195</v>
      </c>
      <c r="P19" s="320" t="b">
        <v>0</v>
      </c>
      <c r="Q19" s="227"/>
      <c r="R19" s="227"/>
      <c r="S19" s="379"/>
      <c r="V19" s="370" t="s">
        <v>197</v>
      </c>
      <c r="W19" s="12" t="s">
        <v>198</v>
      </c>
      <c r="X19" s="371" t="s">
        <v>199</v>
      </c>
      <c r="Y19" s="371" t="s">
        <v>200</v>
      </c>
    </row>
    <row r="20" ht="15.95" customHeight="1" spans="1:25">
      <c r="A20" s="205" t="s">
        <v>201</v>
      </c>
      <c r="B20" s="237" t="str">
        <f>IFERROR(VLOOKUP(A4,Sheet3!$C$3:$Q$785,18,FALSE)," ")</f>
        <v> </v>
      </c>
      <c r="C20" s="238" t="s">
        <v>202</v>
      </c>
      <c r="E20" s="239"/>
      <c r="F20" s="240"/>
      <c r="G20" s="240"/>
      <c r="H20" s="241"/>
      <c r="L20" s="327" t="s">
        <v>201</v>
      </c>
      <c r="M20" s="237" t="str">
        <f>IFERROR(VLOOKUP(L4,Sheet3!$C$3:$Q$784,18,FALSE)," ")</f>
        <v> </v>
      </c>
      <c r="N20" s="328" t="s">
        <v>202</v>
      </c>
      <c r="S20" s="241"/>
      <c r="V20" s="370" t="s">
        <v>203</v>
      </c>
      <c r="W20" s="12" t="s">
        <v>204</v>
      </c>
      <c r="X20" s="371" t="s">
        <v>205</v>
      </c>
      <c r="Y20" s="371" t="s">
        <v>206</v>
      </c>
    </row>
    <row r="21" ht="18" customHeight="1" spans="1:25">
      <c r="A21" s="242"/>
      <c r="D21" s="12" t="s">
        <v>207</v>
      </c>
      <c r="E21" s="243">
        <v>0</v>
      </c>
      <c r="F21" s="244" t="s">
        <v>208</v>
      </c>
      <c r="G21" s="245"/>
      <c r="H21" s="246">
        <v>0</v>
      </c>
      <c r="L21" s="242"/>
      <c r="O21" s="12" t="s">
        <v>207</v>
      </c>
      <c r="P21" s="169">
        <v>0</v>
      </c>
      <c r="Q21" s="380" t="s">
        <v>208</v>
      </c>
      <c r="R21" s="381"/>
      <c r="S21" s="246">
        <v>0</v>
      </c>
      <c r="V21" s="370" t="s">
        <v>209</v>
      </c>
      <c r="W21" s="12" t="s">
        <v>210</v>
      </c>
      <c r="X21" s="371" t="s">
        <v>211</v>
      </c>
      <c r="Y21" s="371" t="s">
        <v>212</v>
      </c>
    </row>
    <row r="22" ht="18.95" customHeight="1" spans="1:56">
      <c r="A22" s="247" t="s">
        <v>163</v>
      </c>
      <c r="B22" s="169"/>
      <c r="C22" s="248"/>
      <c r="D22" s="12" t="s">
        <v>213</v>
      </c>
      <c r="E22" s="169">
        <v>0</v>
      </c>
      <c r="F22" s="249" t="s">
        <v>214</v>
      </c>
      <c r="G22" s="249"/>
      <c r="H22" s="250">
        <v>0</v>
      </c>
      <c r="I22" s="329" t="s">
        <v>215</v>
      </c>
      <c r="J22" s="330"/>
      <c r="K22" s="331"/>
      <c r="L22" s="309" t="s">
        <v>163</v>
      </c>
      <c r="M22" s="169"/>
      <c r="N22" s="169"/>
      <c r="O22" s="332" t="s">
        <v>213</v>
      </c>
      <c r="P22" s="248">
        <v>0</v>
      </c>
      <c r="Q22" s="381" t="s">
        <v>214</v>
      </c>
      <c r="R22" s="381"/>
      <c r="S22" s="246">
        <v>0</v>
      </c>
      <c r="V22" s="370" t="s">
        <v>216</v>
      </c>
      <c r="W22" s="12" t="s">
        <v>217</v>
      </c>
      <c r="X22" s="371" t="s">
        <v>218</v>
      </c>
      <c r="Y22" s="371" t="s">
        <v>219</v>
      </c>
      <c r="AU22" s="405" t="s">
        <v>220</v>
      </c>
      <c r="AV22" s="406" t="s">
        <v>221</v>
      </c>
      <c r="AW22" s="406" t="s">
        <v>222</v>
      </c>
      <c r="AX22" s="406" t="s">
        <v>223</v>
      </c>
      <c r="AY22" s="406" t="s">
        <v>224</v>
      </c>
      <c r="AZ22" s="406" t="s">
        <v>225</v>
      </c>
      <c r="BA22" s="406" t="s">
        <v>226</v>
      </c>
      <c r="BB22" s="406" t="s">
        <v>227</v>
      </c>
      <c r="BC22" s="406"/>
      <c r="BD22" s="430">
        <f>IFERROR(MATCH(J12,AV22:BB22,0),0)*IF(OR(C36="无天气",C36="天气锁",J36="无天气",J36="天气锁"),0,1)</f>
        <v>0</v>
      </c>
    </row>
    <row r="23" ht="18.95" customHeight="1" spans="1:70">
      <c r="A23" s="242"/>
      <c r="F23" s="167" t="s">
        <v>228</v>
      </c>
      <c r="G23" s="167"/>
      <c r="H23" s="251">
        <v>0</v>
      </c>
      <c r="I23" s="333" t="s">
        <v>229</v>
      </c>
      <c r="J23" s="334">
        <v>4</v>
      </c>
      <c r="K23" s="335"/>
      <c r="L23" s="262"/>
      <c r="Q23" s="167" t="s">
        <v>228</v>
      </c>
      <c r="R23" s="167"/>
      <c r="S23" s="382">
        <v>0</v>
      </c>
      <c r="V23" s="370" t="s">
        <v>230</v>
      </c>
      <c r="W23" s="12" t="s">
        <v>231</v>
      </c>
      <c r="X23" s="371" t="s">
        <v>232</v>
      </c>
      <c r="Y23" s="371" t="s">
        <v>233</v>
      </c>
      <c r="AU23" s="407"/>
      <c r="AV23" s="22">
        <f>IF($BD$22=0,1,1.5)</f>
        <v>1</v>
      </c>
      <c r="AW23" s="22">
        <f>IF($BD$22=0,1,0.5)</f>
        <v>1</v>
      </c>
      <c r="AX23" s="22">
        <v>1</v>
      </c>
      <c r="AY23" s="22">
        <v>1</v>
      </c>
      <c r="AZ23" s="22">
        <f>IF($BD$22=0,1,0)</f>
        <v>1</v>
      </c>
      <c r="BA23" s="22">
        <f>IF($BD$22=0,1,1.5)</f>
        <v>1</v>
      </c>
      <c r="BB23" s="22">
        <v>1</v>
      </c>
      <c r="BC23" s="22"/>
      <c r="BD23" s="431"/>
      <c r="BP23" s="180"/>
      <c r="BQ23" s="180"/>
      <c r="BR23" s="180"/>
    </row>
    <row r="24" ht="18.95" customHeight="1" spans="1:56">
      <c r="A24" s="252" t="s">
        <v>234</v>
      </c>
      <c r="B24" s="253"/>
      <c r="C24" s="254"/>
      <c r="D24" s="164" t="s">
        <v>235</v>
      </c>
      <c r="E24" s="164"/>
      <c r="F24" s="255"/>
      <c r="G24" s="255"/>
      <c r="H24" s="256"/>
      <c r="I24" s="333" t="s">
        <v>236</v>
      </c>
      <c r="J24" s="336"/>
      <c r="K24" s="337"/>
      <c r="L24" s="338" t="s">
        <v>234</v>
      </c>
      <c r="M24" s="319"/>
      <c r="N24" s="339"/>
      <c r="O24" s="164" t="s">
        <v>237</v>
      </c>
      <c r="P24" s="164"/>
      <c r="Q24" s="383"/>
      <c r="R24" s="383"/>
      <c r="S24" s="384"/>
      <c r="V24" s="370" t="s">
        <v>238</v>
      </c>
      <c r="W24" s="12" t="s">
        <v>239</v>
      </c>
      <c r="X24" s="371" t="s">
        <v>240</v>
      </c>
      <c r="Y24" s="371" t="s">
        <v>241</v>
      </c>
      <c r="AU24" s="407"/>
      <c r="AV24" s="22">
        <f>IF($BD$22=0,1,0.5)</f>
        <v>1</v>
      </c>
      <c r="AW24" s="22">
        <f>IF($BD$22=0,1,1.5)</f>
        <v>1</v>
      </c>
      <c r="AX24" s="22">
        <v>1</v>
      </c>
      <c r="AY24" s="22">
        <v>1</v>
      </c>
      <c r="AZ24" s="22">
        <f>IF($BD$22=0,1,1.5)</f>
        <v>1</v>
      </c>
      <c r="BA24" s="22">
        <f>IF($BD$22=0,1,0)</f>
        <v>1</v>
      </c>
      <c r="BB24" s="22">
        <v>1</v>
      </c>
      <c r="BC24" s="22"/>
      <c r="BD24" s="431"/>
    </row>
    <row r="25" ht="18.95" customHeight="1" spans="1:56">
      <c r="A25" s="257" t="s">
        <v>242</v>
      </c>
      <c r="B25" s="258"/>
      <c r="C25" s="258"/>
      <c r="D25" s="259" t="s">
        <v>243</v>
      </c>
      <c r="E25" s="260"/>
      <c r="F25" s="261"/>
      <c r="G25" s="261"/>
      <c r="H25" s="261"/>
      <c r="I25" s="333" t="s">
        <v>244</v>
      </c>
      <c r="J25" s="336"/>
      <c r="K25" s="337"/>
      <c r="L25" s="340" t="s">
        <v>242</v>
      </c>
      <c r="M25" s="258"/>
      <c r="N25" s="341"/>
      <c r="O25" s="260" t="s">
        <v>245</v>
      </c>
      <c r="P25" s="260"/>
      <c r="Q25" s="261"/>
      <c r="R25" s="261"/>
      <c r="S25" s="385"/>
      <c r="V25" s="370" t="s">
        <v>246</v>
      </c>
      <c r="W25" s="12" t="s">
        <v>247</v>
      </c>
      <c r="X25" s="371" t="s">
        <v>248</v>
      </c>
      <c r="Y25" s="371" t="s">
        <v>249</v>
      </c>
      <c r="AU25" s="408"/>
      <c r="AV25" s="409" t="s">
        <v>250</v>
      </c>
      <c r="AW25" s="432" t="s">
        <v>251</v>
      </c>
      <c r="AX25" s="432" t="s">
        <v>100</v>
      </c>
      <c r="AY25" s="432" t="s">
        <v>252</v>
      </c>
      <c r="AZ25" s="432" t="s">
        <v>251</v>
      </c>
      <c r="BA25" s="432" t="s">
        <v>250</v>
      </c>
      <c r="BB25" s="432"/>
      <c r="BC25" s="432"/>
      <c r="BD25" s="433"/>
    </row>
    <row r="26" ht="18.95" customHeight="1" spans="1:65">
      <c r="A26" s="262"/>
      <c r="F26" s="181"/>
      <c r="G26" s="263"/>
      <c r="V26" s="370" t="s">
        <v>253</v>
      </c>
      <c r="W26" s="12" t="s">
        <v>254</v>
      </c>
      <c r="X26" s="371" t="s">
        <v>255</v>
      </c>
      <c r="Y26" s="371" t="s">
        <v>256</v>
      </c>
      <c r="AU26" s="182"/>
      <c r="AV26" s="410">
        <f>INT((IF(MOD(O6,2)=0,0,1)+IF(MOD(O7,2)=0,0,2)+IF(MOD(O8,2)=0,0,4)+IF(MOD(O11,2)=0,0,8)+IF(MOD(O9,2)=0,0,16)+IF(MOD(O10,2)=0,0,32))*15/63)</f>
        <v>15</v>
      </c>
      <c r="AW26" s="182"/>
      <c r="AX26" s="182"/>
      <c r="AY26" s="182"/>
      <c r="AZ26" s="182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</row>
    <row r="27" ht="9" customHeight="1" spans="1:65">
      <c r="A27" s="19"/>
      <c r="B27" s="19"/>
      <c r="C27" s="19"/>
      <c r="D27" s="19"/>
      <c r="E27" s="19"/>
      <c r="F27" s="264"/>
      <c r="G27" s="265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V27" s="370" t="s">
        <v>257</v>
      </c>
      <c r="W27" s="12" t="s">
        <v>258</v>
      </c>
      <c r="X27" s="371" t="s">
        <v>259</v>
      </c>
      <c r="Y27" s="371" t="s">
        <v>260</v>
      </c>
      <c r="AU27" s="411" t="s">
        <v>261</v>
      </c>
      <c r="AV27" s="412">
        <f>INT((IF(MOD(D6,2)=0,0,1)+IF(MOD(D7,2)=0,0,2)+IF(MOD(D8,2)=0,0,4)+IF(MOD(D11,2)=0,0,8)+IF(MOD(D9,2)=0,0,16)+IF(MOD(D10,2)=0,0,32))*15/63)</f>
        <v>15</v>
      </c>
      <c r="AW27" s="434">
        <v>8</v>
      </c>
      <c r="AX27" s="434">
        <v>9</v>
      </c>
      <c r="AY27" s="434">
        <v>10</v>
      </c>
      <c r="AZ27" s="434">
        <v>11</v>
      </c>
      <c r="BA27" s="434">
        <v>13</v>
      </c>
      <c r="BB27" s="434">
        <v>0</v>
      </c>
      <c r="BC27" s="434">
        <v>2</v>
      </c>
      <c r="BD27" s="434">
        <v>3</v>
      </c>
      <c r="BE27" s="434">
        <v>1</v>
      </c>
      <c r="BF27" s="434">
        <v>12</v>
      </c>
      <c r="BG27" s="434">
        <v>5</v>
      </c>
      <c r="BH27" s="434">
        <v>4</v>
      </c>
      <c r="BI27" s="434">
        <v>6</v>
      </c>
      <c r="BJ27" s="434">
        <v>14</v>
      </c>
      <c r="BK27" s="434">
        <v>15</v>
      </c>
      <c r="BL27" s="434">
        <v>7</v>
      </c>
      <c r="BM27" s="455"/>
    </row>
    <row r="28" ht="18.95" customHeight="1" spans="1:79">
      <c r="A28" s="266" t="e">
        <f>VLOOKUP(A4,Sheet3!C2:P785,17,FALSE)</f>
        <v>#N/A</v>
      </c>
      <c r="B28" s="267"/>
      <c r="C28" s="268" t="s">
        <v>93</v>
      </c>
      <c r="D28" s="269" t="e">
        <f>" "&amp;VLOOKUP(L4,Sheet3!C2:P785,17,FALSE)</f>
        <v>#N/A</v>
      </c>
      <c r="E28" s="269"/>
      <c r="F28" s="226">
        <v>2</v>
      </c>
      <c r="G28" s="270"/>
      <c r="V28" s="370" t="s">
        <v>262</v>
      </c>
      <c r="W28" s="12" t="s">
        <v>263</v>
      </c>
      <c r="X28" s="371" t="s">
        <v>264</v>
      </c>
      <c r="Y28" s="371" t="s">
        <v>265</v>
      </c>
      <c r="AU28" s="413" t="s">
        <v>266</v>
      </c>
      <c r="AV28" s="414" t="s">
        <v>267</v>
      </c>
      <c r="AW28" s="414" t="s">
        <v>250</v>
      </c>
      <c r="AX28" s="414" t="s">
        <v>251</v>
      </c>
      <c r="AY28" s="414" t="s">
        <v>235</v>
      </c>
      <c r="AZ28" s="414" t="s">
        <v>268</v>
      </c>
      <c r="BA28" s="414" t="s">
        <v>100</v>
      </c>
      <c r="BB28" s="414" t="s">
        <v>269</v>
      </c>
      <c r="BC28" s="414" t="s">
        <v>270</v>
      </c>
      <c r="BD28" s="414" t="s">
        <v>237</v>
      </c>
      <c r="BE28" s="414" t="s">
        <v>99</v>
      </c>
      <c r="BF28" s="414" t="s">
        <v>271</v>
      </c>
      <c r="BG28" s="414" t="s">
        <v>272</v>
      </c>
      <c r="BH28" s="414" t="s">
        <v>252</v>
      </c>
      <c r="BI28" s="414" t="s">
        <v>273</v>
      </c>
      <c r="BJ28" s="414" t="s">
        <v>274</v>
      </c>
      <c r="BK28" s="414" t="s">
        <v>275</v>
      </c>
      <c r="BL28" s="414" t="s">
        <v>276</v>
      </c>
      <c r="BM28" s="456" t="s">
        <v>98</v>
      </c>
      <c r="BO28" s="457" t="s">
        <v>277</v>
      </c>
      <c r="BP28" s="458"/>
      <c r="BQ28" s="458"/>
      <c r="BR28" s="458"/>
      <c r="BS28" s="458"/>
      <c r="BT28" s="459"/>
      <c r="BU28" s="458"/>
      <c r="BV28" s="458"/>
      <c r="BW28" s="458"/>
      <c r="BX28" s="458"/>
      <c r="BY28" s="458">
        <v>1</v>
      </c>
      <c r="BZ28" s="458">
        <v>2</v>
      </c>
      <c r="CA28" s="470">
        <v>3</v>
      </c>
    </row>
    <row r="29" ht="18.95" customHeight="1" spans="1:79">
      <c r="A29" s="266" t="e">
        <f>VLOOKUP(L4,Sheet3!C2:P785,17,FALSE)</f>
        <v>#N/A</v>
      </c>
      <c r="B29" s="267"/>
      <c r="C29" s="268" t="s">
        <v>93</v>
      </c>
      <c r="D29" s="269" t="e">
        <f>" "&amp;VLOOKUP(A4,Sheet3!C2:P785,17,FALSE)</f>
        <v>#N/A</v>
      </c>
      <c r="E29" s="269"/>
      <c r="F29" s="271"/>
      <c r="G29" s="270"/>
      <c r="I29" s="167" t="s">
        <v>278</v>
      </c>
      <c r="J29" s="342" t="b">
        <v>0</v>
      </c>
      <c r="K29" s="343"/>
      <c r="V29" s="370" t="s">
        <v>279</v>
      </c>
      <c r="W29" s="12" t="s">
        <v>280</v>
      </c>
      <c r="X29" s="371" t="s">
        <v>281</v>
      </c>
      <c r="Y29" s="371" t="s">
        <v>282</v>
      </c>
      <c r="AU29" s="390" t="s">
        <v>283</v>
      </c>
      <c r="AV29" s="415">
        <v>2</v>
      </c>
      <c r="AW29" s="415">
        <v>3</v>
      </c>
      <c r="AX29" s="415">
        <v>4</v>
      </c>
      <c r="AY29" s="415">
        <v>5</v>
      </c>
      <c r="AZ29" s="415">
        <v>6</v>
      </c>
      <c r="BA29" s="415">
        <v>7</v>
      </c>
      <c r="BB29" s="415">
        <v>8</v>
      </c>
      <c r="BC29" s="415">
        <v>9</v>
      </c>
      <c r="BD29" s="415">
        <v>10</v>
      </c>
      <c r="BE29" s="415">
        <v>11</v>
      </c>
      <c r="BF29" s="415">
        <v>12</v>
      </c>
      <c r="BG29" s="415">
        <v>13</v>
      </c>
      <c r="BH29" s="415">
        <v>14</v>
      </c>
      <c r="BI29" s="415">
        <v>15</v>
      </c>
      <c r="BJ29" s="415">
        <v>16</v>
      </c>
      <c r="BK29" s="415">
        <v>17</v>
      </c>
      <c r="BL29" s="415">
        <v>18</v>
      </c>
      <c r="BM29" s="391">
        <v>19</v>
      </c>
      <c r="BO29" s="460" t="s">
        <v>142</v>
      </c>
      <c r="BP29" s="461" t="s">
        <v>149</v>
      </c>
      <c r="BQ29" s="461" t="s">
        <v>157</v>
      </c>
      <c r="BR29" s="461" t="s">
        <v>187</v>
      </c>
      <c r="BS29" s="461" t="s">
        <v>195</v>
      </c>
      <c r="BT29" s="462" t="s">
        <v>62</v>
      </c>
      <c r="BU29" s="461" t="s">
        <v>62</v>
      </c>
      <c r="BV29" s="461" t="s">
        <v>150</v>
      </c>
      <c r="BW29" s="461" t="s">
        <v>158</v>
      </c>
      <c r="BX29" s="461" t="s">
        <v>188</v>
      </c>
      <c r="BY29" s="26" t="s">
        <v>229</v>
      </c>
      <c r="BZ29" s="26" t="s">
        <v>236</v>
      </c>
      <c r="CA29" s="471" t="s">
        <v>244</v>
      </c>
    </row>
    <row r="30" ht="34.5" customHeight="1" spans="1:79">
      <c r="A30" s="272" t="s">
        <v>284</v>
      </c>
      <c r="B30" s="272"/>
      <c r="C30" s="272"/>
      <c r="D30" s="272"/>
      <c r="E30" s="272"/>
      <c r="F30" s="272"/>
      <c r="G30" s="272"/>
      <c r="H30" s="272"/>
      <c r="I30" s="272"/>
      <c r="J30" s="272"/>
      <c r="K30" s="272"/>
      <c r="L30" s="272"/>
      <c r="M30" s="272"/>
      <c r="N30" s="272"/>
      <c r="O30" s="272"/>
      <c r="P30" s="272"/>
      <c r="Q30" s="272"/>
      <c r="R30" s="272"/>
      <c r="S30" s="272"/>
      <c r="V30" s="370" t="s">
        <v>285</v>
      </c>
      <c r="W30" s="12" t="s">
        <v>286</v>
      </c>
      <c r="X30" s="371" t="s">
        <v>287</v>
      </c>
      <c r="Y30" s="371" t="s">
        <v>288</v>
      </c>
      <c r="AU30" s="416" t="s">
        <v>289</v>
      </c>
      <c r="AV30" s="417">
        <v>2</v>
      </c>
      <c r="AW30" s="417">
        <v>83</v>
      </c>
      <c r="AX30" s="417">
        <v>92</v>
      </c>
      <c r="AY30" s="417">
        <v>101</v>
      </c>
      <c r="AZ30" s="417">
        <v>110</v>
      </c>
      <c r="BA30" s="417">
        <v>128</v>
      </c>
      <c r="BB30" s="417">
        <v>11</v>
      </c>
      <c r="BC30" s="417">
        <v>29</v>
      </c>
      <c r="BD30" s="417">
        <v>38</v>
      </c>
      <c r="BE30" s="417">
        <v>20</v>
      </c>
      <c r="BF30" s="417">
        <v>119</v>
      </c>
      <c r="BG30" s="417">
        <v>56</v>
      </c>
      <c r="BH30" s="417">
        <v>47</v>
      </c>
      <c r="BI30" s="417">
        <v>65</v>
      </c>
      <c r="BJ30" s="417">
        <v>137</v>
      </c>
      <c r="BK30" s="417">
        <v>146</v>
      </c>
      <c r="BL30" s="417">
        <v>74</v>
      </c>
      <c r="BM30" s="463">
        <v>155</v>
      </c>
      <c r="BO30" s="464">
        <f>IF(AND(IF(F28=1,E15,P15),Q32="火"),1.5,1)</f>
        <v>1</v>
      </c>
      <c r="BP30" s="465">
        <f>IF(AND(IF(F28=1,E16,P16),Q32="电"),2,1)</f>
        <v>1</v>
      </c>
      <c r="BQ30" s="465">
        <f>IF(IF(F28=1,E17,P17),1.5,1)</f>
        <v>1</v>
      </c>
      <c r="BR30" s="465">
        <f>IF(AND(OR(E18,P18),Q32="火"),0.5,1)</f>
        <v>1</v>
      </c>
      <c r="BS30" s="465">
        <f>IF(AND(OR(E18,P18),Q32="电"),0.5,1)</f>
        <v>1</v>
      </c>
      <c r="BT30" s="466">
        <f>IF(AND(IF(F28=1,H15,S15),OR(BD22=1,BD22=5),Q33="物理"),1.5,1)</f>
        <v>1</v>
      </c>
      <c r="BU30" s="465">
        <f>IF(AND(IF(F28=1,S15,H15),OR(BD22=1,BD22=5),Q33="特殊"),1.5,1)</f>
        <v>1</v>
      </c>
      <c r="BV30" s="465">
        <f>IF(AND(IF(F28=1,S16,H16),OR(P31="践踏",P31="坚硬滚动")),2,1)</f>
        <v>1</v>
      </c>
      <c r="BW30" s="465">
        <f>IF(IF(F28=1,S17,H17),IF(P31="冲浪",2,IF(OR(C36="无防御",J36="无防御"),1,0)),1)</f>
        <v>1</v>
      </c>
      <c r="BX30" s="465">
        <f>IF(IF(F28=1,S18,H18),IF(P31="地震",2,IF(OR(C36="无防御",J36="无防御"),1,0)),1)</f>
        <v>1</v>
      </c>
      <c r="BY30" s="465">
        <f>IF(AND(J23=1,Q32="龙"),0.5,1)</f>
        <v>1</v>
      </c>
      <c r="BZ30" s="465">
        <f>IF(AND(J23=2,Q32="电"),IF(OR(C32="飞",C33="飞",C36="浮游"),1,1.5),1)</f>
        <v>1</v>
      </c>
      <c r="CA30" s="472">
        <f>IF(AND(J23=3,Q32="草"),IF(OR(C32="飞",C33="飞",C36="浮游"),1,1.5),1)</f>
        <v>1</v>
      </c>
    </row>
    <row r="31" ht="21" customHeight="1" spans="1:72">
      <c r="A31" s="273" t="str">
        <f>"进攻方：No."</f>
        <v>进攻方：No.</v>
      </c>
      <c r="B31" s="274"/>
      <c r="C31" s="275" t="str">
        <f>IF(F28=1,A4,L4)</f>
        <v>383 原始固拉多</v>
      </c>
      <c r="D31" s="276"/>
      <c r="E31" s="276"/>
      <c r="H31" s="277" t="str">
        <f>"防御方：No."</f>
        <v>防御方：No.</v>
      </c>
      <c r="I31" s="344"/>
      <c r="J31" s="275" t="str">
        <f>IF(F28=1,L4,A4)</f>
        <v>003 Mega妙蛙花</v>
      </c>
      <c r="K31" s="276"/>
      <c r="L31" s="276"/>
      <c r="N31" s="273" t="s">
        <v>290</v>
      </c>
      <c r="O31" s="274"/>
      <c r="P31" s="345" t="str">
        <f>IF(F28=1,D25,O25)</f>
        <v>断崖之剑</v>
      </c>
      <c r="Q31" s="345"/>
      <c r="R31" s="345" t="str">
        <f>IF(ISERROR(VLOOKUP($P$31,$BC$68:$BD$87,2,FALSE))," ",IF(ISERROR(VLOOKUP(P31,BC68:BD73,2,FALSE)),"（攻击 2-"&amp;VLOOKUP($P$31,$BC$68:$BD$87,2,FALSE)&amp;"次）","（攻击 2 次）"))</f>
        <v> </v>
      </c>
      <c r="S31" s="386"/>
      <c r="V31" s="370" t="s">
        <v>291</v>
      </c>
      <c r="W31" s="12" t="s">
        <v>292</v>
      </c>
      <c r="X31" s="371" t="s">
        <v>293</v>
      </c>
      <c r="Y31" s="371" t="s">
        <v>294</v>
      </c>
      <c r="AU31" s="418" t="s">
        <v>295</v>
      </c>
      <c r="AV31" s="419" t="s">
        <v>267</v>
      </c>
      <c r="AW31" s="419" t="s">
        <v>250</v>
      </c>
      <c r="AX31" s="419" t="s">
        <v>251</v>
      </c>
      <c r="AY31" s="419" t="s">
        <v>235</v>
      </c>
      <c r="AZ31" s="419" t="s">
        <v>268</v>
      </c>
      <c r="BA31" s="419" t="s">
        <v>100</v>
      </c>
      <c r="BB31" s="419" t="s">
        <v>269</v>
      </c>
      <c r="BC31" s="419" t="s">
        <v>270</v>
      </c>
      <c r="BD31" s="419" t="s">
        <v>237</v>
      </c>
      <c r="BE31" s="419" t="s">
        <v>99</v>
      </c>
      <c r="BF31" s="419" t="s">
        <v>271</v>
      </c>
      <c r="BG31" s="419" t="s">
        <v>272</v>
      </c>
      <c r="BH31" s="419" t="s">
        <v>252</v>
      </c>
      <c r="BI31" s="419" t="s">
        <v>273</v>
      </c>
      <c r="BJ31" s="419" t="s">
        <v>274</v>
      </c>
      <c r="BK31" s="419" t="s">
        <v>275</v>
      </c>
      <c r="BL31" s="419" t="s">
        <v>276</v>
      </c>
      <c r="BM31" s="467" t="s">
        <v>98</v>
      </c>
      <c r="BT31" s="174"/>
    </row>
    <row r="32" spans="1:72">
      <c r="A32" s="278" t="s">
        <v>148</v>
      </c>
      <c r="B32" s="278"/>
      <c r="C32" s="279" t="str">
        <f>IF(ISBLANK(E32),IF(C36="变幻自在",Q32,IF($F$28=1,B16,M16)),E32)</f>
        <v> </v>
      </c>
      <c r="D32" s="279"/>
      <c r="E32" s="280"/>
      <c r="H32" s="12" t="s">
        <v>148</v>
      </c>
      <c r="I32" s="12"/>
      <c r="J32" s="279" t="str">
        <f>IF(ISBLANK(K32),IF(F28=1,$M$16,$B$16),K32)</f>
        <v> </v>
      </c>
      <c r="K32" s="280"/>
      <c r="L32" s="280"/>
      <c r="N32" s="278" t="s">
        <v>296</v>
      </c>
      <c r="O32" s="278"/>
      <c r="P32" s="346"/>
      <c r="Q32" s="387" t="str">
        <f>IF(ISBLANK(S32),IF(P31="气象球",IF(ISBLANK(J12),"普",HLOOKUP(J12,AV22:BA25,4,FALSE)),IF(F28=1,IF(D25="觉醒力量",C19,$D$24),IF(O25="觉醒力量",N19,O24))),S32)</f>
        <v>地</v>
      </c>
      <c r="R32" s="387"/>
      <c r="S32" s="388"/>
      <c r="V32" s="370" t="s">
        <v>297</v>
      </c>
      <c r="W32" s="12" t="s">
        <v>298</v>
      </c>
      <c r="X32" s="371" t="s">
        <v>299</v>
      </c>
      <c r="Y32" s="371" t="s">
        <v>300</v>
      </c>
      <c r="AU32" s="420" t="s">
        <v>267</v>
      </c>
      <c r="AV32" s="182">
        <v>1</v>
      </c>
      <c r="AW32" s="182">
        <v>1</v>
      </c>
      <c r="AX32" s="182">
        <v>1</v>
      </c>
      <c r="AY32" s="182">
        <v>1</v>
      </c>
      <c r="AZ32" s="182">
        <v>1</v>
      </c>
      <c r="BA32" s="182">
        <v>1</v>
      </c>
      <c r="BB32" s="182">
        <v>1</v>
      </c>
      <c r="BC32" s="182">
        <v>1</v>
      </c>
      <c r="BD32" s="182">
        <v>1</v>
      </c>
      <c r="BE32" s="182">
        <v>1</v>
      </c>
      <c r="BF32" s="182">
        <v>1</v>
      </c>
      <c r="BG32" s="182">
        <v>1</v>
      </c>
      <c r="BH32" s="182">
        <v>0.5</v>
      </c>
      <c r="BI32" s="182">
        <v>0</v>
      </c>
      <c r="BJ32" s="182">
        <v>1</v>
      </c>
      <c r="BK32" s="182">
        <v>1</v>
      </c>
      <c r="BL32" s="182">
        <v>0.5</v>
      </c>
      <c r="BM32" s="468">
        <v>1</v>
      </c>
      <c r="BT32" s="174"/>
    </row>
    <row r="33" spans="1:72">
      <c r="A33" s="278" t="s">
        <v>156</v>
      </c>
      <c r="B33" s="278"/>
      <c r="C33" s="279" t="str">
        <f>IF(ISBLANK(E33),IF(C36="变幻自在"," ",IF($F$28=1,B17,M17)),E33)</f>
        <v> </v>
      </c>
      <c r="D33" s="279"/>
      <c r="E33" s="280"/>
      <c r="H33" s="12" t="s">
        <v>156</v>
      </c>
      <c r="I33" s="12"/>
      <c r="J33" s="279" t="str">
        <f>IF(ISBLANK(K33),IF(F28=1,$M$17,$B$17),K33)</f>
        <v> </v>
      </c>
      <c r="K33" s="280"/>
      <c r="L33" s="280"/>
      <c r="N33" s="278" t="s">
        <v>301</v>
      </c>
      <c r="O33" s="278"/>
      <c r="P33" s="278"/>
      <c r="Q33" s="279" t="str">
        <f>IF(ISBLANK(S33),IF(F28=1,IFERROR(VLOOKUP($D$25,Sheet1!$B$4:$E$76,4,FALSE)," "),IFERROR(VLOOKUP(O25,Sheet1!T4:X87,4,FALSE)," ")),S33)</f>
        <v>物理</v>
      </c>
      <c r="R33" s="279"/>
      <c r="S33" s="389"/>
      <c r="V33" s="370" t="s">
        <v>302</v>
      </c>
      <c r="W33" s="12" t="s">
        <v>303</v>
      </c>
      <c r="X33" s="371" t="s">
        <v>304</v>
      </c>
      <c r="Y33" s="371" t="s">
        <v>305</v>
      </c>
      <c r="AU33" s="420" t="s">
        <v>250</v>
      </c>
      <c r="AV33" s="182">
        <v>1</v>
      </c>
      <c r="AW33" s="182">
        <v>0.5</v>
      </c>
      <c r="AX33" s="182">
        <v>0.5</v>
      </c>
      <c r="AY33" s="182">
        <v>2</v>
      </c>
      <c r="AZ33" s="182">
        <v>1</v>
      </c>
      <c r="BA33" s="182">
        <v>2</v>
      </c>
      <c r="BB33" s="182">
        <v>1</v>
      </c>
      <c r="BC33" s="182">
        <v>1</v>
      </c>
      <c r="BD33" s="182">
        <v>1</v>
      </c>
      <c r="BE33" s="182">
        <v>1</v>
      </c>
      <c r="BF33" s="182">
        <v>1</v>
      </c>
      <c r="BG33" s="182">
        <v>2</v>
      </c>
      <c r="BH33" s="182">
        <v>0.5</v>
      </c>
      <c r="BI33" s="182">
        <v>1</v>
      </c>
      <c r="BJ33" s="182">
        <v>0.5</v>
      </c>
      <c r="BK33" s="182">
        <v>1</v>
      </c>
      <c r="BL33" s="182">
        <v>2</v>
      </c>
      <c r="BM33" s="468">
        <v>1</v>
      </c>
      <c r="BT33" s="174"/>
    </row>
    <row r="34" spans="1:72">
      <c r="A34" s="278" t="s">
        <v>306</v>
      </c>
      <c r="B34" s="278"/>
      <c r="C34" s="279" t="str">
        <f>IFERROR(IF(ISBLANK(E34),IF(Q33="物理",IF(P31="诈骗",IF(F28=1,$S$7,H7),IF(F28=1,H7,S7)),IF(F28=1,$H$9,S9)),E34)," ")</f>
        <v> </v>
      </c>
      <c r="D34" s="279"/>
      <c r="E34" s="280"/>
      <c r="H34" s="12" t="s">
        <v>307</v>
      </c>
      <c r="I34" s="12"/>
      <c r="J34" s="168" t="str">
        <f>IF(ISBLANK(K34),IF(F28=1,IF(Q33="特殊",IF(OR(D25="精神冲击",D25="神秘之剑"),$S$8,$S$10),$S$8),IF(Q33="特殊",IF(OR(O25="精神冲击",O25="神秘之剑"),H8,H10),H8)),K34)</f>
        <v> </v>
      </c>
      <c r="K34" s="280"/>
      <c r="L34" s="280"/>
      <c r="N34" s="278" t="s">
        <v>308</v>
      </c>
      <c r="O34" s="278"/>
      <c r="P34" s="278"/>
      <c r="Q34" s="279">
        <f>IFERROR(IF(ISBLANK(S34),IF(F28=1,VLOOKUP($D$25,Sheet1!$B$4:$P$76,15,FALSE),VLOOKUP(O25,Sheet1!T4:AH87,15,FALSE)),S34)," ")</f>
        <v>120</v>
      </c>
      <c r="R34" s="279"/>
      <c r="S34" s="389"/>
      <c r="V34" s="370" t="s">
        <v>309</v>
      </c>
      <c r="W34" s="12" t="s">
        <v>310</v>
      </c>
      <c r="X34" s="371" t="s">
        <v>311</v>
      </c>
      <c r="Y34" s="371" t="s">
        <v>312</v>
      </c>
      <c r="AU34" s="420" t="s">
        <v>251</v>
      </c>
      <c r="AV34" s="182">
        <v>1</v>
      </c>
      <c r="AW34" s="182">
        <v>2</v>
      </c>
      <c r="AX34" s="182">
        <v>0.5</v>
      </c>
      <c r="AY34" s="182">
        <v>0.5</v>
      </c>
      <c r="AZ34" s="182">
        <v>1</v>
      </c>
      <c r="BA34" s="182">
        <v>1</v>
      </c>
      <c r="BB34" s="182">
        <v>1</v>
      </c>
      <c r="BC34" s="182">
        <v>1</v>
      </c>
      <c r="BD34" s="182">
        <v>2</v>
      </c>
      <c r="BE34" s="182">
        <v>1</v>
      </c>
      <c r="BF34" s="182">
        <v>1</v>
      </c>
      <c r="BG34" s="182">
        <v>1</v>
      </c>
      <c r="BH34" s="182">
        <v>2</v>
      </c>
      <c r="BI34" s="182">
        <v>1</v>
      </c>
      <c r="BJ34" s="182">
        <v>0.5</v>
      </c>
      <c r="BK34" s="182">
        <v>1</v>
      </c>
      <c r="BL34" s="182">
        <v>1</v>
      </c>
      <c r="BM34" s="468">
        <v>1</v>
      </c>
      <c r="BT34" s="174"/>
    </row>
    <row r="35" spans="1:72">
      <c r="A35" s="278" t="s">
        <v>20</v>
      </c>
      <c r="B35" s="278"/>
      <c r="C35" s="279">
        <f>IF(ISBLANK(E35),IF(F28=1,$F$4,Q4),E35)</f>
        <v>50</v>
      </c>
      <c r="D35" s="279"/>
      <c r="E35" s="281"/>
      <c r="H35" s="278" t="s">
        <v>313</v>
      </c>
      <c r="I35" s="278"/>
      <c r="J35" s="168" t="e">
        <f>INT(IF(ISBLANK(K35),IF(F28=1,$S$6,$H$6),K35)*IF(F28=1,R13,G13))</f>
        <v>#VALUE!</v>
      </c>
      <c r="K35" s="280"/>
      <c r="L35" s="280"/>
      <c r="V35" s="370" t="s">
        <v>314</v>
      </c>
      <c r="W35" s="12" t="s">
        <v>315</v>
      </c>
      <c r="X35" s="371" t="s">
        <v>316</v>
      </c>
      <c r="Y35" s="371" t="s">
        <v>317</v>
      </c>
      <c r="AU35" s="420" t="s">
        <v>235</v>
      </c>
      <c r="AV35" s="182">
        <v>1</v>
      </c>
      <c r="AW35" s="182">
        <v>0.5</v>
      </c>
      <c r="AX35" s="182">
        <v>2</v>
      </c>
      <c r="AY35" s="182">
        <v>0.5</v>
      </c>
      <c r="AZ35" s="182">
        <v>1</v>
      </c>
      <c r="BA35" s="182">
        <v>1</v>
      </c>
      <c r="BB35" s="182">
        <v>1</v>
      </c>
      <c r="BC35" s="182">
        <v>0.5</v>
      </c>
      <c r="BD35" s="182">
        <v>2</v>
      </c>
      <c r="BE35" s="182">
        <v>0.5</v>
      </c>
      <c r="BF35" s="182">
        <v>1</v>
      </c>
      <c r="BG35" s="182">
        <v>0.5</v>
      </c>
      <c r="BH35" s="182">
        <v>2</v>
      </c>
      <c r="BI35" s="182">
        <v>1</v>
      </c>
      <c r="BJ35" s="182">
        <v>0.5</v>
      </c>
      <c r="BK35" s="182">
        <v>1</v>
      </c>
      <c r="BL35" s="182">
        <v>0.5</v>
      </c>
      <c r="BM35" s="468">
        <v>1</v>
      </c>
      <c r="BT35" s="174"/>
    </row>
    <row r="36" spans="1:72">
      <c r="A36" s="282" t="s">
        <v>318</v>
      </c>
      <c r="B36" s="282"/>
      <c r="C36" s="283" t="str">
        <f>IF(ISBLANK(E36),IF(F28=1,IF($D$13=1,$B$13,IF($D$13=2,$B$14,$B$15)),IF($O$13=1,$M$13,IF($O$13=2,$M$14,$M$15))),E36)</f>
        <v> </v>
      </c>
      <c r="D36" s="283"/>
      <c r="E36" s="169"/>
      <c r="H36" s="284" t="s">
        <v>318</v>
      </c>
      <c r="I36" s="284"/>
      <c r="J36" s="283" t="str">
        <f>IF(ISBLANK(K36),IF(F28=1,IF($O$13=1,$M$13,IF($O$13=2,$M$14,$M$15)),IF($D$13=1,$B$13,IF($D$13=2,$B$14,$B$15))),K36)</f>
        <v> </v>
      </c>
      <c r="K36" s="347"/>
      <c r="L36" s="169"/>
      <c r="N36" s="167" t="s">
        <v>319</v>
      </c>
      <c r="O36" s="167"/>
      <c r="P36" s="348"/>
      <c r="Q36" s="390" t="str">
        <f>IF(ISERROR(VLOOKUP($P$31,$BC$68:$BD$87,2,FALSE)),"-",IF(ISBLANK($S$36),VLOOKUP($P$31,$BC$68:$BD$87,2,FALSE),$S$36))</f>
        <v>-</v>
      </c>
      <c r="R36" s="391"/>
      <c r="S36" s="392"/>
      <c r="T36" s="393"/>
      <c r="U36" s="393"/>
      <c r="V36" s="370" t="s">
        <v>320</v>
      </c>
      <c r="W36" s="12" t="s">
        <v>321</v>
      </c>
      <c r="X36" s="371" t="s">
        <v>322</v>
      </c>
      <c r="Y36" s="371" t="s">
        <v>323</v>
      </c>
      <c r="AU36" s="420" t="s">
        <v>268</v>
      </c>
      <c r="AV36" s="182">
        <v>1</v>
      </c>
      <c r="AW36" s="182">
        <v>1</v>
      </c>
      <c r="AX36" s="182">
        <v>2</v>
      </c>
      <c r="AY36" s="182">
        <v>0.5</v>
      </c>
      <c r="AZ36" s="182">
        <v>0.5</v>
      </c>
      <c r="BA36" s="182">
        <v>1</v>
      </c>
      <c r="BB36" s="182">
        <v>1</v>
      </c>
      <c r="BC36" s="182">
        <v>1</v>
      </c>
      <c r="BD36" s="182">
        <v>0</v>
      </c>
      <c r="BE36" s="182">
        <f>IF($BD$22=7,1,2)</f>
        <v>2</v>
      </c>
      <c r="BF36" s="182">
        <v>1</v>
      </c>
      <c r="BG36" s="182">
        <v>1</v>
      </c>
      <c r="BH36" s="182">
        <v>1</v>
      </c>
      <c r="BI36" s="182">
        <v>1</v>
      </c>
      <c r="BJ36" s="182">
        <v>0.5</v>
      </c>
      <c r="BK36" s="182">
        <v>1</v>
      </c>
      <c r="BL36" s="182">
        <v>1</v>
      </c>
      <c r="BM36" s="468">
        <v>1</v>
      </c>
      <c r="BT36" s="174"/>
    </row>
    <row r="37" spans="1:72">
      <c r="A37" s="278" t="s">
        <v>324</v>
      </c>
      <c r="B37" s="278"/>
      <c r="C37" s="171" t="e">
        <f>INT(IF($F$28=1,$H$11,$S$11)*IFERROR(HLOOKUP(IF($F$28=1,$B$22,$M$22),$BJ$17:$BL$18,2,FALSE),1)*IF(AND(C36="早足",ISTEXT(IF($F$28=1,$F$14,$Q$14))),1.5,IF(IF($F$28=1,$F$14,$Q$14)="麻痹",0.25,1))*IF(IF($F$28=1,$H$23,$S$23)&lt;0,2/(2-IF($F$28=1,$H$23,$S$23)),(1+IF($F$28=1,$H$23,$S$23)/2))*IF(OR(AND(C36="挖沙",BD22=4),AND(C36="叶绿素",OR(BD22=6,BD22=1)),AND(C36="轻快",OR(BD22=2,BD22=5))),2,1))</f>
        <v>#VALUE!</v>
      </c>
      <c r="D37" s="171"/>
      <c r="H37" s="278" t="s">
        <v>324</v>
      </c>
      <c r="I37" s="278"/>
      <c r="J37" s="171" t="e">
        <f>INT(IF($F$28=1,$S$11,$H$11)*IFERROR(HLOOKUP(IF($F$28=1,$M$22,$B$22),$BJ$17:$BL$18,2,FALSE),1)*IF(AND(J36="早足",ISTEXT(IF($F$28=1,$Q$14,$F$14))),1.5,IF(IF($F$28=1,$Q$14,$F$14)="麻痹",0.25,1))*IF(IF($F$28=1,$S$23,$H$23)&lt;0,2/(2-IF($F$28=1,$S$23,$H$23)),(1+IF($F$28=1,$S$23,$H$23)/2))*IF(OR(AND(J36="挖沙",BD22=4),AND(J36="叶绿素",OR(BD22=6,BD22=1)),AND(J36="轻快",OR(BD22=2,BD22=5))),2,1))</f>
        <v>#VALUE!</v>
      </c>
      <c r="K37" s="349"/>
      <c r="V37" s="370" t="s">
        <v>325</v>
      </c>
      <c r="W37" s="394" t="s">
        <v>326</v>
      </c>
      <c r="X37" s="371" t="s">
        <v>327</v>
      </c>
      <c r="Y37" s="371" t="s">
        <v>328</v>
      </c>
      <c r="Z37" s="393"/>
      <c r="AU37" s="420" t="s">
        <v>100</v>
      </c>
      <c r="AV37" s="182">
        <v>1</v>
      </c>
      <c r="AW37" s="182">
        <v>0.5</v>
      </c>
      <c r="AX37" s="182">
        <v>0.5</v>
      </c>
      <c r="AY37" s="182">
        <v>2</v>
      </c>
      <c r="AZ37" s="182">
        <v>1</v>
      </c>
      <c r="BA37" s="182">
        <v>0.5</v>
      </c>
      <c r="BB37" s="182">
        <v>1</v>
      </c>
      <c r="BC37" s="182">
        <v>1</v>
      </c>
      <c r="BD37" s="182">
        <v>2</v>
      </c>
      <c r="BE37" s="182">
        <f>IF($BD$22=7,1,2)</f>
        <v>2</v>
      </c>
      <c r="BF37" s="182">
        <v>1</v>
      </c>
      <c r="BG37" s="182">
        <v>1</v>
      </c>
      <c r="BH37" s="182">
        <v>1</v>
      </c>
      <c r="BI37" s="182">
        <v>1</v>
      </c>
      <c r="BJ37" s="182">
        <v>2</v>
      </c>
      <c r="BK37" s="182">
        <v>1</v>
      </c>
      <c r="BL37" s="182">
        <v>0.5</v>
      </c>
      <c r="BM37" s="468">
        <v>1</v>
      </c>
      <c r="BT37" s="174"/>
    </row>
    <row r="38" spans="22:72">
      <c r="V38" s="370" t="s">
        <v>329</v>
      </c>
      <c r="W38" s="12" t="s">
        <v>330</v>
      </c>
      <c r="X38" s="371" t="s">
        <v>331</v>
      </c>
      <c r="Y38" s="371" t="s">
        <v>332</v>
      </c>
      <c r="AU38" s="420" t="s">
        <v>269</v>
      </c>
      <c r="AV38" s="182">
        <v>2</v>
      </c>
      <c r="AW38" s="182">
        <v>1</v>
      </c>
      <c r="AX38" s="182">
        <v>1</v>
      </c>
      <c r="AY38" s="182">
        <v>1</v>
      </c>
      <c r="AZ38" s="182">
        <v>1</v>
      </c>
      <c r="BA38" s="182">
        <v>2</v>
      </c>
      <c r="BB38" s="182">
        <v>1</v>
      </c>
      <c r="BC38" s="182">
        <v>0.5</v>
      </c>
      <c r="BD38" s="182">
        <v>1</v>
      </c>
      <c r="BE38" s="182">
        <v>0.5</v>
      </c>
      <c r="BF38" s="182">
        <v>0.5</v>
      </c>
      <c r="BG38" s="182">
        <v>0.5</v>
      </c>
      <c r="BH38" s="182">
        <v>2</v>
      </c>
      <c r="BI38" s="182">
        <v>0</v>
      </c>
      <c r="BJ38" s="182">
        <v>1</v>
      </c>
      <c r="BK38" s="182">
        <v>2</v>
      </c>
      <c r="BL38" s="182">
        <v>2</v>
      </c>
      <c r="BM38" s="468">
        <v>0.5</v>
      </c>
      <c r="BT38" s="174"/>
    </row>
    <row r="39" spans="1:72">
      <c r="A39" s="285" t="s">
        <v>333</v>
      </c>
      <c r="B39" s="285"/>
      <c r="C39" s="285"/>
      <c r="D39" s="286" t="str">
        <f>IFERROR(INT(C34*IFERROR(HLOOKUP(C36,$BM$5:$BW$6,2,FALSE),1)*IFERROR(HLOOKUP(IF(F28=1,B22,M22),$BA$17:$BF$18,2,FALSE),1)*PRODUCT(BO30,BT30)*IF(J36="天然",1,IF(IF(P31="诈骗",IF(F28=1,P21,E21),IF(F28=1,$E$21,$P$21))&lt;0,2/(2-IF(P31="诈骗",IF(F28=1,P21,E21),IF(F28=1,$E$21,$P$21))),1+IF(P31="诈骗",IF(F28=1,P21,E21),IF(F28=1,$E$21,$P$21))/2)))," ")</f>
        <v> </v>
      </c>
      <c r="E39" s="286"/>
      <c r="F39" s="286"/>
      <c r="J39" s="262"/>
      <c r="V39" s="370" t="s">
        <v>334</v>
      </c>
      <c r="W39" s="12" t="s">
        <v>335</v>
      </c>
      <c r="X39" s="371" t="s">
        <v>336</v>
      </c>
      <c r="Y39" s="371" t="s">
        <v>337</v>
      </c>
      <c r="AU39" s="420" t="s">
        <v>270</v>
      </c>
      <c r="AV39" s="182">
        <v>1</v>
      </c>
      <c r="AW39" s="182">
        <v>1</v>
      </c>
      <c r="AX39" s="182">
        <v>1</v>
      </c>
      <c r="AY39" s="182">
        <v>2</v>
      </c>
      <c r="AZ39" s="182">
        <v>1</v>
      </c>
      <c r="BA39" s="182">
        <v>1</v>
      </c>
      <c r="BB39" s="182">
        <v>1</v>
      </c>
      <c r="BC39" s="182">
        <v>0.5</v>
      </c>
      <c r="BD39" s="182">
        <v>0.5</v>
      </c>
      <c r="BE39" s="182">
        <v>1</v>
      </c>
      <c r="BF39" s="182">
        <v>1</v>
      </c>
      <c r="BG39" s="182">
        <v>1</v>
      </c>
      <c r="BH39" s="182">
        <v>0.5</v>
      </c>
      <c r="BI39" s="182">
        <v>0.5</v>
      </c>
      <c r="BJ39" s="182">
        <v>1</v>
      </c>
      <c r="BK39" s="182">
        <v>1</v>
      </c>
      <c r="BL39" s="182">
        <v>0</v>
      </c>
      <c r="BM39" s="468">
        <v>2</v>
      </c>
      <c r="BT39" s="174"/>
    </row>
    <row r="40" spans="1:72">
      <c r="A40" s="287" t="s">
        <v>338</v>
      </c>
      <c r="B40" s="287"/>
      <c r="C40" s="288"/>
      <c r="D40" s="289" t="str">
        <f>IFERROR(INT(J34*IFERROR(HLOOKUP(J36,$CH$5:$CJ$6,2,FALSE),1)*IFERROR(HLOOKUP(IF(F28=1,$M$22,$B$22),$BM$17:$BP$18,2,FALSE),1)*BU30*IF(AND(OR(J32="岩",J33="岩"),BD22=4,Q33="特殊"),1.5,1)*IF(OR(C36="天然",P31="神圣之剑",P31="循序渐进",AND(D46&gt;1,IF(F28=1,$P$22,$E$22)&gt;0)),1,IF(IF(F28=1,$P$22,$E$22)&lt;0,2/(2-IF(F28=1,$P$22,$E$22)),(1+IF(F28=1,$P$22,$E$22)/2))))," ")</f>
        <v> </v>
      </c>
      <c r="E40" s="289"/>
      <c r="F40" s="289"/>
      <c r="G40" s="263"/>
      <c r="H40" s="263"/>
      <c r="I40" s="182"/>
      <c r="J40" s="182"/>
      <c r="M40" s="14"/>
      <c r="P40" s="262"/>
      <c r="Q40" s="262"/>
      <c r="R40" s="262"/>
      <c r="V40" s="370" t="s">
        <v>339</v>
      </c>
      <c r="W40" s="12" t="s">
        <v>340</v>
      </c>
      <c r="X40" s="371" t="s">
        <v>341</v>
      </c>
      <c r="Y40" s="371" t="s">
        <v>342</v>
      </c>
      <c r="AU40" s="420" t="s">
        <v>237</v>
      </c>
      <c r="AV40" s="182">
        <v>1</v>
      </c>
      <c r="AW40" s="182">
        <v>2</v>
      </c>
      <c r="AX40" s="182">
        <v>1</v>
      </c>
      <c r="AY40" s="182">
        <v>0.5</v>
      </c>
      <c r="AZ40" s="182">
        <v>2</v>
      </c>
      <c r="BA40" s="182">
        <v>1</v>
      </c>
      <c r="BB40" s="182">
        <v>1</v>
      </c>
      <c r="BC40" s="182">
        <v>2</v>
      </c>
      <c r="BD40" s="182">
        <v>1</v>
      </c>
      <c r="BE40" s="182">
        <f>IF(J14,1,0)</f>
        <v>0</v>
      </c>
      <c r="BF40" s="182">
        <v>1</v>
      </c>
      <c r="BG40" s="182">
        <v>0.5</v>
      </c>
      <c r="BH40" s="182">
        <v>2</v>
      </c>
      <c r="BI40" s="182">
        <v>1</v>
      </c>
      <c r="BJ40" s="182">
        <v>1</v>
      </c>
      <c r="BK40" s="182">
        <v>1</v>
      </c>
      <c r="BL40" s="182">
        <v>2</v>
      </c>
      <c r="BM40" s="468">
        <v>1</v>
      </c>
      <c r="BT40" s="174"/>
    </row>
    <row r="41" spans="1:72">
      <c r="A41" s="285" t="s">
        <v>343</v>
      </c>
      <c r="B41" s="285"/>
      <c r="C41" s="290"/>
      <c r="D41" s="286">
        <f>IFERROR(ROUND(Q34*IFERROR(HLOOKUP(C36,$AV$5:$BI$6,2,FALSE),1)*IFERROR(HLOOKUP(J36,$CE$5:$CG$6,2,FALSE),1)*IFERROR(HLOOKUP(IF(F28=1,$B$22,$M$22),$AV$17:$AZ$18,2,FALSE),1)*IF(Q32="普",IFERROR(HLOOKUP(C36,$BJ$5:$BL$6,2,FALSE),1),1)*PRODUCT(BP30:BS30,BZ30,CA30),0)," ")</f>
        <v>120</v>
      </c>
      <c r="E41" s="286"/>
      <c r="F41" s="286"/>
      <c r="P41" s="262"/>
      <c r="Q41" s="395"/>
      <c r="R41" s="262"/>
      <c r="V41" s="370" t="s">
        <v>344</v>
      </c>
      <c r="W41" s="12" t="s">
        <v>345</v>
      </c>
      <c r="X41" s="371" t="s">
        <v>346</v>
      </c>
      <c r="Y41" s="371" t="s">
        <v>347</v>
      </c>
      <c r="AU41" s="420" t="s">
        <v>99</v>
      </c>
      <c r="AV41" s="182">
        <v>1</v>
      </c>
      <c r="AW41" s="182">
        <v>1</v>
      </c>
      <c r="AX41" s="182">
        <v>1</v>
      </c>
      <c r="AY41" s="182">
        <v>2</v>
      </c>
      <c r="AZ41" s="182">
        <v>0.5</v>
      </c>
      <c r="BA41" s="182">
        <v>1</v>
      </c>
      <c r="BB41" s="182">
        <v>2</v>
      </c>
      <c r="BC41" s="182">
        <v>1</v>
      </c>
      <c r="BD41" s="182">
        <v>1</v>
      </c>
      <c r="BE41" s="182">
        <v>1</v>
      </c>
      <c r="BF41" s="182">
        <v>1</v>
      </c>
      <c r="BG41" s="182">
        <v>2</v>
      </c>
      <c r="BH41" s="182">
        <v>0.5</v>
      </c>
      <c r="BI41" s="182">
        <v>1</v>
      </c>
      <c r="BJ41" s="182">
        <v>1</v>
      </c>
      <c r="BK41" s="182">
        <v>1</v>
      </c>
      <c r="BL41" s="182">
        <v>0.5</v>
      </c>
      <c r="BM41" s="468">
        <v>1</v>
      </c>
      <c r="BT41" s="174"/>
    </row>
    <row r="42" spans="1:72">
      <c r="A42" s="285" t="s">
        <v>348</v>
      </c>
      <c r="B42" s="285"/>
      <c r="C42" s="290"/>
      <c r="D42" s="291" t="str">
        <f>IFERROR((INT((C35*2/5+2)*D39*D41/D40/50)+2)*IFERROR(VLOOKUP(J36,BJ66:BL76,3,FALSE),1)," ")</f>
        <v> </v>
      </c>
      <c r="E42" s="291"/>
      <c r="F42" s="291"/>
      <c r="P42" s="262"/>
      <c r="Q42" s="395"/>
      <c r="R42" s="262"/>
      <c r="V42" s="370" t="s">
        <v>349</v>
      </c>
      <c r="W42" s="12" t="s">
        <v>350</v>
      </c>
      <c r="X42" s="371" t="s">
        <v>351</v>
      </c>
      <c r="Y42" s="371" t="s">
        <v>352</v>
      </c>
      <c r="AU42" s="420" t="s">
        <v>271</v>
      </c>
      <c r="AV42" s="182">
        <v>1</v>
      </c>
      <c r="AW42" s="182">
        <v>1</v>
      </c>
      <c r="AX42" s="182">
        <v>1</v>
      </c>
      <c r="AY42" s="182">
        <v>1</v>
      </c>
      <c r="AZ42" s="182">
        <v>1</v>
      </c>
      <c r="BA42" s="182">
        <v>1</v>
      </c>
      <c r="BB42" s="182">
        <v>2</v>
      </c>
      <c r="BC42" s="182">
        <v>2</v>
      </c>
      <c r="BD42" s="182">
        <v>1</v>
      </c>
      <c r="BE42" s="182">
        <v>1</v>
      </c>
      <c r="BF42" s="182">
        <v>0.5</v>
      </c>
      <c r="BG42" s="182">
        <v>1</v>
      </c>
      <c r="BH42" s="182">
        <v>1</v>
      </c>
      <c r="BI42" s="182">
        <v>1</v>
      </c>
      <c r="BJ42" s="182">
        <v>1</v>
      </c>
      <c r="BK42" s="182">
        <v>0</v>
      </c>
      <c r="BL42" s="182">
        <v>0.5</v>
      </c>
      <c r="BM42" s="468">
        <v>1</v>
      </c>
      <c r="BT42" s="174"/>
    </row>
    <row r="43" spans="1:72">
      <c r="A43" s="285" t="s">
        <v>353</v>
      </c>
      <c r="B43" s="285"/>
      <c r="C43" s="290"/>
      <c r="D43" s="286">
        <f>IFERROR(HLOOKUP($J$12,$AV$22:$BB$24,IF(Q32="火",2,IF(Q32="水",3,4)),FALSE),1)</f>
        <v>1</v>
      </c>
      <c r="E43" s="286"/>
      <c r="F43" s="286"/>
      <c r="P43" s="262"/>
      <c r="Q43" s="262"/>
      <c r="R43" s="262"/>
      <c r="V43" s="370" t="s">
        <v>354</v>
      </c>
      <c r="W43" s="12" t="s">
        <v>355</v>
      </c>
      <c r="X43" s="371" t="s">
        <v>356</v>
      </c>
      <c r="Y43" s="371" t="s">
        <v>357</v>
      </c>
      <c r="AU43" s="420" t="s">
        <v>272</v>
      </c>
      <c r="AV43" s="182">
        <v>1</v>
      </c>
      <c r="AW43" s="182">
        <v>0.5</v>
      </c>
      <c r="AX43" s="182">
        <v>1</v>
      </c>
      <c r="AY43" s="182">
        <v>2</v>
      </c>
      <c r="AZ43" s="182">
        <v>1</v>
      </c>
      <c r="BA43" s="182">
        <v>1</v>
      </c>
      <c r="BB43" s="182">
        <v>0.5</v>
      </c>
      <c r="BC43" s="182">
        <v>0.5</v>
      </c>
      <c r="BD43" s="182">
        <v>1</v>
      </c>
      <c r="BE43" s="182">
        <v>0.5</v>
      </c>
      <c r="BF43" s="182">
        <v>2</v>
      </c>
      <c r="BG43" s="182">
        <v>1</v>
      </c>
      <c r="BH43" s="182">
        <v>1</v>
      </c>
      <c r="BI43" s="182">
        <v>0.5</v>
      </c>
      <c r="BJ43" s="182">
        <v>1</v>
      </c>
      <c r="BK43" s="182">
        <v>2</v>
      </c>
      <c r="BL43" s="182">
        <v>0.5</v>
      </c>
      <c r="BM43" s="468">
        <v>0.5</v>
      </c>
      <c r="BT43" s="174"/>
    </row>
    <row r="44" spans="1:72">
      <c r="A44" s="285" t="s">
        <v>358</v>
      </c>
      <c r="B44" s="285"/>
      <c r="C44" s="290"/>
      <c r="D44" s="292">
        <f>IFERROR(HLOOKUP(J32,$AU$31:$BM$49,HLOOKUP(IF(Q32="普",IFERROR(HLOOKUP(C36,$BJ$5:$BL$7,3,FALSE),Q32),Q32),$AV$28:$BM$29,2,FALSE),FALSE)*IFERROR(HLOOKUP(J33,$AU$31:$BM$49,HLOOKUP(IF(Q32="普",IFERROR(HLOOKUP(C36,$BJ$5:$BL$7,3,FALSE),Q32),Q32),$AV$28:$BM$29,2,FALSE),FALSE),1)*IF(AND(P31="冷冻干燥",OR(J32="水",J33="水")),4,1)*IF(P31="飞行压制",HLOOKUP(J32,$AU$31:$BM$49,11,FALSE)*IFERROR(HLOOKUP(J33,$AU$31:$BM$49,11,FALSE),1),1),1)</f>
        <v>1</v>
      </c>
      <c r="E44" s="292"/>
      <c r="F44" s="292"/>
      <c r="N44" s="350" t="s">
        <v>359</v>
      </c>
      <c r="V44" s="370" t="s">
        <v>360</v>
      </c>
      <c r="W44" s="12" t="s">
        <v>361</v>
      </c>
      <c r="X44" s="371" t="s">
        <v>362</v>
      </c>
      <c r="Y44" s="371" t="s">
        <v>363</v>
      </c>
      <c r="AU44" s="420" t="s">
        <v>252</v>
      </c>
      <c r="AV44" s="182">
        <v>1</v>
      </c>
      <c r="AW44" s="182">
        <v>2</v>
      </c>
      <c r="AX44" s="182">
        <v>1</v>
      </c>
      <c r="AY44" s="182">
        <v>1</v>
      </c>
      <c r="AZ44" s="182">
        <v>1</v>
      </c>
      <c r="BA44" s="182">
        <v>2</v>
      </c>
      <c r="BB44" s="182">
        <v>0.5</v>
      </c>
      <c r="BC44" s="182">
        <v>1</v>
      </c>
      <c r="BD44" s="182">
        <v>0.5</v>
      </c>
      <c r="BE44" s="182">
        <f>IF($BD$22=7,1,2)</f>
        <v>2</v>
      </c>
      <c r="BF44" s="182">
        <v>1</v>
      </c>
      <c r="BG44" s="182">
        <v>2</v>
      </c>
      <c r="BH44" s="182">
        <v>1</v>
      </c>
      <c r="BI44" s="182">
        <v>1</v>
      </c>
      <c r="BJ44" s="182">
        <v>1</v>
      </c>
      <c r="BK44" s="182">
        <v>1</v>
      </c>
      <c r="BL44" s="182">
        <v>0.5</v>
      </c>
      <c r="BM44" s="468">
        <v>1</v>
      </c>
      <c r="BT44" s="174"/>
    </row>
    <row r="45" spans="1:72">
      <c r="A45" s="285" t="s">
        <v>364</v>
      </c>
      <c r="B45" s="285"/>
      <c r="C45" s="290"/>
      <c r="D45" s="292">
        <f>IF(OR(IF(Q32="普",IFERROR(HLOOKUP(C36,$BJ$5:$BL$7,3,FALSE),Q32),Q32)=C32,IF(Q32="普",IFERROR(HLOOKUP(C36,$BJ$5:$BL$7,3,FALSE),Q32),Q32)=C33),IF(C36="适应力",2,1.5),1)</f>
        <v>1</v>
      </c>
      <c r="E45" s="292"/>
      <c r="F45" s="292"/>
      <c r="N45" s="351" t="str">
        <f>IFERROR(INT(ROUND(INT(INT(INT(INT($D$42*$D$46*$D$43)*BD52/100)*$D$45)*$D$44)*IFERROR(HLOOKUP($C$36,$BY$5:$CA$6,2,FALSE),1)*IFERROR(HLOOKUP($J$36,$CK$5:$CN$6,2,FALSE),1)*IFERROR(HLOOKUP(IF($F$28=1,$B$22,$M$22),$BG$17:$BH$18,2,FALSE),1)*IF(AND($K$15,$Q$33="物理"),IF($K$18=2,2/3,0.5),1)*IF(AND($K$16,$Q$33="特殊"),IF($K$18=2,2/3,0.5),1)*PRODUCT($BV$30:$BY$30)*IF($Q$33="物理",IFERROR(HLOOKUP(IF($F$28=1,$F$14,$Q$14),$AU$2:$AY$3,2,FALSE),1),1)*IF($K$18=2,IF(ISERROR(MATCH($P$31,$BF$68:$BF$103,0)),1,0.75),1)*IF(AND($P$31="打落",IF($F$28=1,ISTEXT($M$22),ISTEXT($B$22))),1.5,1)-0.01,0))*IF($Q$36="-",1,$Q$36)," ")</f>
        <v> </v>
      </c>
      <c r="O45" s="351" t="str">
        <f>IFERROR(INT(ROUND(INT(INT(INT(INT($D$42*$D$46*$D$43)*BE52/100)*$D$45)*$D$44)*IFERROR(HLOOKUP($C$36,$BY$5:$CA$6,2,FALSE),1)*IFERROR(HLOOKUP($J$36,$CK$5:$CN$6,2,FALSE),1)*IFERROR(HLOOKUP(IF($F$28=1,$B$22,$M$22),$BG$17:$BH$18,2,FALSE),1)*IF(AND($K$15,$Q$33="物理"),IF($K$18=2,2/3,0.5),1)*IF(AND($K$16,$Q$33="特殊"),IF($K$18=2,2/3,0.5),1)*PRODUCT($BV$30:$BX$30)*IF($Q$33="物理",IFERROR(HLOOKUP(IF($F$28=1,$F$14,$Q$14),$AU$2:$AY$3,2,FALSE),1),1)*IF($K$18=2,IF(ISERROR(MATCH($P$31,$BF$68:$BF$103,0)),1,0.75),1)*IF(AND($P$31="打落",IF($F$28=1,ISTEXT($M$22),ISTEXT($B$22))),1.5,1)-0.01,0))*IF($Q$36="-",1,$Q$36)," ")</f>
        <v> </v>
      </c>
      <c r="V45" s="370" t="s">
        <v>365</v>
      </c>
      <c r="W45" s="12" t="s">
        <v>366</v>
      </c>
      <c r="X45" s="371" t="s">
        <v>367</v>
      </c>
      <c r="Y45" s="371" t="s">
        <v>368</v>
      </c>
      <c r="AU45" s="420" t="s">
        <v>273</v>
      </c>
      <c r="AV45" s="182">
        <v>0</v>
      </c>
      <c r="AW45" s="182">
        <v>1</v>
      </c>
      <c r="AX45" s="182">
        <v>1</v>
      </c>
      <c r="AY45" s="182">
        <v>1</v>
      </c>
      <c r="AZ45" s="182">
        <v>1</v>
      </c>
      <c r="BA45" s="182">
        <v>1</v>
      </c>
      <c r="BB45" s="182">
        <v>1</v>
      </c>
      <c r="BC45" s="182">
        <v>1</v>
      </c>
      <c r="BD45" s="182">
        <v>1</v>
      </c>
      <c r="BE45" s="182">
        <v>1</v>
      </c>
      <c r="BF45" s="182">
        <v>2</v>
      </c>
      <c r="BG45" s="182">
        <v>1</v>
      </c>
      <c r="BH45" s="182">
        <v>1</v>
      </c>
      <c r="BI45" s="182">
        <v>2</v>
      </c>
      <c r="BJ45" s="182">
        <v>1</v>
      </c>
      <c r="BK45" s="182">
        <v>0.5</v>
      </c>
      <c r="BL45" s="182">
        <v>1</v>
      </c>
      <c r="BM45" s="468">
        <v>1</v>
      </c>
      <c r="BT45" s="174"/>
    </row>
    <row r="46" spans="1:72">
      <c r="A46" s="285" t="s">
        <v>369</v>
      </c>
      <c r="B46" s="285"/>
      <c r="C46" s="290"/>
      <c r="D46" s="292">
        <f>IF(OR(P31="山岚",P31="冰之吐息",J29),1.5,1)</f>
        <v>1</v>
      </c>
      <c r="E46" s="292"/>
      <c r="F46" s="293"/>
      <c r="N46" s="351" t="str">
        <f>IFERROR(INT(ROUND(INT(INT(INT(INT($D$42*$D$46*$D$43)*BD53/100)*$D$45)*$D$44)*IFERROR(HLOOKUP($C$36,$BY$5:$CA$6,2,FALSE),1)*IFERROR(HLOOKUP($J$36,$CK$5:$CN$6,2,FALSE),1)*IFERROR(HLOOKUP(IF($F$28=1,$B$22,$M$22),$BG$17:$BH$18,2,FALSE),1)*IF(AND($K$15,$Q$33="物理"),IF($K$18=2,2/3,0.5),1)*IF(AND($K$16,$Q$33="特殊"),IF($K$18=2,2/3,0.5),1)*PRODUCT($BV$30:$BX$30)*IF($Q$33="物理",IFERROR(HLOOKUP(IF($F$28=1,$F$14,$Q$14),$AU$2:$AY$3,2,FALSE),1),1)*IF($K$18=2,IF(ISERROR(MATCH($P$31,$BF$68:$BF$103,0)),1,0.75),1)*IF(AND($P$31="打落",IF($F$28=1,ISTEXT($M$22),ISTEXT($B$22))),1.5,1)-0.01,0))*IF($Q$36="-",1,$Q$36)," ")</f>
        <v> </v>
      </c>
      <c r="O46" s="351" t="str">
        <f>IFERROR(INT(ROUND(INT(INT(INT(INT($D$42*$D$46*$D$43)*BE53/100)*$D$45)*$D$44)*IFERROR(HLOOKUP($C$36,$BY$5:$CA$6,2,FALSE),1)*IFERROR(HLOOKUP($J$36,$CK$5:$CN$6,2,FALSE),1)*IFERROR(HLOOKUP(IF($F$28=1,$B$22,$M$22),$BG$17:$BH$18,2,FALSE),1)*IF(AND($K$15,$Q$33="物理"),IF($K$18=2,2/3,0.5),1)*IF(AND($K$16,$Q$33="特殊"),IF($K$18=2,2/3,0.5),1)*PRODUCT($BV$30:$BX$30)*IF($Q$33="物理",IFERROR(HLOOKUP(IF($F$28=1,$F$14,$Q$14),$AU$2:$AY$3,2,FALSE),1),1)*IF($K$18=2,IF(ISERROR(MATCH($P$31,$BF$68:$BF$103,0)),1,0.75),1)*IF(AND($P$31="打落",IF($F$28=1,ISTEXT($M$22),ISTEXT($B$22))),1.5,1)-0.01,0))*IF($Q$36="-",1,$Q$36)," ")</f>
        <v> </v>
      </c>
      <c r="V46" s="370" t="s">
        <v>370</v>
      </c>
      <c r="W46" s="12" t="s">
        <v>371</v>
      </c>
      <c r="X46" s="371" t="s">
        <v>372</v>
      </c>
      <c r="Y46" s="371" t="s">
        <v>373</v>
      </c>
      <c r="AU46" s="420" t="s">
        <v>274</v>
      </c>
      <c r="AV46" s="182">
        <v>1</v>
      </c>
      <c r="AW46" s="182">
        <v>1</v>
      </c>
      <c r="AX46" s="182">
        <v>1</v>
      </c>
      <c r="AY46" s="182">
        <v>1</v>
      </c>
      <c r="AZ46" s="182">
        <v>1</v>
      </c>
      <c r="BA46" s="182">
        <v>1</v>
      </c>
      <c r="BB46" s="182">
        <v>1</v>
      </c>
      <c r="BC46" s="182">
        <v>1</v>
      </c>
      <c r="BD46" s="182">
        <v>1</v>
      </c>
      <c r="BE46" s="182">
        <v>1</v>
      </c>
      <c r="BF46" s="182">
        <v>1</v>
      </c>
      <c r="BG46" s="182">
        <v>1</v>
      </c>
      <c r="BH46" s="182">
        <v>1</v>
      </c>
      <c r="BI46" s="182">
        <v>1</v>
      </c>
      <c r="BJ46" s="182">
        <v>2</v>
      </c>
      <c r="BK46" s="182">
        <v>1</v>
      </c>
      <c r="BL46" s="182">
        <v>0.5</v>
      </c>
      <c r="BM46" s="468">
        <v>0</v>
      </c>
      <c r="BT46" s="174"/>
    </row>
    <row r="47" spans="10:72">
      <c r="J47" s="167" t="s">
        <v>374</v>
      </c>
      <c r="K47" s="352">
        <f>IF(OR(AND(OR(P31="雷电",P31="暴风"),OR(BD22=2,BD22=5)),AND(P31="暴风雪",BD22=3)),1,IF(BJ51&gt;1,1,BJ51))</f>
        <v>0.85</v>
      </c>
      <c r="L47" s="352"/>
      <c r="N47" s="351" t="str">
        <f>IFERROR(INT(ROUND(INT(INT(INT(INT($D$42*$D$46*$D$43)*BD54/100)*$D$45)*$D$44)*IFERROR(HLOOKUP($C$36,$BY$5:$CA$6,2,FALSE),1)*IFERROR(HLOOKUP($J$36,$CK$5:$CN$6,2,FALSE),1)*IFERROR(HLOOKUP(IF($F$28=1,$B$22,$M$22),$BG$17:$BH$18,2,FALSE),1)*IF(AND($K$15,$Q$33="物理"),IF($K$18=2,2/3,0.5),1)*IF(AND($K$16,$Q$33="特殊"),IF($K$18=2,2/3,0.5),1)*PRODUCT($BV$30:$BX$30)*IF($Q$33="物理",IFERROR(HLOOKUP(IF($F$28=1,$F$14,$Q$14),$AU$2:$AY$3,2,FALSE),1),1)*IF($K$18=2,IF(ISERROR(MATCH($P$31,$BF$68:$BF$103,0)),1,0.75),1)*IF(AND($P$31="打落",IF($F$28=1,ISTEXT($M$22),ISTEXT($B$22))),1.5,1)-0.01,0))*IF($Q$36="-",1,$Q$36)," ")</f>
        <v> </v>
      </c>
      <c r="O47" s="351" t="str">
        <f>IFERROR(INT(ROUND(INT(INT(INT(INT($D$42*$D$46*$D$43)*BE54/100)*$D$45)*$D$44)*IFERROR(HLOOKUP($C$36,$BY$5:$CA$6,2,FALSE),1)*IFERROR(HLOOKUP($J$36,$CK$5:$CN$6,2,FALSE),1)*IFERROR(HLOOKUP(IF($F$28=1,$B$22,$M$22),$BG$17:$BH$18,2,FALSE),1)*IF(AND($K$15,$Q$33="物理"),IF($K$18=2,2/3,0.5),1)*IF(AND($K$16,$Q$33="特殊"),IF($K$18=2,2/3,0.5),1)*PRODUCT($BV$30:$BX$30)*IF($Q$33="物理",IFERROR(HLOOKUP(IF($F$28=1,$F$14,$Q$14),$AU$2:$AY$3,2,FALSE),1),1)*IF($K$18=2,IF(ISERROR(MATCH($P$31,$BF$68:$BF$103,0)),1,0.75),1)*IF(AND($P$31="打落",IF($F$28=1,ISTEXT($M$22),ISTEXT($B$22))),1.5,1)-0.01,0))*IF($Q$36="-",1,$Q$36)," ")</f>
        <v> </v>
      </c>
      <c r="V47" s="370" t="s">
        <v>375</v>
      </c>
      <c r="W47" s="12" t="s">
        <v>376</v>
      </c>
      <c r="X47" s="371" t="s">
        <v>377</v>
      </c>
      <c r="Y47" s="371" t="s">
        <v>378</v>
      </c>
      <c r="AU47" s="420" t="s">
        <v>275</v>
      </c>
      <c r="AV47" s="182">
        <v>1</v>
      </c>
      <c r="AW47" s="182">
        <v>1</v>
      </c>
      <c r="AX47" s="182">
        <v>1</v>
      </c>
      <c r="AY47" s="182">
        <v>1</v>
      </c>
      <c r="AZ47" s="182">
        <v>1</v>
      </c>
      <c r="BA47" s="182">
        <v>1</v>
      </c>
      <c r="BB47" s="182">
        <v>0.5</v>
      </c>
      <c r="BC47" s="182">
        <v>1</v>
      </c>
      <c r="BD47" s="182">
        <v>1</v>
      </c>
      <c r="BE47" s="182">
        <v>1</v>
      </c>
      <c r="BF47" s="182">
        <v>2</v>
      </c>
      <c r="BG47" s="182">
        <v>1</v>
      </c>
      <c r="BH47" s="182">
        <v>1</v>
      </c>
      <c r="BI47" s="182">
        <v>2</v>
      </c>
      <c r="BJ47" s="182">
        <v>1</v>
      </c>
      <c r="BK47" s="182">
        <v>0.5</v>
      </c>
      <c r="BL47" s="182">
        <v>1</v>
      </c>
      <c r="BM47" s="468">
        <v>0.5</v>
      </c>
      <c r="BT47" s="174"/>
    </row>
    <row r="48" spans="1:72">
      <c r="A48" s="27" t="s">
        <v>379</v>
      </c>
      <c r="B48" s="27"/>
      <c r="C48" s="27"/>
      <c r="K48" s="353"/>
      <c r="N48" s="351" t="str">
        <f>IFERROR(INT(ROUND(INT(INT(INT(INT($D$42*$D$46*$D$43)*BD55/100)*$D$45)*$D$44)*IFERROR(HLOOKUP($C$36,$BY$5:$CA$6,2,FALSE),1)*IFERROR(HLOOKUP($J$36,$CK$5:$CN$6,2,FALSE),1)*IFERROR(HLOOKUP(IF($F$28=1,$B$22,$M$22),$BG$17:$BH$18,2,FALSE),1)*IF(AND($K$15,$Q$33="物理"),IF($K$18=2,2/3,0.5),1)*IF(AND($K$16,$Q$33="特殊"),IF($K$18=2,2/3,0.5),1)*PRODUCT($BV$30:$BX$30)*IF($Q$33="物理",IFERROR(HLOOKUP(IF($F$28=1,$F$14,$Q$14),$AU$2:$AY$3,2,FALSE),1),1)*IF($K$18=2,IF(ISERROR(MATCH($P$31,$BF$68:$BF$103,0)),1,0.75),1)*IF(AND($P$31="打落",IF($F$28=1,ISTEXT($M$22),ISTEXT($B$22))),1.5,1)-0.01,0))*IF($Q$36="-",1,$Q$36)," ")</f>
        <v> </v>
      </c>
      <c r="O48" s="351" t="str">
        <f>IFERROR(INT(ROUND(INT(INT(INT(INT($D$42*$D$46*$D$43)*BE55/100)*$D$45)*$D$44)*IFERROR(HLOOKUP($C$36,$BY$5:$CA$6,2,FALSE),1)*IFERROR(HLOOKUP($J$36,$CK$5:$CN$6,2,FALSE),1)*IFERROR(HLOOKUP(IF($F$28=1,$B$22,$M$22),$BG$17:$BH$18,2,FALSE),1)*IF(AND($K$15,$Q$33="物理"),IF($K$18=2,2/3,0.5),1)*IF(AND($K$16,$Q$33="特殊"),IF($K$18=2,2/3,0.5),1)*PRODUCT($BV$30:$BX$30)*IF($Q$33="物理",IFERROR(HLOOKUP(IF($F$28=1,$F$14,$Q$14),$AU$2:$AY$3,2,FALSE),1),1)*IF($K$18=2,IF(ISERROR(MATCH($P$31,$BF$68:$BF$103,0)),1,0.75),1)*IF(AND($P$31="打落",IF($F$28=1,ISTEXT($M$22),ISTEXT($B$22))),1.5,1)-0.01,0))*IF($Q$36="-",1,$Q$36)," ")</f>
        <v> </v>
      </c>
      <c r="V48" s="370" t="s">
        <v>380</v>
      </c>
      <c r="W48" s="12" t="s">
        <v>381</v>
      </c>
      <c r="X48" s="371" t="s">
        <v>382</v>
      </c>
      <c r="Y48" s="371" t="s">
        <v>383</v>
      </c>
      <c r="AU48" s="420" t="s">
        <v>276</v>
      </c>
      <c r="AV48" s="182">
        <v>1</v>
      </c>
      <c r="AW48" s="182">
        <v>0.5</v>
      </c>
      <c r="AX48" s="182">
        <v>0.5</v>
      </c>
      <c r="AY48" s="182">
        <v>1</v>
      </c>
      <c r="AZ48" s="182">
        <v>0.5</v>
      </c>
      <c r="BA48" s="182">
        <v>2</v>
      </c>
      <c r="BB48" s="182">
        <v>1</v>
      </c>
      <c r="BC48" s="182">
        <v>1</v>
      </c>
      <c r="BD48" s="182">
        <v>1</v>
      </c>
      <c r="BE48" s="182">
        <v>1</v>
      </c>
      <c r="BF48" s="182">
        <v>1</v>
      </c>
      <c r="BG48" s="182">
        <v>1</v>
      </c>
      <c r="BH48" s="182">
        <v>2</v>
      </c>
      <c r="BI48" s="182">
        <v>1</v>
      </c>
      <c r="BJ48" s="182">
        <v>1</v>
      </c>
      <c r="BK48" s="182">
        <v>1</v>
      </c>
      <c r="BL48" s="182">
        <v>0.5</v>
      </c>
      <c r="BM48" s="468">
        <v>2</v>
      </c>
      <c r="BT48" s="174"/>
    </row>
    <row r="49" spans="1:72">
      <c r="A49" s="294" t="s">
        <v>384</v>
      </c>
      <c r="B49" s="295"/>
      <c r="C49" s="295"/>
      <c r="D49" s="296" t="str">
        <f>O52</f>
        <v> </v>
      </c>
      <c r="E49" s="297"/>
      <c r="F49" s="296" t="str">
        <f>IFERROR(CONCATENATE(ROUND(D49/J35,3)*100,"%")," ")</f>
        <v> </v>
      </c>
      <c r="G49" s="297"/>
      <c r="H49" s="298" t="s">
        <v>385</v>
      </c>
      <c r="I49" s="354"/>
      <c r="J49" s="171" t="s">
        <v>386</v>
      </c>
      <c r="K49" s="171"/>
      <c r="L49" s="171"/>
      <c r="N49" s="351" t="str">
        <f>IFERROR(INT(ROUND(INT(INT(INT(INT($D$42*$D$46*$D$43)*BD56/100)*$D$45)*$D$44)*IFERROR(HLOOKUP($C$36,$BY$5:$CA$6,2,FALSE),1)*IFERROR(HLOOKUP($J$36,$CK$5:$CN$6,2,FALSE),1)*IFERROR(HLOOKUP(IF($F$28=1,$B$22,$M$22),$BG$17:$BH$18,2,FALSE),1)*IF(AND($K$15,$Q$33="物理"),IF($K$18=2,2/3,0.5),1)*IF(AND($K$16,$Q$33="特殊"),IF($K$18=2,2/3,0.5),1)*PRODUCT($BV$30:$BX$30)*IF($Q$33="物理",IFERROR(HLOOKUP(IF($F$28=1,$F$14,$Q$14),$AU$2:$AY$3,2,FALSE),1),1)*IF($K$18=2,IF(ISERROR(MATCH($P$31,$BF$68:$BF$103,0)),1,0.75),1)*IF(AND($P$31="打落",IF($F$28=1,ISTEXT($M$22),ISTEXT($B$22))),1.5,1)-0.01,0))*IF($Q$36="-",1,$Q$36)," ")</f>
        <v> </v>
      </c>
      <c r="O49" s="351" t="str">
        <f>IFERROR(INT(ROUND(INT(INT(INT(INT($D$42*$D$46*$D$43)*BE56/100)*$D$45)*$D$44)*IFERROR(HLOOKUP($C$36,$BY$5:$CA$6,2,FALSE),1)*IFERROR(HLOOKUP($J$36,$CK$5:$CN$6,2,FALSE),1)*IFERROR(HLOOKUP(IF($F$28=1,$B$22,$M$22),$BG$17:$BH$18,2,FALSE),1)*IF(AND($K$15,$Q$33="物理"),IF($K$18=2,2/3,0.5),1)*IF(AND($K$16,$Q$33="特殊"),IF($K$18=2,2/3,0.5),1)*PRODUCT($BV$30:$BX$30)*IF($Q$33="物理",IFERROR(HLOOKUP(IF($F$28=1,$F$14,$Q$14),$AU$2:$AY$3,2,FALSE),1),1)*IF($K$18=2,IF(ISERROR(MATCH($P$31,$BF$68:$BF$103,0)),1,0.75),1)*IF(AND($P$31="打落",IF($F$28=1,ISTEXT($M$22),ISTEXT($B$22))),1.5,1)-0.01,0))*IF($Q$36="-",1,$Q$36)," ")</f>
        <v> </v>
      </c>
      <c r="V49" s="370" t="s">
        <v>387</v>
      </c>
      <c r="W49" s="12" t="s">
        <v>388</v>
      </c>
      <c r="X49" s="371" t="s">
        <v>389</v>
      </c>
      <c r="Y49" s="371" t="s">
        <v>390</v>
      </c>
      <c r="AU49" s="421" t="s">
        <v>98</v>
      </c>
      <c r="AV49" s="422">
        <v>1</v>
      </c>
      <c r="AW49" s="422">
        <v>0.5</v>
      </c>
      <c r="AX49" s="422">
        <v>1</v>
      </c>
      <c r="AY49" s="422">
        <v>1</v>
      </c>
      <c r="AZ49" s="422">
        <v>1</v>
      </c>
      <c r="BA49" s="422">
        <v>1</v>
      </c>
      <c r="BB49" s="422">
        <v>2</v>
      </c>
      <c r="BC49" s="422">
        <v>0.5</v>
      </c>
      <c r="BD49" s="422">
        <v>1</v>
      </c>
      <c r="BE49" s="422">
        <v>1</v>
      </c>
      <c r="BF49" s="422">
        <v>1</v>
      </c>
      <c r="BG49" s="422">
        <v>1</v>
      </c>
      <c r="BH49" s="422">
        <v>1</v>
      </c>
      <c r="BI49" s="422">
        <v>1</v>
      </c>
      <c r="BJ49" s="422">
        <v>2</v>
      </c>
      <c r="BK49" s="422">
        <v>2</v>
      </c>
      <c r="BL49" s="422">
        <v>0.5</v>
      </c>
      <c r="BM49" s="312">
        <v>1</v>
      </c>
      <c r="BT49" s="174"/>
    </row>
    <row r="50" spans="1:72">
      <c r="A50" s="295" t="s">
        <v>391</v>
      </c>
      <c r="B50" s="295"/>
      <c r="C50" s="295"/>
      <c r="D50" s="296" t="str">
        <f>N45</f>
        <v> </v>
      </c>
      <c r="E50" s="297"/>
      <c r="F50" s="296" t="str">
        <f>IFERROR(CONCATENATE(ROUND(D50/J35,3)*100,"%")," ")</f>
        <v> </v>
      </c>
      <c r="G50" s="297"/>
      <c r="H50" s="299" t="str">
        <f>IFERROR(ROUND(SUMPRODUCT((N45:O52&gt;=J35)*1)/16,3)," ")</f>
        <v> </v>
      </c>
      <c r="I50" s="354"/>
      <c r="J50" s="355" t="e">
        <f>H50*K47</f>
        <v>#VALUE!</v>
      </c>
      <c r="K50" s="355"/>
      <c r="L50" s="355"/>
      <c r="N50" s="351" t="str">
        <f>IFERROR(INT(ROUND(INT(INT(INT(INT($D$42*$D$46*$D$43)*BD57/100)*$D$45)*$D$44)*IFERROR(HLOOKUP($C$36,$BY$5:$CA$6,2,FALSE),1)*IFERROR(HLOOKUP($J$36,$CK$5:$CN$6,2,FALSE),1)*IFERROR(HLOOKUP(IF($F$28=1,$B$22,$M$22),$BG$17:$BH$18,2,FALSE),1)*IF(AND($K$15,$Q$33="物理"),IF($K$18=2,2/3,0.5),1)*IF(AND($K$16,$Q$33="特殊"),IF($K$18=2,2/3,0.5),1)*PRODUCT($BV$30:$BX$30)*IF($Q$33="物理",IFERROR(HLOOKUP(IF($F$28=1,$F$14,$Q$14),$AU$2:$AY$3,2,FALSE),1),1)*IF($K$18=2,IF(ISERROR(MATCH($P$31,$BF$68:$BF$103,0)),1,0.75),1)*IF(AND($P$31="打落",IF($F$28=1,ISTEXT($M$22),ISTEXT($B$22))),1.5,1)-0.01,0))*IF($Q$36="-",1,$Q$36)," ")</f>
        <v> </v>
      </c>
      <c r="O50" s="351" t="str">
        <f>IFERROR(INT(ROUND(INT(INT(INT(INT($D$42*$D$46*$D$43)*BE57/100)*$D$45)*$D$44)*IFERROR(HLOOKUP($C$36,$BY$5:$CA$6,2,FALSE),1)*IFERROR(HLOOKUP($J$36,$CK$5:$CN$6,2,FALSE),1)*IFERROR(HLOOKUP(IF($F$28=1,$B$22,$M$22),$BG$17:$BH$18,2,FALSE),1)*IF(AND($K$15,$Q$33="物理"),IF($K$18=2,2/3,0.5),1)*IF(AND($K$16,$Q$33="特殊"),IF($K$18=2,2/3,0.5),1)*PRODUCT($BV$30:$BX$30)*IF($Q$33="物理",IFERROR(HLOOKUP(IF($F$28=1,$F$14,$Q$14),$AU$2:$AY$3,2,FALSE),1),1)*IF($K$18=2,IF(ISERROR(MATCH($P$31,$BF$68:$BF$103,0)),1,0.75),1)*IF(AND($P$31="打落",IF($F$28=1,ISTEXT($M$22),ISTEXT($B$22))),1.5,1)-0.01,0))*IF($Q$36="-",1,$Q$36)," ")</f>
        <v> </v>
      </c>
      <c r="V50" s="370" t="s">
        <v>392</v>
      </c>
      <c r="W50" s="12" t="s">
        <v>393</v>
      </c>
      <c r="X50" s="371" t="s">
        <v>394</v>
      </c>
      <c r="Y50" s="371" t="s">
        <v>395</v>
      </c>
      <c r="BT50" s="174"/>
    </row>
    <row r="51" spans="14:72">
      <c r="N51" s="351" t="str">
        <f>IFERROR(INT(ROUND(INT(INT(INT(INT($D$42*$D$46*$D$43)*BD58/100)*$D$45)*$D$44)*IFERROR(HLOOKUP($C$36,$BY$5:$CA$6,2,FALSE),1)*IFERROR(HLOOKUP($J$36,$CK$5:$CN$6,2,FALSE),1)*IFERROR(HLOOKUP(IF($F$28=1,$B$22,$M$22),$BG$17:$BH$18,2,FALSE),1)*IF(AND($K$15,$Q$33="物理"),IF($K$18=2,2/3,0.5),1)*IF(AND($K$16,$Q$33="特殊"),IF($K$18=2,2/3,0.5),1)*PRODUCT($BV$30:$BX$30)*IF($Q$33="物理",IFERROR(HLOOKUP(IF($F$28=1,$F$14,$Q$14),$AU$2:$AY$3,2,FALSE),1),1)*IF($K$18=2,IF(ISERROR(MATCH($P$31,$BF$68:$BF$103,0)),1,0.75),1)*IF(AND($P$31="打落",IF($F$28=1,ISTEXT($M$22),ISTEXT($B$22))),1.5,1)-0.01,0))*IF($Q$36="-",1,$Q$36)," ")</f>
        <v> </v>
      </c>
      <c r="O51" s="351" t="str">
        <f>IFERROR(INT(ROUND(INT(INT(INT(INT($D$42*$D$46*$D$43)*BE58/100)*$D$45)*$D$44)*IFERROR(HLOOKUP($C$36,$BY$5:$CA$6,2,FALSE),1)*IFERROR(HLOOKUP($J$36,$CK$5:$CN$6,2,FALSE),1)*IFERROR(HLOOKUP(IF($F$28=1,$B$22,$M$22),$BG$17:$BH$18,2,FALSE),1)*IF(AND($K$15,$Q$33="物理"),IF($K$18=2,2/3,0.5),1)*IF(AND($K$16,$Q$33="特殊"),IF($K$18=2,2/3,0.5),1)*PRODUCT($BV$30:$BX$30)*IF($Q$33="物理",IFERROR(HLOOKUP(IF($F$28=1,$F$14,$Q$14),$AU$2:$AY$3,2,FALSE),1),1)*IF($K$18=2,IF(ISERROR(MATCH($P$31,$BF$68:$BF$103,0)),1,0.75),1)*IF(AND($P$31="打落",IF($F$28=1,ISTEXT($M$22),ISTEXT($B$22))),1.5,1)-0.01,0))*IF($Q$36="-",1,$Q$36)," ")</f>
        <v> </v>
      </c>
      <c r="V51" s="370" t="s">
        <v>396</v>
      </c>
      <c r="W51" s="12" t="s">
        <v>397</v>
      </c>
      <c r="X51" s="371" t="s">
        <v>398</v>
      </c>
      <c r="Y51" s="371" t="s">
        <v>399</v>
      </c>
      <c r="AT51" s="35" t="s">
        <v>400</v>
      </c>
      <c r="AU51" s="423"/>
      <c r="AV51" s="424"/>
      <c r="AW51" s="424" t="s">
        <v>86</v>
      </c>
      <c r="AX51" s="424"/>
      <c r="AY51" s="424"/>
      <c r="AZ51" s="424"/>
      <c r="BA51" s="435"/>
      <c r="BD51" s="180" t="s">
        <v>401</v>
      </c>
      <c r="BH51" s="35" t="s">
        <v>402</v>
      </c>
      <c r="BI51" s="448">
        <f>IF(BI52-BI53&gt;6,6,IF(BI52-BI53&lt;-6,-6,BI52-BI53))</f>
        <v>0</v>
      </c>
      <c r="BJ51" s="449">
        <f>IFERROR(IF(OR(C36="无防御",J36="无防御"),1,INT(IF(AND(OR(P31="雷电",P31="暴风"),OR(BD22=6,BD22=1)),50,IF(F28=1,VLOOKUP(D25,Sheet1!B4:G87,6,FALSE),VLOOKUP(O25,Sheet1!T4:Y87,6,FALSE)))*IFERROR(HLOOKUP(C36,CB5:CC6,2,FALSE),1)*IFERROR(HLOOKUP(J36,CP5:CR6,2,FALSE),1)*IFERROR(HLOOKUP(IF(F28=1,B22,M22),BI17:BI18,2,FALSE),1)*IFERROR(HLOOKUP(IF(F28=1,M22,B22),BQ17:BQ18,2,FALSE),1)*IF(AND(C36="紧张",Q33="物理"),0.8,1)*VLOOKUP(BI51,BG52:BH64,2,FALSE)*IF(J14,5/3,1))/100),1)</f>
        <v>0.85</v>
      </c>
      <c r="BT51" s="174"/>
    </row>
    <row r="52" spans="14:72">
      <c r="N52" s="351" t="str">
        <f>IFERROR(INT(ROUND(INT(INT(INT(INT($D$42*$D$46*$D$43)*BD59/100)*$D$45)*$D$44)*IFERROR(HLOOKUP($C$36,$BY$5:$CA$6,2,FALSE),1)*IFERROR(HLOOKUP($J$36,$CK$5:$CN$6,2,FALSE),1)*IFERROR(HLOOKUP(IF($F$28=1,$B$22,$M$22),$BG$17:$BH$18,2,FALSE),1)*IF(AND($K$15,$Q$33="物理"),IF($K$18=2,2/3,0.5),1)*IF(AND($K$16,$Q$33="特殊"),IF($K$18=2,2/3,0.5),1)*PRODUCT($BV$30:$BX$30)*IF($Q$33="物理",IFERROR(HLOOKUP(IF($F$28=1,$F$14,$Q$14),$AU$2:$AY$3,2,FALSE),1),1)*IF($K$18=2,IF(ISERROR(MATCH($P$31,$BF$68:$BF$103,0)),1,0.75),1)*IF(AND($P$31="打落",IF($F$28=1,ISTEXT($M$22),ISTEXT($B$22))),1.5,1)-0.01,0))*IF($Q$36="-",1,$Q$36)," ")</f>
        <v> </v>
      </c>
      <c r="O52" s="351" t="str">
        <f>IFERROR(INT(ROUND(INT(INT(INT(INT($D$42*$D$46*$D$43)*BE59/100)*$D$45)*$D$44)*IFERROR(HLOOKUP($C$36,$BY$5:$CA$6,2,FALSE),1)*IFERROR(HLOOKUP($J$36,$CK$5:$CN$6,2,FALSE),1)*IFERROR(HLOOKUP(IF($F$28=1,$B$22,$M$22),$BG$17:$BH$18,2,FALSE),1)*IF(AND($K$15,$Q$33="物理"),IF($K$18=2,2/3,0.5),1)*IF(AND($K$16,$Q$33="特殊"),IF($K$18=2,2/3,0.5),1)*PRODUCT($BV$30:$BX$30)*IF($Q$33="物理",IFERROR(HLOOKUP(IF($F$28=1,$F$14,$Q$14),$AU$2:$AY$3,2,FALSE),1),1)*IF($K$18=2,IF(ISERROR(MATCH($P$31,$BF$68:$BF$103,0)),1,0.75),1)*IF(AND($P$31="打落",IF($F$28=1,ISTEXT($M$22),ISTEXT($B$22))),1.5,1)-0.01,0))*IF($Q$36="-",1,$Q$36)," ")</f>
        <v> </v>
      </c>
      <c r="V52" s="370" t="s">
        <v>403</v>
      </c>
      <c r="W52" s="12" t="s">
        <v>404</v>
      </c>
      <c r="X52" s="371" t="s">
        <v>405</v>
      </c>
      <c r="Y52" s="371" t="s">
        <v>406</v>
      </c>
      <c r="AU52" s="425"/>
      <c r="AV52" s="35"/>
      <c r="AW52" s="35" t="s">
        <v>407</v>
      </c>
      <c r="AX52" s="35" t="s">
        <v>408</v>
      </c>
      <c r="AY52" s="35" t="s">
        <v>106</v>
      </c>
      <c r="AZ52" s="35" t="s">
        <v>111</v>
      </c>
      <c r="BA52" s="436" t="s">
        <v>116</v>
      </c>
      <c r="BD52" s="437">
        <v>85</v>
      </c>
      <c r="BE52" s="450">
        <v>93</v>
      </c>
      <c r="BG52" s="423">
        <v>6</v>
      </c>
      <c r="BH52" s="424">
        <v>3</v>
      </c>
      <c r="BI52" s="449">
        <f>IF(J36="天然",0,IF(F28=1,H21,S21))</f>
        <v>0</v>
      </c>
      <c r="BJ52" s="180"/>
      <c r="BT52" s="174"/>
    </row>
    <row r="53" spans="22:72">
      <c r="V53" s="370" t="s">
        <v>409</v>
      </c>
      <c r="W53" s="12" t="s">
        <v>410</v>
      </c>
      <c r="X53" s="371" t="s">
        <v>411</v>
      </c>
      <c r="Y53" s="371" t="s">
        <v>412</v>
      </c>
      <c r="AU53" s="425"/>
      <c r="AV53" s="35"/>
      <c r="AW53" s="35">
        <v>1</v>
      </c>
      <c r="AX53" s="35">
        <v>2</v>
      </c>
      <c r="AY53" s="35">
        <v>3</v>
      </c>
      <c r="AZ53" s="35">
        <v>4</v>
      </c>
      <c r="BA53" s="436">
        <v>5</v>
      </c>
      <c r="BD53" s="438">
        <v>86</v>
      </c>
      <c r="BE53" s="451">
        <v>94</v>
      </c>
      <c r="BG53" s="425">
        <v>5</v>
      </c>
      <c r="BH53" s="452">
        <v>2.66</v>
      </c>
      <c r="BI53" s="449">
        <f>IF(OR(C36="天然",P31="循序渐进",P31="神圣之剑"),0,IF(F28=1,S22,H22))</f>
        <v>0</v>
      </c>
      <c r="BJ53" s="180"/>
      <c r="BT53" s="174"/>
    </row>
    <row r="54" ht="12" customHeight="1" spans="22:72">
      <c r="V54" s="370" t="s">
        <v>413</v>
      </c>
      <c r="W54" s="12" t="s">
        <v>414</v>
      </c>
      <c r="X54" s="371" t="s">
        <v>415</v>
      </c>
      <c r="Y54" s="371" t="s">
        <v>416</v>
      </c>
      <c r="AU54" s="425" t="s">
        <v>85</v>
      </c>
      <c r="AV54" s="35" t="s">
        <v>407</v>
      </c>
      <c r="AW54" s="35" t="s">
        <v>417</v>
      </c>
      <c r="AX54" s="35" t="s">
        <v>418</v>
      </c>
      <c r="AY54" s="35" t="s">
        <v>419</v>
      </c>
      <c r="AZ54" s="35" t="s">
        <v>420</v>
      </c>
      <c r="BA54" s="436" t="s">
        <v>421</v>
      </c>
      <c r="BD54" s="438">
        <v>87</v>
      </c>
      <c r="BE54" s="451">
        <v>95</v>
      </c>
      <c r="BG54" s="425">
        <v>4</v>
      </c>
      <c r="BH54" s="436">
        <v>2.5</v>
      </c>
      <c r="BT54" s="174"/>
    </row>
    <row r="55" ht="12" customHeight="1" spans="22:72">
      <c r="V55" s="370" t="s">
        <v>422</v>
      </c>
      <c r="W55" s="12" t="s">
        <v>423</v>
      </c>
      <c r="X55" s="371" t="s">
        <v>424</v>
      </c>
      <c r="Y55" s="371" t="s">
        <v>425</v>
      </c>
      <c r="AU55" s="425"/>
      <c r="AV55" s="35" t="s">
        <v>408</v>
      </c>
      <c r="AW55" s="35" t="s">
        <v>426</v>
      </c>
      <c r="AX55" s="35" t="s">
        <v>427</v>
      </c>
      <c r="AY55" s="35" t="s">
        <v>428</v>
      </c>
      <c r="AZ55" s="35" t="s">
        <v>429</v>
      </c>
      <c r="BA55" s="436" t="s">
        <v>430</v>
      </c>
      <c r="BD55" s="438">
        <v>88</v>
      </c>
      <c r="BE55" s="451">
        <v>96</v>
      </c>
      <c r="BG55" s="425">
        <v>3</v>
      </c>
      <c r="BH55" s="436">
        <v>2</v>
      </c>
      <c r="BT55" s="174"/>
    </row>
    <row r="56" ht="12.75" customHeight="1" spans="1:72">
      <c r="A56" s="300" t="e">
        <f>IF(Q33="物理",IF(F28=1,E7,P7)&amp;"物攻 ",IF(F28=1,E9,P9)&amp;"特攻 ")&amp;IF(F28=1,E11,P11)&amp;"速度努力 "&amp;IF(F28=1,B18,M18)&amp;" "&amp;C36&amp;"特性 "&amp;IF(F28=1,F4,Q4)&amp;"级"&amp;IF(F28=1,D29,D28)&amp;" "&amp;IF(F28=1,IF(E21=0,"",E21&amp;"级"&amp;IF(Q33="物理","物攻 ","特攻 ")),IF(P21=0,"",P21&amp;"级"&amp;IF(Q33="物理","物攻 ","特攻 ")))&amp;IF(F28=1,IF(H21=0,"",H21&amp;"级命中 "),IF(S21=0,"",S21&amp;"级命中 "))&amp;IF(F28=1,IF(H23=0,"",H23&amp;"级速度 "),IF(S23=0,"",S23&amp;"级速度 "))&amp;IF(BO30=1,"",BO29&amp;" ")&amp;IF(BP30=1,"",BP29&amp;" ")&amp;IF(BQ30=1,"",BQ29&amp;" ")&amp;IF(BT30=1,"",BT29&amp;" ")&amp;IF(IFERROR(HLOOKUP(IF(F28=1,B22,M22),AV17:BH18,2,FALSE),1)&gt;1,IF(F28=1,B22&amp;" ",M22&amp;" "),"")&amp;IF(F28=1,F14,Q14)</f>
        <v>#N/A</v>
      </c>
      <c r="B56" s="301"/>
      <c r="C56" s="301"/>
      <c r="D56" s="301"/>
      <c r="E56" s="301"/>
      <c r="F56" s="301"/>
      <c r="G56" s="301"/>
      <c r="H56" s="301"/>
      <c r="I56" s="301"/>
      <c r="J56" s="356"/>
      <c r="K56" s="357" t="e">
        <f>"实际速度："&amp;C37</f>
        <v>#VALUE!</v>
      </c>
      <c r="L56" s="358"/>
      <c r="M56" s="358"/>
      <c r="N56" s="358"/>
      <c r="O56" s="358"/>
      <c r="P56" s="358"/>
      <c r="Q56" s="396"/>
      <c r="R56" s="397"/>
      <c r="S56" s="397"/>
      <c r="T56" s="397"/>
      <c r="V56" s="370" t="s">
        <v>431</v>
      </c>
      <c r="W56" s="12" t="s">
        <v>432</v>
      </c>
      <c r="X56" s="371" t="s">
        <v>433</v>
      </c>
      <c r="Y56" s="371" t="s">
        <v>434</v>
      </c>
      <c r="AU56" s="425"/>
      <c r="AV56" s="35" t="s">
        <v>106</v>
      </c>
      <c r="AW56" s="35" t="s">
        <v>435</v>
      </c>
      <c r="AX56" s="35" t="s">
        <v>436</v>
      </c>
      <c r="AY56" s="35" t="s">
        <v>437</v>
      </c>
      <c r="AZ56" s="35" t="s">
        <v>438</v>
      </c>
      <c r="BA56" s="436" t="s">
        <v>439</v>
      </c>
      <c r="BD56" s="438">
        <v>89</v>
      </c>
      <c r="BE56" s="451">
        <v>97</v>
      </c>
      <c r="BG56" s="425">
        <v>2</v>
      </c>
      <c r="BH56" s="436">
        <v>1.66</v>
      </c>
      <c r="BT56" s="174"/>
    </row>
    <row r="57" ht="12.75" customHeight="1" spans="1:72">
      <c r="A57" s="302"/>
      <c r="B57" s="303"/>
      <c r="C57" s="303"/>
      <c r="D57" s="303"/>
      <c r="E57" s="303"/>
      <c r="F57" s="303"/>
      <c r="G57" s="303"/>
      <c r="H57" s="303"/>
      <c r="I57" s="303"/>
      <c r="J57" s="359"/>
      <c r="K57" s="360"/>
      <c r="L57" s="361"/>
      <c r="M57" s="361"/>
      <c r="N57" s="361"/>
      <c r="O57" s="361"/>
      <c r="P57" s="361"/>
      <c r="Q57" s="398"/>
      <c r="R57" s="397"/>
      <c r="S57" s="397"/>
      <c r="T57" s="397"/>
      <c r="V57" s="370" t="s">
        <v>440</v>
      </c>
      <c r="W57" s="12" t="s">
        <v>441</v>
      </c>
      <c r="X57" s="371" t="s">
        <v>442</v>
      </c>
      <c r="Y57" s="371" t="s">
        <v>443</v>
      </c>
      <c r="AU57" s="425"/>
      <c r="AV57" s="35" t="s">
        <v>111</v>
      </c>
      <c r="AW57" s="35" t="s">
        <v>444</v>
      </c>
      <c r="AX57" s="35" t="s">
        <v>445</v>
      </c>
      <c r="AY57" s="35" t="s">
        <v>446</v>
      </c>
      <c r="AZ57" s="35" t="s">
        <v>447</v>
      </c>
      <c r="BA57" s="436" t="s">
        <v>448</v>
      </c>
      <c r="BD57" s="438">
        <v>90</v>
      </c>
      <c r="BE57" s="451">
        <v>98</v>
      </c>
      <c r="BG57" s="425">
        <v>1</v>
      </c>
      <c r="BH57" s="436">
        <v>1.33</v>
      </c>
      <c r="BT57" s="174"/>
    </row>
    <row r="58" ht="21" customHeight="1" spans="1:72">
      <c r="A58" s="304" t="str">
        <f>P31&amp;"  "&amp;IF(ISBLANK(J12),"",J12&amp;"  ")&amp;IFERROR(HLOOKUP(J23,BY28:CA29,2,FALSE),"")&amp;" "&amp;IF(BR30=1,"",BR29&amp;"  ")&amp;IF(BS30=1,"",BS29&amp;"  ")&amp;IF(AND(K15,Q33="物理"),I15&amp;"  ","")&amp;IF(AND(K16,Q33="特殊"),I16&amp;"  ","")&amp;IF($K$18=2,IF(ISERROR(MATCH($P$31,$BF$68:$BF$103,0)),"","多目标(75%伤害）  "),"")&amp;IF(J29,"会心一击  ","")&amp;IF(Q36="-","","攻击"&amp;Q36&amp;"次")</f>
        <v>断崖之剑   </v>
      </c>
      <c r="B58" s="305"/>
      <c r="C58" s="305"/>
      <c r="D58" s="305"/>
      <c r="E58" s="305"/>
      <c r="F58" s="305"/>
      <c r="G58" s="305"/>
      <c r="H58" s="305"/>
      <c r="I58" s="305"/>
      <c r="J58" s="362"/>
      <c r="K58" s="363" t="str">
        <f>"伤害 "&amp;D50&amp;" - "&amp;D49&amp;"，"&amp;F50&amp;" - "&amp;F49</f>
        <v>伤害   -  ，  -  </v>
      </c>
      <c r="L58" s="363"/>
      <c r="M58" s="363"/>
      <c r="N58" s="363"/>
      <c r="O58" s="363"/>
      <c r="P58" s="363"/>
      <c r="Q58" s="399"/>
      <c r="R58" s="400"/>
      <c r="S58" s="400"/>
      <c r="T58" s="400"/>
      <c r="V58" s="370" t="s">
        <v>449</v>
      </c>
      <c r="W58" s="12" t="s">
        <v>450</v>
      </c>
      <c r="X58" s="371" t="s">
        <v>451</v>
      </c>
      <c r="Y58" s="371" t="s">
        <v>452</v>
      </c>
      <c r="AU58" s="426"/>
      <c r="AV58" s="427" t="s">
        <v>116</v>
      </c>
      <c r="AW58" s="427" t="s">
        <v>453</v>
      </c>
      <c r="AX58" s="427" t="s">
        <v>454</v>
      </c>
      <c r="AY58" s="427" t="s">
        <v>455</v>
      </c>
      <c r="AZ58" s="427" t="s">
        <v>456</v>
      </c>
      <c r="BA58" s="439" t="s">
        <v>457</v>
      </c>
      <c r="BD58" s="438">
        <v>91</v>
      </c>
      <c r="BE58" s="451">
        <v>99</v>
      </c>
      <c r="BG58" s="425">
        <v>0</v>
      </c>
      <c r="BH58" s="436">
        <v>1</v>
      </c>
      <c r="BT58" s="174"/>
    </row>
    <row r="59" ht="21" customHeight="1" spans="1:72">
      <c r="A59" s="306"/>
      <c r="B59" s="307"/>
      <c r="C59" s="307"/>
      <c r="D59" s="307"/>
      <c r="E59" s="307"/>
      <c r="F59" s="307"/>
      <c r="G59" s="307"/>
      <c r="H59" s="307"/>
      <c r="I59" s="307"/>
      <c r="J59" s="364"/>
      <c r="K59" s="365" t="e">
        <f>"命中率"&amp;K47*100&amp;"%，秒杀几率"&amp;J50*100&amp;"%"</f>
        <v>#VALUE!</v>
      </c>
      <c r="L59" s="365"/>
      <c r="M59" s="365"/>
      <c r="N59" s="365"/>
      <c r="O59" s="365"/>
      <c r="P59" s="365"/>
      <c r="Q59" s="401"/>
      <c r="R59" s="400"/>
      <c r="S59" s="400"/>
      <c r="T59" s="400"/>
      <c r="V59" s="370" t="s">
        <v>458</v>
      </c>
      <c r="W59" s="12" t="s">
        <v>459</v>
      </c>
      <c r="X59" s="371" t="s">
        <v>460</v>
      </c>
      <c r="Y59" s="371" t="s">
        <v>461</v>
      </c>
      <c r="BD59" s="440">
        <v>92</v>
      </c>
      <c r="BE59" s="453">
        <v>100</v>
      </c>
      <c r="BG59" s="425">
        <v>-1</v>
      </c>
      <c r="BH59" s="436">
        <v>0.75</v>
      </c>
      <c r="BT59" s="174"/>
    </row>
    <row r="60" ht="12.75" customHeight="1" spans="1:72">
      <c r="A60" s="300" t="e">
        <f>IF(F28=1,P6,E6)&amp;" HP "&amp;IF(Q33="物理",IF(F28=1,P8,E8)&amp;"物防 ",IF(F28=1,P10,E10)&amp;"特防 ")&amp;IF(F28=1,P11,E11)&amp;"速度努力 "&amp;IF(F28=2,B18,M18)&amp;" "&amp;J36&amp;"特性 "&amp;IF(F28=2,F4,Q4)&amp;"级"&amp;IF(F28=1,D28,D29)&amp;" "&amp;IF(F28=1,IF(P22=0,"",P22&amp;"级"&amp;IF(Q33="物理","物防 ","特防 ")),IF(E22=0,"",E22&amp;"级"&amp;IF(Q33="物理","物防 ","特防 ")))&amp;IF(F28=1,IF(S22=0,"",S22&amp;"级回避 "),IF(H22=0,"",H22&amp;"级回避 "))&amp;IF(F28=1,IF(S23=0,"",S23&amp;"级速度 "),IF(H23=0,"",H23&amp;"级速度 "))&amp;IF(BU30=1,"",BU29&amp;" ")&amp;IF(BV30=1,"",BV29&amp;" ")&amp;IF(BW30=1,"",BW29&amp;" ")&amp;IF(BX30=1,"",BX29&amp;" ")&amp;IF(IFERROR(HLOOKUP(IF(F28=1,M22,B22),BM17:BP18,2,FALSE),1)&gt;1,IF(F28=1,M22&amp;" ",B22&amp;" "),"")&amp;IF(F28=1,Q14,F14)</f>
        <v>#N/A</v>
      </c>
      <c r="B60" s="301"/>
      <c r="C60" s="301"/>
      <c r="D60" s="301"/>
      <c r="E60" s="301"/>
      <c r="F60" s="301"/>
      <c r="G60" s="301"/>
      <c r="H60" s="301"/>
      <c r="I60" s="301"/>
      <c r="J60" s="301"/>
      <c r="K60" s="366" t="e">
        <f>"实际速度："&amp;J37</f>
        <v>#VALUE!</v>
      </c>
      <c r="L60" s="367"/>
      <c r="M60" s="367"/>
      <c r="N60" s="367"/>
      <c r="O60" s="367"/>
      <c r="P60" s="367"/>
      <c r="Q60" s="402"/>
      <c r="R60" s="400"/>
      <c r="S60" s="400"/>
      <c r="T60" s="400"/>
      <c r="V60" s="370" t="s">
        <v>462</v>
      </c>
      <c r="W60" s="12" t="s">
        <v>463</v>
      </c>
      <c r="X60" s="371" t="s">
        <v>464</v>
      </c>
      <c r="Y60" s="371" t="s">
        <v>465</v>
      </c>
      <c r="BA60" s="229"/>
      <c r="BB60" s="229"/>
      <c r="BC60" s="229"/>
      <c r="BD60" s="229"/>
      <c r="BE60" s="229"/>
      <c r="BF60" s="229"/>
      <c r="BG60" s="425">
        <v>-2</v>
      </c>
      <c r="BH60" s="436">
        <v>0.6</v>
      </c>
      <c r="BT60" s="174"/>
    </row>
    <row r="61" ht="12.75" customHeight="1" spans="1:72">
      <c r="A61" s="302"/>
      <c r="B61" s="303"/>
      <c r="C61" s="303"/>
      <c r="D61" s="303"/>
      <c r="E61" s="303"/>
      <c r="F61" s="303"/>
      <c r="G61" s="303"/>
      <c r="H61" s="303"/>
      <c r="I61" s="303"/>
      <c r="J61" s="303"/>
      <c r="K61" s="368"/>
      <c r="L61" s="369"/>
      <c r="M61" s="369"/>
      <c r="N61" s="369"/>
      <c r="O61" s="369"/>
      <c r="P61" s="369"/>
      <c r="Q61" s="403"/>
      <c r="R61" s="400"/>
      <c r="S61" s="400"/>
      <c r="T61" s="400"/>
      <c r="V61" s="370" t="s">
        <v>466</v>
      </c>
      <c r="W61" s="12" t="s">
        <v>467</v>
      </c>
      <c r="X61" s="371" t="s">
        <v>468</v>
      </c>
      <c r="Y61" s="371" t="s">
        <v>469</v>
      </c>
      <c r="AV61" s="428" t="s">
        <v>470</v>
      </c>
      <c r="AW61" s="441"/>
      <c r="AX61" s="349"/>
      <c r="AY61" s="442" t="s">
        <v>471</v>
      </c>
      <c r="AZ61" s="349"/>
      <c r="BA61" s="24" t="s">
        <v>472</v>
      </c>
      <c r="BB61" s="24"/>
      <c r="BC61" s="229"/>
      <c r="BD61" s="229"/>
      <c r="BE61" s="229"/>
      <c r="BF61" s="229"/>
      <c r="BG61" s="425">
        <v>-3</v>
      </c>
      <c r="BH61" s="436">
        <v>0.5</v>
      </c>
      <c r="BT61" s="174"/>
    </row>
    <row r="62" spans="7:72">
      <c r="G62" s="262"/>
      <c r="H62" s="262"/>
      <c r="I62" s="262"/>
      <c r="J62" s="262"/>
      <c r="K62" s="262"/>
      <c r="L62" s="262"/>
      <c r="M62" s="262"/>
      <c r="N62" s="262"/>
      <c r="O62" s="262"/>
      <c r="P62" s="262"/>
      <c r="Q62" s="262"/>
      <c r="R62" s="262"/>
      <c r="S62" s="262"/>
      <c r="V62" s="370" t="s">
        <v>473</v>
      </c>
      <c r="W62" s="12" t="s">
        <v>474</v>
      </c>
      <c r="X62" s="371" t="s">
        <v>475</v>
      </c>
      <c r="Y62" s="371" t="s">
        <v>476</v>
      </c>
      <c r="AV62" s="429" t="s">
        <v>477</v>
      </c>
      <c r="AW62" s="443" t="s">
        <v>478</v>
      </c>
      <c r="AY62" s="443" t="s">
        <v>479</v>
      </c>
      <c r="BA62" s="444" t="s">
        <v>480</v>
      </c>
      <c r="BC62" s="445"/>
      <c r="BD62" s="445"/>
      <c r="BE62" s="445"/>
      <c r="BF62" s="445"/>
      <c r="BG62" s="425">
        <v>-4</v>
      </c>
      <c r="BH62" s="436">
        <v>0.43</v>
      </c>
      <c r="BT62" s="174"/>
    </row>
    <row r="63" spans="22:72">
      <c r="V63" s="370" t="s">
        <v>481</v>
      </c>
      <c r="W63" s="12" t="s">
        <v>482</v>
      </c>
      <c r="X63" s="371" t="s">
        <v>483</v>
      </c>
      <c r="Y63" s="371" t="s">
        <v>484</v>
      </c>
      <c r="AV63" s="429" t="s">
        <v>485</v>
      </c>
      <c r="AW63" s="443" t="s">
        <v>486</v>
      </c>
      <c r="AY63" s="443" t="s">
        <v>487</v>
      </c>
      <c r="BA63" s="443" t="s">
        <v>488</v>
      </c>
      <c r="BC63" s="229"/>
      <c r="BD63" s="229"/>
      <c r="BE63" s="229"/>
      <c r="BF63" s="229"/>
      <c r="BG63" s="425">
        <v>-5</v>
      </c>
      <c r="BH63" s="436">
        <v>0.36</v>
      </c>
      <c r="BT63" s="174"/>
    </row>
    <row r="64" spans="22:72">
      <c r="V64" s="370" t="s">
        <v>489</v>
      </c>
      <c r="W64" s="12" t="s">
        <v>490</v>
      </c>
      <c r="X64" s="371" t="s">
        <v>491</v>
      </c>
      <c r="Y64" s="371" t="s">
        <v>492</v>
      </c>
      <c r="AV64" s="429" t="s">
        <v>493</v>
      </c>
      <c r="AW64" s="443" t="s">
        <v>494</v>
      </c>
      <c r="AY64" s="443" t="s">
        <v>495</v>
      </c>
      <c r="BA64" s="443" t="s">
        <v>496</v>
      </c>
      <c r="BC64" s="229"/>
      <c r="BD64" s="229"/>
      <c r="BE64" s="229"/>
      <c r="BF64" s="229"/>
      <c r="BG64" s="426">
        <v>-6</v>
      </c>
      <c r="BH64" s="439">
        <v>0.33</v>
      </c>
      <c r="BT64" s="174"/>
    </row>
    <row r="65" ht="44.1" customHeight="1" spans="20:72">
      <c r="T65" s="476"/>
      <c r="U65" s="476"/>
      <c r="V65" s="370" t="s">
        <v>497</v>
      </c>
      <c r="W65" s="477" t="s">
        <v>498</v>
      </c>
      <c r="X65" s="371" t="s">
        <v>499</v>
      </c>
      <c r="Y65" s="371" t="s">
        <v>500</v>
      </c>
      <c r="AV65" s="429" t="s">
        <v>501</v>
      </c>
      <c r="AW65" s="443" t="s">
        <v>502</v>
      </c>
      <c r="AY65" s="443" t="s">
        <v>503</v>
      </c>
      <c r="BA65" s="443" t="s">
        <v>504</v>
      </c>
      <c r="BC65" s="229"/>
      <c r="BD65" s="229"/>
      <c r="BE65" s="229"/>
      <c r="BF65" s="229"/>
      <c r="BJ65" s="484" t="s">
        <v>505</v>
      </c>
      <c r="BT65" s="174"/>
    </row>
    <row r="66" ht="18.75" spans="1:72">
      <c r="A66" s="476"/>
      <c r="B66" s="476"/>
      <c r="C66" s="476"/>
      <c r="D66" s="476"/>
      <c r="E66" s="476"/>
      <c r="F66" s="476"/>
      <c r="G66" s="476"/>
      <c r="H66" s="476"/>
      <c r="I66" s="476"/>
      <c r="J66" s="476"/>
      <c r="K66" s="476"/>
      <c r="L66" s="476"/>
      <c r="M66" s="476"/>
      <c r="N66" s="476"/>
      <c r="O66" s="476"/>
      <c r="P66" s="476"/>
      <c r="Q66" s="476"/>
      <c r="R66" s="476"/>
      <c r="S66" s="476"/>
      <c r="T66" s="476"/>
      <c r="U66" s="476"/>
      <c r="V66" s="370" t="s">
        <v>506</v>
      </c>
      <c r="W66" s="477" t="s">
        <v>507</v>
      </c>
      <c r="X66" s="371" t="s">
        <v>508</v>
      </c>
      <c r="Y66" s="371" t="s">
        <v>509</v>
      </c>
      <c r="AV66" s="429" t="s">
        <v>510</v>
      </c>
      <c r="AW66" s="478" t="s">
        <v>511</v>
      </c>
      <c r="AY66" s="443" t="s">
        <v>512</v>
      </c>
      <c r="BA66" s="443" t="s">
        <v>513</v>
      </c>
      <c r="BJ66" s="485" t="s">
        <v>72</v>
      </c>
      <c r="BK66" s="486"/>
      <c r="BL66" s="480">
        <f>IF(OR(C36="破格",C36="涡轮火花",C36="垓级电压"),1,IF(Q32="水",0,1))</f>
        <v>1</v>
      </c>
      <c r="BT66" s="174"/>
    </row>
    <row r="67" ht="18.75" spans="1:72">
      <c r="A67" s="476"/>
      <c r="B67" s="476"/>
      <c r="C67" s="476"/>
      <c r="D67" s="476"/>
      <c r="E67" s="476"/>
      <c r="F67" s="476"/>
      <c r="G67" s="476"/>
      <c r="H67" s="476"/>
      <c r="I67" s="476"/>
      <c r="J67" s="476"/>
      <c r="K67" s="476"/>
      <c r="L67" s="476"/>
      <c r="M67" s="476"/>
      <c r="N67" s="476"/>
      <c r="O67" s="476"/>
      <c r="P67" s="476"/>
      <c r="Q67" s="476"/>
      <c r="R67" s="476"/>
      <c r="S67" s="476"/>
      <c r="T67" s="476"/>
      <c r="U67" s="476"/>
      <c r="V67" s="370" t="s">
        <v>514</v>
      </c>
      <c r="W67" s="477" t="s">
        <v>515</v>
      </c>
      <c r="X67" s="371" t="s">
        <v>516</v>
      </c>
      <c r="Y67" s="371" t="s">
        <v>517</v>
      </c>
      <c r="AV67" s="443" t="s">
        <v>518</v>
      </c>
      <c r="AY67" s="443" t="s">
        <v>519</v>
      </c>
      <c r="BA67" s="443" t="s">
        <v>520</v>
      </c>
      <c r="BC67" s="24" t="s">
        <v>521</v>
      </c>
      <c r="BD67" s="24"/>
      <c r="BF67" s="487" t="s">
        <v>522</v>
      </c>
      <c r="BJ67" s="488" t="s">
        <v>523</v>
      </c>
      <c r="BK67" s="487"/>
      <c r="BL67" s="481">
        <f>IF(OR(C36="破格",C36="涡轮火花",C36="垓级电压"),1,IF(Q32="水",0,1))</f>
        <v>1</v>
      </c>
      <c r="BT67" s="174"/>
    </row>
    <row r="68" ht="18.75" spans="1:72">
      <c r="A68" s="476"/>
      <c r="B68" s="476"/>
      <c r="C68" s="476"/>
      <c r="D68" s="476"/>
      <c r="E68" s="476"/>
      <c r="F68" s="476"/>
      <c r="G68" s="476"/>
      <c r="H68" s="476"/>
      <c r="I68" s="476"/>
      <c r="J68" s="476"/>
      <c r="K68" s="476"/>
      <c r="L68" s="476"/>
      <c r="M68" s="476"/>
      <c r="N68" s="476"/>
      <c r="O68" s="476"/>
      <c r="P68" s="476"/>
      <c r="Q68" s="476"/>
      <c r="R68" s="476"/>
      <c r="S68" s="476"/>
      <c r="T68" s="476"/>
      <c r="U68" s="476"/>
      <c r="V68" s="370" t="s">
        <v>524</v>
      </c>
      <c r="W68" s="477" t="s">
        <v>525</v>
      </c>
      <c r="X68" s="371" t="s">
        <v>526</v>
      </c>
      <c r="Y68" s="371" t="s">
        <v>527</v>
      </c>
      <c r="AV68" s="443" t="s">
        <v>528</v>
      </c>
      <c r="AY68" s="443" t="s">
        <v>529</v>
      </c>
      <c r="BA68" s="443" t="s">
        <v>530</v>
      </c>
      <c r="BC68" s="479" t="s">
        <v>531</v>
      </c>
      <c r="BD68" s="480">
        <v>2</v>
      </c>
      <c r="BF68" s="444" t="s">
        <v>532</v>
      </c>
      <c r="BJ68" s="488" t="s">
        <v>533</v>
      </c>
      <c r="BK68" s="487"/>
      <c r="BL68" s="481">
        <f>IF(OR(C36="破格",C36="涡轮火花",C36="垓级电压"),1,IF(Q32="水",0,1))</f>
        <v>1</v>
      </c>
      <c r="BT68" s="174"/>
    </row>
    <row r="69" spans="22:72">
      <c r="V69" s="370" t="s">
        <v>534</v>
      </c>
      <c r="W69" s="12" t="s">
        <v>535</v>
      </c>
      <c r="X69" s="371" t="s">
        <v>536</v>
      </c>
      <c r="Y69" s="371" t="s">
        <v>537</v>
      </c>
      <c r="AV69" s="443" t="s">
        <v>538</v>
      </c>
      <c r="AY69" s="443" t="s">
        <v>539</v>
      </c>
      <c r="BA69" s="443" t="s">
        <v>519</v>
      </c>
      <c r="BC69" s="429" t="s">
        <v>540</v>
      </c>
      <c r="BD69" s="481">
        <v>2</v>
      </c>
      <c r="BF69" s="443" t="s">
        <v>541</v>
      </c>
      <c r="BJ69" s="488" t="s">
        <v>542</v>
      </c>
      <c r="BK69" s="487"/>
      <c r="BL69" s="481">
        <f>IF(OR(C36="破格",C36="涡轮火花",C36="垓级电压"),1,IF(Q32="火",0,1))</f>
        <v>1</v>
      </c>
      <c r="BT69" s="174"/>
    </row>
    <row r="70" spans="22:72">
      <c r="V70" s="370" t="s">
        <v>543</v>
      </c>
      <c r="W70" s="12" t="s">
        <v>544</v>
      </c>
      <c r="X70" s="371" t="s">
        <v>545</v>
      </c>
      <c r="Y70" s="371" t="s">
        <v>546</v>
      </c>
      <c r="AV70" s="443" t="s">
        <v>547</v>
      </c>
      <c r="AY70" s="443" t="s">
        <v>548</v>
      </c>
      <c r="BA70" s="443" t="s">
        <v>549</v>
      </c>
      <c r="BC70" s="429" t="s">
        <v>550</v>
      </c>
      <c r="BD70" s="481">
        <v>2</v>
      </c>
      <c r="BF70" s="443" t="s">
        <v>551</v>
      </c>
      <c r="BJ70" s="488" t="s">
        <v>552</v>
      </c>
      <c r="BK70" s="487"/>
      <c r="BL70" s="481">
        <f>IF(OR(C36="破格",C36="涡轮火花",C36="垓级电压"),1,IF(Q32="草",0,1))</f>
        <v>1</v>
      </c>
      <c r="BT70" s="174"/>
    </row>
    <row r="71" spans="22:72">
      <c r="V71" s="370" t="s">
        <v>553</v>
      </c>
      <c r="W71" s="12" t="s">
        <v>554</v>
      </c>
      <c r="X71" s="371" t="s">
        <v>555</v>
      </c>
      <c r="Y71" s="371" t="s">
        <v>556</v>
      </c>
      <c r="AV71" s="443" t="s">
        <v>557</v>
      </c>
      <c r="AY71" s="443" t="s">
        <v>558</v>
      </c>
      <c r="BA71" s="443" t="s">
        <v>559</v>
      </c>
      <c r="BC71" s="429" t="s">
        <v>560</v>
      </c>
      <c r="BD71" s="481">
        <v>2</v>
      </c>
      <c r="BF71" s="443" t="s">
        <v>561</v>
      </c>
      <c r="BJ71" s="488" t="s">
        <v>562</v>
      </c>
      <c r="BK71" s="487"/>
      <c r="BL71" s="481">
        <f>IF(OR(C36="破格",C36="涡轮火花",C36="垓级电压"),1,IF(Q32="电",0,1))</f>
        <v>1</v>
      </c>
      <c r="BT71" s="174"/>
    </row>
    <row r="72" spans="22:72">
      <c r="V72" s="370" t="s">
        <v>563</v>
      </c>
      <c r="W72" s="12" t="s">
        <v>564</v>
      </c>
      <c r="X72" s="371" t="s">
        <v>565</v>
      </c>
      <c r="Y72" s="371" t="s">
        <v>566</v>
      </c>
      <c r="AV72" s="443" t="s">
        <v>567</v>
      </c>
      <c r="AY72" s="443" t="s">
        <v>568</v>
      </c>
      <c r="BA72" s="443" t="s">
        <v>569</v>
      </c>
      <c r="BC72" s="429" t="s">
        <v>570</v>
      </c>
      <c r="BD72" s="481">
        <v>2</v>
      </c>
      <c r="BF72" s="443" t="s">
        <v>571</v>
      </c>
      <c r="BJ72" s="488" t="s">
        <v>572</v>
      </c>
      <c r="BK72" s="487"/>
      <c r="BL72" s="481">
        <f>IF(OR(C36="破格",C36="涡轮火花",C36="垓级电压"),1,IF(Q32="电",0,1))</f>
        <v>1</v>
      </c>
      <c r="BT72" s="174"/>
    </row>
    <row r="73" spans="22:72">
      <c r="V73" s="370" t="s">
        <v>573</v>
      </c>
      <c r="W73" s="12" t="s">
        <v>574</v>
      </c>
      <c r="X73" s="371" t="s">
        <v>575</v>
      </c>
      <c r="Y73" s="371" t="s">
        <v>576</v>
      </c>
      <c r="AV73" s="443" t="s">
        <v>577</v>
      </c>
      <c r="AY73" s="443" t="s">
        <v>578</v>
      </c>
      <c r="BA73" s="443" t="s">
        <v>579</v>
      </c>
      <c r="BC73" s="429" t="s">
        <v>580</v>
      </c>
      <c r="BD73" s="481">
        <v>2</v>
      </c>
      <c r="BF73" s="443" t="s">
        <v>581</v>
      </c>
      <c r="BJ73" s="488" t="s">
        <v>582</v>
      </c>
      <c r="BK73" s="487"/>
      <c r="BL73" s="481">
        <f>IF(OR(C36="破格",C36="涡轮火花",C36="垓级电压",J14),1,IF(Q32="地",0,1))</f>
        <v>0</v>
      </c>
      <c r="BT73" s="174"/>
    </row>
    <row r="74" spans="22:72">
      <c r="V74" s="370" t="s">
        <v>583</v>
      </c>
      <c r="W74" s="12" t="s">
        <v>584</v>
      </c>
      <c r="X74" s="371" t="s">
        <v>585</v>
      </c>
      <c r="Y74" s="371" t="s">
        <v>586</v>
      </c>
      <c r="AV74" s="443" t="s">
        <v>587</v>
      </c>
      <c r="AY74" s="443" t="s">
        <v>588</v>
      </c>
      <c r="BA74" s="429" t="s">
        <v>541</v>
      </c>
      <c r="BC74" s="429" t="s">
        <v>589</v>
      </c>
      <c r="BD74" s="481">
        <v>5</v>
      </c>
      <c r="BF74" s="443" t="s">
        <v>590</v>
      </c>
      <c r="BJ74" s="488" t="s">
        <v>591</v>
      </c>
      <c r="BK74" s="24"/>
      <c r="BL74" s="481">
        <f>IF(OR(C36="破格",C36="涡轮火花",C36="垓级电压"),1,IF(ISERROR(MATCH(P31,AY62:AY80,0)),1,0))</f>
        <v>1</v>
      </c>
      <c r="BT74" s="174"/>
    </row>
    <row r="75" spans="22:72">
      <c r="V75" s="370" t="s">
        <v>592</v>
      </c>
      <c r="W75" s="12" t="s">
        <v>593</v>
      </c>
      <c r="X75" s="371" t="s">
        <v>594</v>
      </c>
      <c r="Y75" s="371" t="s">
        <v>595</v>
      </c>
      <c r="AV75" s="443" t="s">
        <v>596</v>
      </c>
      <c r="AY75" s="443" t="s">
        <v>597</v>
      </c>
      <c r="BA75" s="429" t="s">
        <v>598</v>
      </c>
      <c r="BC75" s="429" t="s">
        <v>599</v>
      </c>
      <c r="BD75" s="481">
        <v>5</v>
      </c>
      <c r="BF75" s="443" t="s">
        <v>600</v>
      </c>
      <c r="BJ75" s="429" t="s">
        <v>601</v>
      </c>
      <c r="BK75" s="24"/>
      <c r="BL75" s="481">
        <f>IF(OR(C36="破格",C36="涡轮火花",C36="垓级电压"),1,IF(D44&gt;1,1,0))</f>
        <v>0</v>
      </c>
      <c r="BT75" s="174"/>
    </row>
    <row r="76" spans="22:72">
      <c r="V76" s="370" t="s">
        <v>602</v>
      </c>
      <c r="W76" s="12" t="s">
        <v>603</v>
      </c>
      <c r="X76" s="371" t="s">
        <v>604</v>
      </c>
      <c r="Y76" s="371" t="s">
        <v>605</v>
      </c>
      <c r="AV76" s="443" t="s">
        <v>606</v>
      </c>
      <c r="AY76" s="443" t="s">
        <v>607</v>
      </c>
      <c r="BA76" s="429" t="s">
        <v>608</v>
      </c>
      <c r="BC76" s="429" t="s">
        <v>609</v>
      </c>
      <c r="BD76" s="481">
        <v>5</v>
      </c>
      <c r="BF76" s="443" t="s">
        <v>610</v>
      </c>
      <c r="BJ76" s="489" t="s">
        <v>611</v>
      </c>
      <c r="BK76" s="490"/>
      <c r="BL76" s="483">
        <f>IF(OR(C36="破格",C36="涡轮火花",C36="垓级电压"),1,IF(Q32="电",0,1))</f>
        <v>1</v>
      </c>
      <c r="BT76" s="174"/>
    </row>
    <row r="77" spans="22:72">
      <c r="V77" s="370" t="s">
        <v>612</v>
      </c>
      <c r="W77" s="12" t="s">
        <v>613</v>
      </c>
      <c r="X77" s="371" t="s">
        <v>614</v>
      </c>
      <c r="Y77" s="371" t="s">
        <v>615</v>
      </c>
      <c r="AV77" s="443" t="s">
        <v>616</v>
      </c>
      <c r="AY77" s="443" t="s">
        <v>617</v>
      </c>
      <c r="BA77" s="429" t="s">
        <v>618</v>
      </c>
      <c r="BC77" s="429" t="s">
        <v>619</v>
      </c>
      <c r="BD77" s="481">
        <v>5</v>
      </c>
      <c r="BF77" s="443" t="s">
        <v>620</v>
      </c>
      <c r="BT77" s="174"/>
    </row>
    <row r="78" spans="22:72">
      <c r="V78" s="370" t="s">
        <v>621</v>
      </c>
      <c r="W78" s="12" t="s">
        <v>622</v>
      </c>
      <c r="X78" s="371" t="s">
        <v>623</v>
      </c>
      <c r="Y78" s="371" t="s">
        <v>624</v>
      </c>
      <c r="AV78" s="443" t="s">
        <v>625</v>
      </c>
      <c r="AY78" s="443" t="s">
        <v>541</v>
      </c>
      <c r="BA78" s="429" t="s">
        <v>626</v>
      </c>
      <c r="BC78" s="429" t="s">
        <v>627</v>
      </c>
      <c r="BD78" s="481">
        <v>5</v>
      </c>
      <c r="BF78" s="443" t="s">
        <v>628</v>
      </c>
      <c r="BT78" s="174"/>
    </row>
    <row r="79" spans="22:72">
      <c r="V79" s="370" t="s">
        <v>629</v>
      </c>
      <c r="W79" s="12" t="s">
        <v>630</v>
      </c>
      <c r="X79" s="371" t="s">
        <v>631</v>
      </c>
      <c r="Y79" s="371" t="s">
        <v>632</v>
      </c>
      <c r="AV79" s="443" t="s">
        <v>633</v>
      </c>
      <c r="AY79" s="443" t="s">
        <v>634</v>
      </c>
      <c r="BA79" s="429" t="s">
        <v>635</v>
      </c>
      <c r="BC79" s="429" t="s">
        <v>636</v>
      </c>
      <c r="BD79" s="481">
        <v>5</v>
      </c>
      <c r="BF79" s="443" t="s">
        <v>637</v>
      </c>
      <c r="BT79" s="174"/>
    </row>
    <row r="80" spans="22:72">
      <c r="V80" s="370" t="s">
        <v>638</v>
      </c>
      <c r="W80" s="12" t="s">
        <v>639</v>
      </c>
      <c r="X80" s="371" t="s">
        <v>640</v>
      </c>
      <c r="Y80" s="371" t="s">
        <v>641</v>
      </c>
      <c r="AV80" s="443" t="s">
        <v>642</v>
      </c>
      <c r="AY80" s="478" t="s">
        <v>643</v>
      </c>
      <c r="BA80" s="429" t="s">
        <v>644</v>
      </c>
      <c r="BC80" s="429" t="s">
        <v>645</v>
      </c>
      <c r="BD80" s="481">
        <v>5</v>
      </c>
      <c r="BF80" s="443" t="s">
        <v>646</v>
      </c>
      <c r="BT80" s="174"/>
    </row>
    <row r="81" spans="22:72">
      <c r="V81" s="370" t="s">
        <v>647</v>
      </c>
      <c r="W81" s="12" t="s">
        <v>648</v>
      </c>
      <c r="X81" s="371" t="s">
        <v>649</v>
      </c>
      <c r="Y81" s="371" t="s">
        <v>650</v>
      </c>
      <c r="AV81" s="443" t="s">
        <v>559</v>
      </c>
      <c r="BA81" s="429" t="s">
        <v>528</v>
      </c>
      <c r="BC81" s="429" t="s">
        <v>651</v>
      </c>
      <c r="BD81" s="481">
        <v>5</v>
      </c>
      <c r="BF81" s="443" t="s">
        <v>652</v>
      </c>
      <c r="BT81" s="174"/>
    </row>
    <row r="82" spans="22:72">
      <c r="V82" s="370" t="s">
        <v>653</v>
      </c>
      <c r="W82" s="12" t="s">
        <v>654</v>
      </c>
      <c r="X82" s="371" t="s">
        <v>655</v>
      </c>
      <c r="Y82" s="371" t="s">
        <v>656</v>
      </c>
      <c r="AV82" s="443" t="s">
        <v>657</v>
      </c>
      <c r="BA82" s="429" t="s">
        <v>658</v>
      </c>
      <c r="BC82" s="429" t="s">
        <v>659</v>
      </c>
      <c r="BD82" s="481">
        <v>5</v>
      </c>
      <c r="BF82" s="443" t="s">
        <v>660</v>
      </c>
      <c r="BT82" s="174"/>
    </row>
    <row r="83" spans="22:72">
      <c r="V83" s="370" t="s">
        <v>661</v>
      </c>
      <c r="W83" s="12" t="s">
        <v>662</v>
      </c>
      <c r="X83" s="371" t="s">
        <v>663</v>
      </c>
      <c r="Y83" s="371" t="s">
        <v>664</v>
      </c>
      <c r="AV83" s="443" t="s">
        <v>665</v>
      </c>
      <c r="BA83" s="429" t="s">
        <v>666</v>
      </c>
      <c r="BC83" s="429" t="s">
        <v>667</v>
      </c>
      <c r="BD83" s="481">
        <v>5</v>
      </c>
      <c r="BF83" s="443" t="s">
        <v>668</v>
      </c>
      <c r="BT83" s="174"/>
    </row>
    <row r="84" spans="22:72">
      <c r="V84" s="370" t="s">
        <v>669</v>
      </c>
      <c r="W84" s="12" t="s">
        <v>670</v>
      </c>
      <c r="X84" s="371" t="s">
        <v>671</v>
      </c>
      <c r="Y84" s="371" t="s">
        <v>672</v>
      </c>
      <c r="AV84" s="443" t="s">
        <v>673</v>
      </c>
      <c r="BA84" s="429" t="s">
        <v>674</v>
      </c>
      <c r="BC84" s="429" t="s">
        <v>675</v>
      </c>
      <c r="BD84" s="481">
        <v>5</v>
      </c>
      <c r="BF84" s="443" t="s">
        <v>676</v>
      </c>
      <c r="BT84" s="174"/>
    </row>
    <row r="85" spans="22:72">
      <c r="V85" s="370" t="s">
        <v>677</v>
      </c>
      <c r="W85" s="12" t="s">
        <v>678</v>
      </c>
      <c r="X85" s="371" t="s">
        <v>679</v>
      </c>
      <c r="Y85" s="371" t="s">
        <v>680</v>
      </c>
      <c r="AV85" s="443" t="s">
        <v>560</v>
      </c>
      <c r="BA85" s="429" t="s">
        <v>681</v>
      </c>
      <c r="BC85" s="429" t="s">
        <v>625</v>
      </c>
      <c r="BD85" s="481">
        <v>5</v>
      </c>
      <c r="BF85" s="443" t="s">
        <v>596</v>
      </c>
      <c r="BT85" s="174"/>
    </row>
    <row r="86" spans="22:72">
      <c r="V86" s="370" t="s">
        <v>682</v>
      </c>
      <c r="W86" s="12" t="s">
        <v>683</v>
      </c>
      <c r="X86" s="371" t="s">
        <v>684</v>
      </c>
      <c r="Y86" s="371" t="s">
        <v>685</v>
      </c>
      <c r="AV86" s="443" t="s">
        <v>686</v>
      </c>
      <c r="BA86" s="429" t="s">
        <v>620</v>
      </c>
      <c r="BC86" s="429" t="s">
        <v>633</v>
      </c>
      <c r="BD86" s="481">
        <v>5</v>
      </c>
      <c r="BF86" s="443" t="s">
        <v>687</v>
      </c>
      <c r="BT86" s="174"/>
    </row>
    <row r="87" spans="22:72">
      <c r="V87" s="370" t="s">
        <v>688</v>
      </c>
      <c r="W87" s="12" t="s">
        <v>689</v>
      </c>
      <c r="X87" s="371" t="s">
        <v>690</v>
      </c>
      <c r="Y87" s="371" t="s">
        <v>691</v>
      </c>
      <c r="AV87" s="443" t="s">
        <v>692</v>
      </c>
      <c r="BA87" s="429" t="s">
        <v>693</v>
      </c>
      <c r="BC87" s="482" t="s">
        <v>694</v>
      </c>
      <c r="BD87" s="483">
        <v>5</v>
      </c>
      <c r="BF87" s="443" t="s">
        <v>665</v>
      </c>
      <c r="BT87" s="174"/>
    </row>
    <row r="88" spans="22:72">
      <c r="V88" s="370" t="s">
        <v>695</v>
      </c>
      <c r="W88" s="12" t="s">
        <v>696</v>
      </c>
      <c r="X88" s="371" t="s">
        <v>697</v>
      </c>
      <c r="Y88" s="371" t="s">
        <v>698</v>
      </c>
      <c r="AV88" s="443" t="s">
        <v>699</v>
      </c>
      <c r="BA88" s="429" t="s">
        <v>700</v>
      </c>
      <c r="BF88" s="443" t="s">
        <v>701</v>
      </c>
      <c r="BT88" s="174"/>
    </row>
    <row r="89" spans="22:72">
      <c r="V89" s="370" t="s">
        <v>702</v>
      </c>
      <c r="W89" s="12" t="s">
        <v>703</v>
      </c>
      <c r="X89" s="371" t="s">
        <v>704</v>
      </c>
      <c r="Y89" s="371" t="s">
        <v>705</v>
      </c>
      <c r="AV89" s="443" t="s">
        <v>619</v>
      </c>
      <c r="BA89" s="429" t="s">
        <v>706</v>
      </c>
      <c r="BF89" s="443" t="s">
        <v>707</v>
      </c>
      <c r="BT89" s="174"/>
    </row>
    <row r="90" spans="22:72">
      <c r="V90" s="370" t="s">
        <v>708</v>
      </c>
      <c r="W90" s="12" t="s">
        <v>709</v>
      </c>
      <c r="X90" s="371" t="s">
        <v>710</v>
      </c>
      <c r="Y90" s="371" t="s">
        <v>711</v>
      </c>
      <c r="AV90" s="443" t="s">
        <v>712</v>
      </c>
      <c r="BA90" s="429" t="s">
        <v>713</v>
      </c>
      <c r="BF90" s="443" t="s">
        <v>493</v>
      </c>
      <c r="BT90" s="174"/>
    </row>
    <row r="91" spans="22:72">
      <c r="V91" s="370" t="s">
        <v>714</v>
      </c>
      <c r="W91" s="12" t="s">
        <v>715</v>
      </c>
      <c r="X91" s="371" t="s">
        <v>716</v>
      </c>
      <c r="Y91" s="371" t="s">
        <v>717</v>
      </c>
      <c r="AV91" s="443" t="s">
        <v>550</v>
      </c>
      <c r="BA91" s="429" t="s">
        <v>718</v>
      </c>
      <c r="BF91" s="443" t="s">
        <v>719</v>
      </c>
      <c r="BT91" s="174"/>
    </row>
    <row r="92" spans="22:72">
      <c r="V92" s="370" t="s">
        <v>720</v>
      </c>
      <c r="W92" s="12" t="s">
        <v>721</v>
      </c>
      <c r="X92" s="371" t="s">
        <v>722</v>
      </c>
      <c r="Y92" s="371" t="s">
        <v>723</v>
      </c>
      <c r="AV92" s="443" t="s">
        <v>681</v>
      </c>
      <c r="BA92" s="429" t="s">
        <v>724</v>
      </c>
      <c r="BF92" s="443" t="s">
        <v>725</v>
      </c>
      <c r="BT92" s="174"/>
    </row>
    <row r="93" spans="22:72">
      <c r="V93" s="370" t="s">
        <v>726</v>
      </c>
      <c r="W93" s="12" t="s">
        <v>727</v>
      </c>
      <c r="X93" s="371" t="s">
        <v>728</v>
      </c>
      <c r="Y93" s="371" t="s">
        <v>729</v>
      </c>
      <c r="AV93" s="443" t="s">
        <v>667</v>
      </c>
      <c r="BA93" s="429" t="s">
        <v>730</v>
      </c>
      <c r="BF93" s="443" t="s">
        <v>731</v>
      </c>
      <c r="BT93" s="174"/>
    </row>
    <row r="94" spans="22:72">
      <c r="V94" s="370" t="s">
        <v>732</v>
      </c>
      <c r="W94" s="12" t="s">
        <v>733</v>
      </c>
      <c r="X94" s="371" t="s">
        <v>734</v>
      </c>
      <c r="Y94" s="371" t="s">
        <v>735</v>
      </c>
      <c r="AV94" s="443" t="s">
        <v>675</v>
      </c>
      <c r="BA94" s="443" t="s">
        <v>736</v>
      </c>
      <c r="BF94" s="443" t="s">
        <v>557</v>
      </c>
      <c r="BT94" s="174"/>
    </row>
    <row r="95" spans="22:72">
      <c r="V95" s="370" t="s">
        <v>737</v>
      </c>
      <c r="W95" s="12" t="s">
        <v>738</v>
      </c>
      <c r="X95" s="371" t="s">
        <v>739</v>
      </c>
      <c r="Y95" s="371" t="s">
        <v>740</v>
      </c>
      <c r="AV95" s="443" t="s">
        <v>741</v>
      </c>
      <c r="BA95" s="443" t="s">
        <v>637</v>
      </c>
      <c r="BF95" s="443" t="s">
        <v>501</v>
      </c>
      <c r="BT95" s="174"/>
    </row>
    <row r="96" spans="22:72">
      <c r="V96" s="370" t="s">
        <v>742</v>
      </c>
      <c r="W96" s="12" t="s">
        <v>743</v>
      </c>
      <c r="X96" s="371" t="s">
        <v>744</v>
      </c>
      <c r="Y96" s="371" t="s">
        <v>745</v>
      </c>
      <c r="AV96" s="443" t="s">
        <v>746</v>
      </c>
      <c r="BA96" s="443" t="s">
        <v>747</v>
      </c>
      <c r="BF96" s="443" t="s">
        <v>558</v>
      </c>
      <c r="BT96" s="174"/>
    </row>
    <row r="97" spans="22:72">
      <c r="V97" s="370" t="s">
        <v>748</v>
      </c>
      <c r="W97" s="12" t="s">
        <v>749</v>
      </c>
      <c r="X97" s="371" t="s">
        <v>750</v>
      </c>
      <c r="Y97" s="371" t="s">
        <v>751</v>
      </c>
      <c r="AV97" s="443" t="s">
        <v>752</v>
      </c>
      <c r="BA97" s="443" t="s">
        <v>753</v>
      </c>
      <c r="BF97" s="443" t="s">
        <v>538</v>
      </c>
      <c r="BT97" s="174"/>
    </row>
    <row r="98" spans="22:72">
      <c r="V98" s="370" t="s">
        <v>754</v>
      </c>
      <c r="W98" s="12" t="s">
        <v>755</v>
      </c>
      <c r="X98" s="371" t="s">
        <v>756</v>
      </c>
      <c r="Y98" s="371" t="s">
        <v>757</v>
      </c>
      <c r="AV98" s="443" t="s">
        <v>627</v>
      </c>
      <c r="BA98" s="443" t="s">
        <v>758</v>
      </c>
      <c r="BF98" s="443" t="s">
        <v>485</v>
      </c>
      <c r="BT98" s="174"/>
    </row>
    <row r="99" spans="22:72">
      <c r="V99" s="370" t="s">
        <v>759</v>
      </c>
      <c r="W99" s="12" t="s">
        <v>760</v>
      </c>
      <c r="X99" s="371" t="s">
        <v>761</v>
      </c>
      <c r="Y99" s="371" t="s">
        <v>762</v>
      </c>
      <c r="AV99" s="443" t="s">
        <v>763</v>
      </c>
      <c r="BA99" s="443" t="s">
        <v>764</v>
      </c>
      <c r="BF99" s="478" t="s">
        <v>765</v>
      </c>
      <c r="BT99" s="174"/>
    </row>
    <row r="100" spans="22:72">
      <c r="V100" s="370" t="s">
        <v>766</v>
      </c>
      <c r="W100" s="12" t="s">
        <v>767</v>
      </c>
      <c r="X100" s="371" t="s">
        <v>768</v>
      </c>
      <c r="Y100" s="371" t="s">
        <v>769</v>
      </c>
      <c r="AV100" s="443" t="s">
        <v>659</v>
      </c>
      <c r="BA100" s="443" t="s">
        <v>770</v>
      </c>
      <c r="BF100" s="478" t="s">
        <v>771</v>
      </c>
      <c r="BT100" s="174"/>
    </row>
    <row r="101" spans="22:72">
      <c r="V101" s="370" t="s">
        <v>772</v>
      </c>
      <c r="W101" s="12" t="s">
        <v>773</v>
      </c>
      <c r="X101" s="371" t="s">
        <v>774</v>
      </c>
      <c r="Y101" s="371" t="s">
        <v>775</v>
      </c>
      <c r="AV101" s="443" t="s">
        <v>736</v>
      </c>
      <c r="BA101" s="443" t="s">
        <v>776</v>
      </c>
      <c r="BF101" s="478" t="s">
        <v>245</v>
      </c>
      <c r="BT101" s="174"/>
    </row>
    <row r="102" spans="22:72">
      <c r="V102" s="370" t="s">
        <v>777</v>
      </c>
      <c r="W102" s="12" t="s">
        <v>778</v>
      </c>
      <c r="X102" s="371" t="s">
        <v>779</v>
      </c>
      <c r="Y102" s="371" t="s">
        <v>780</v>
      </c>
      <c r="AV102" s="443" t="s">
        <v>781</v>
      </c>
      <c r="BA102" s="443" t="s">
        <v>665</v>
      </c>
      <c r="BF102" s="478" t="s">
        <v>782</v>
      </c>
      <c r="BT102" s="174"/>
    </row>
    <row r="103" spans="22:72">
      <c r="V103" s="370" t="s">
        <v>783</v>
      </c>
      <c r="W103" s="12" t="s">
        <v>784</v>
      </c>
      <c r="X103" s="371" t="s">
        <v>785</v>
      </c>
      <c r="Y103" s="371" t="s">
        <v>786</v>
      </c>
      <c r="AV103" s="443" t="s">
        <v>787</v>
      </c>
      <c r="BA103" s="443" t="s">
        <v>596</v>
      </c>
      <c r="BF103" s="478" t="s">
        <v>788</v>
      </c>
      <c r="BT103" s="174"/>
    </row>
    <row r="104" spans="22:72">
      <c r="V104" s="370" t="s">
        <v>789</v>
      </c>
      <c r="W104" s="12" t="s">
        <v>790</v>
      </c>
      <c r="X104" s="371" t="s">
        <v>791</v>
      </c>
      <c r="Y104" s="371" t="s">
        <v>792</v>
      </c>
      <c r="AV104" s="443" t="s">
        <v>793</v>
      </c>
      <c r="BA104" s="443" t="s">
        <v>794</v>
      </c>
      <c r="BT104" s="174"/>
    </row>
    <row r="105" spans="22:72">
      <c r="V105" s="370" t="s">
        <v>795</v>
      </c>
      <c r="W105" s="12" t="s">
        <v>796</v>
      </c>
      <c r="X105" s="371" t="s">
        <v>797</v>
      </c>
      <c r="Y105" s="371" t="s">
        <v>798</v>
      </c>
      <c r="AV105" s="443" t="s">
        <v>799</v>
      </c>
      <c r="BA105" s="443" t="s">
        <v>673</v>
      </c>
      <c r="BT105" s="174"/>
    </row>
    <row r="106" spans="22:72">
      <c r="V106" s="370" t="s">
        <v>800</v>
      </c>
      <c r="W106" s="12" t="s">
        <v>801</v>
      </c>
      <c r="X106" s="371" t="s">
        <v>802</v>
      </c>
      <c r="Y106" s="371" t="s">
        <v>803</v>
      </c>
      <c r="AV106" s="478" t="s">
        <v>804</v>
      </c>
      <c r="BA106" s="443" t="s">
        <v>560</v>
      </c>
      <c r="BT106" s="174"/>
    </row>
    <row r="107" spans="22:72">
      <c r="V107" s="370" t="s">
        <v>805</v>
      </c>
      <c r="W107" s="12" t="s">
        <v>806</v>
      </c>
      <c r="X107" s="371" t="s">
        <v>807</v>
      </c>
      <c r="Y107" s="371" t="s">
        <v>808</v>
      </c>
      <c r="BA107" s="443" t="s">
        <v>809</v>
      </c>
      <c r="BT107" s="174"/>
    </row>
    <row r="108" spans="22:72">
      <c r="V108" s="370" t="s">
        <v>810</v>
      </c>
      <c r="W108" s="12" t="s">
        <v>811</v>
      </c>
      <c r="X108" s="371" t="s">
        <v>812</v>
      </c>
      <c r="Y108" s="371" t="s">
        <v>813</v>
      </c>
      <c r="BA108" s="443" t="s">
        <v>814</v>
      </c>
      <c r="BT108" s="174"/>
    </row>
    <row r="109" spans="22:72">
      <c r="V109" s="370" t="s">
        <v>815</v>
      </c>
      <c r="W109" s="12" t="s">
        <v>816</v>
      </c>
      <c r="X109" s="371" t="s">
        <v>817</v>
      </c>
      <c r="Y109" s="371" t="s">
        <v>818</v>
      </c>
      <c r="BA109" s="443" t="s">
        <v>588</v>
      </c>
      <c r="BT109" s="174"/>
    </row>
    <row r="110" spans="22:72">
      <c r="V110" s="370" t="s">
        <v>819</v>
      </c>
      <c r="W110" s="12" t="s">
        <v>820</v>
      </c>
      <c r="X110" s="371" t="s">
        <v>821</v>
      </c>
      <c r="Y110" s="371" t="s">
        <v>822</v>
      </c>
      <c r="BA110" s="443" t="s">
        <v>731</v>
      </c>
      <c r="BT110" s="174"/>
    </row>
    <row r="111" spans="22:72">
      <c r="V111" s="370" t="s">
        <v>823</v>
      </c>
      <c r="W111" s="12" t="s">
        <v>824</v>
      </c>
      <c r="X111" s="371" t="s">
        <v>825</v>
      </c>
      <c r="Y111" s="371" t="s">
        <v>826</v>
      </c>
      <c r="BA111" s="443" t="s">
        <v>827</v>
      </c>
      <c r="BT111" s="174"/>
    </row>
    <row r="112" spans="22:72">
      <c r="V112" s="370" t="s">
        <v>828</v>
      </c>
      <c r="W112" s="12" t="s">
        <v>829</v>
      </c>
      <c r="X112" s="371" t="s">
        <v>830</v>
      </c>
      <c r="Y112" s="371" t="s">
        <v>831</v>
      </c>
      <c r="BA112" s="443" t="s">
        <v>832</v>
      </c>
      <c r="BT112" s="174"/>
    </row>
    <row r="113" spans="22:72">
      <c r="V113" s="370" t="s">
        <v>833</v>
      </c>
      <c r="W113" s="12" t="s">
        <v>834</v>
      </c>
      <c r="X113" s="371" t="s">
        <v>835</v>
      </c>
      <c r="Y113" s="371" t="s">
        <v>836</v>
      </c>
      <c r="BA113" s="443" t="s">
        <v>837</v>
      </c>
      <c r="BT113" s="174"/>
    </row>
    <row r="114" spans="22:72">
      <c r="V114" s="370" t="s">
        <v>838</v>
      </c>
      <c r="W114" s="12" t="s">
        <v>839</v>
      </c>
      <c r="X114" s="371" t="s">
        <v>840</v>
      </c>
      <c r="Y114" s="371" t="s">
        <v>841</v>
      </c>
      <c r="BA114" s="443" t="s">
        <v>842</v>
      </c>
      <c r="BT114" s="174"/>
    </row>
    <row r="115" spans="22:72">
      <c r="V115" s="370" t="s">
        <v>843</v>
      </c>
      <c r="W115" s="12" t="s">
        <v>844</v>
      </c>
      <c r="X115" s="371" t="s">
        <v>845</v>
      </c>
      <c r="Y115" s="371" t="s">
        <v>846</v>
      </c>
      <c r="BA115" s="443" t="s">
        <v>847</v>
      </c>
      <c r="BT115" s="174"/>
    </row>
    <row r="116" spans="22:72">
      <c r="V116" s="370" t="s">
        <v>848</v>
      </c>
      <c r="W116" s="12" t="s">
        <v>849</v>
      </c>
      <c r="X116" s="371" t="s">
        <v>850</v>
      </c>
      <c r="Y116" s="371" t="s">
        <v>851</v>
      </c>
      <c r="BA116" s="443" t="s">
        <v>852</v>
      </c>
      <c r="BT116" s="174"/>
    </row>
    <row r="117" spans="22:72">
      <c r="V117" s="370" t="s">
        <v>853</v>
      </c>
      <c r="W117" s="12" t="s">
        <v>854</v>
      </c>
      <c r="X117" s="371" t="s">
        <v>855</v>
      </c>
      <c r="Y117" s="371" t="s">
        <v>856</v>
      </c>
      <c r="BA117" s="443" t="s">
        <v>857</v>
      </c>
      <c r="BT117" s="174"/>
    </row>
    <row r="118" spans="22:72">
      <c r="V118" s="370" t="s">
        <v>858</v>
      </c>
      <c r="W118" s="12" t="s">
        <v>859</v>
      </c>
      <c r="X118" s="371" t="s">
        <v>860</v>
      </c>
      <c r="Y118" s="371" t="s">
        <v>861</v>
      </c>
      <c r="BA118" s="443" t="s">
        <v>862</v>
      </c>
      <c r="BT118" s="174"/>
    </row>
    <row r="119" spans="22:72">
      <c r="V119" s="370" t="s">
        <v>863</v>
      </c>
      <c r="W119" s="12" t="s">
        <v>864</v>
      </c>
      <c r="X119" s="371" t="s">
        <v>865</v>
      </c>
      <c r="Y119" s="371" t="s">
        <v>866</v>
      </c>
      <c r="BA119" s="443" t="s">
        <v>867</v>
      </c>
      <c r="BT119" s="174"/>
    </row>
    <row r="120" spans="22:72">
      <c r="V120" s="370" t="s">
        <v>868</v>
      </c>
      <c r="W120" s="12" t="s">
        <v>869</v>
      </c>
      <c r="X120" s="371" t="s">
        <v>870</v>
      </c>
      <c r="Y120" s="371" t="s">
        <v>871</v>
      </c>
      <c r="BA120" s="443" t="s">
        <v>872</v>
      </c>
      <c r="BT120" s="174"/>
    </row>
    <row r="121" spans="22:72">
      <c r="V121" s="370" t="s">
        <v>873</v>
      </c>
      <c r="W121" s="12" t="s">
        <v>874</v>
      </c>
      <c r="X121" s="371" t="s">
        <v>875</v>
      </c>
      <c r="Y121" s="371" t="s">
        <v>876</v>
      </c>
      <c r="BA121" s="443" t="s">
        <v>877</v>
      </c>
      <c r="BT121" s="174"/>
    </row>
    <row r="122" spans="22:72">
      <c r="V122" s="370" t="s">
        <v>878</v>
      </c>
      <c r="W122" s="12" t="s">
        <v>879</v>
      </c>
      <c r="X122" s="371" t="s">
        <v>880</v>
      </c>
      <c r="Y122" s="371" t="s">
        <v>881</v>
      </c>
      <c r="BA122" s="443" t="s">
        <v>882</v>
      </c>
      <c r="BT122" s="174"/>
    </row>
    <row r="123" spans="22:72">
      <c r="V123" s="370" t="s">
        <v>883</v>
      </c>
      <c r="W123" s="12" t="s">
        <v>884</v>
      </c>
      <c r="X123" s="371" t="s">
        <v>885</v>
      </c>
      <c r="Y123" s="371" t="s">
        <v>886</v>
      </c>
      <c r="BA123" s="443" t="s">
        <v>887</v>
      </c>
      <c r="BT123" s="174"/>
    </row>
    <row r="124" spans="22:72">
      <c r="V124" s="370" t="s">
        <v>888</v>
      </c>
      <c r="W124" s="12" t="s">
        <v>889</v>
      </c>
      <c r="X124" s="371" t="s">
        <v>890</v>
      </c>
      <c r="Y124" s="371" t="s">
        <v>891</v>
      </c>
      <c r="BA124" s="443" t="s">
        <v>892</v>
      </c>
      <c r="BT124" s="174"/>
    </row>
    <row r="125" spans="22:72">
      <c r="V125" s="370" t="s">
        <v>893</v>
      </c>
      <c r="W125" s="12" t="s">
        <v>894</v>
      </c>
      <c r="X125" s="371" t="s">
        <v>895</v>
      </c>
      <c r="Y125" s="371" t="s">
        <v>896</v>
      </c>
      <c r="BA125" s="443" t="s">
        <v>897</v>
      </c>
      <c r="BT125" s="174"/>
    </row>
    <row r="126" spans="22:72">
      <c r="V126" s="370" t="s">
        <v>898</v>
      </c>
      <c r="W126" s="12" t="s">
        <v>899</v>
      </c>
      <c r="X126" s="371" t="s">
        <v>900</v>
      </c>
      <c r="Y126" s="371" t="s">
        <v>901</v>
      </c>
      <c r="BA126" s="443" t="s">
        <v>902</v>
      </c>
      <c r="BT126" s="174"/>
    </row>
    <row r="127" spans="22:72">
      <c r="V127" s="370" t="s">
        <v>903</v>
      </c>
      <c r="W127" s="12" t="s">
        <v>904</v>
      </c>
      <c r="X127" s="371" t="s">
        <v>905</v>
      </c>
      <c r="Y127" s="371" t="s">
        <v>906</v>
      </c>
      <c r="BA127" s="443" t="s">
        <v>907</v>
      </c>
      <c r="BT127" s="174"/>
    </row>
    <row r="128" spans="22:72">
      <c r="V128" s="370" t="s">
        <v>908</v>
      </c>
      <c r="W128" s="12" t="s">
        <v>909</v>
      </c>
      <c r="X128" s="371" t="s">
        <v>910</v>
      </c>
      <c r="Y128" s="371" t="s">
        <v>911</v>
      </c>
      <c r="BA128" s="443" t="s">
        <v>741</v>
      </c>
      <c r="BT128" s="174"/>
    </row>
    <row r="129" spans="22:72">
      <c r="V129" s="370" t="s">
        <v>912</v>
      </c>
      <c r="W129" s="12" t="s">
        <v>913</v>
      </c>
      <c r="X129" s="371" t="s">
        <v>914</v>
      </c>
      <c r="Y129" s="371" t="s">
        <v>915</v>
      </c>
      <c r="BA129" s="443" t="s">
        <v>551</v>
      </c>
      <c r="BT129" s="174"/>
    </row>
    <row r="130" spans="22:72">
      <c r="V130" s="370" t="s">
        <v>916</v>
      </c>
      <c r="W130" s="12" t="s">
        <v>917</v>
      </c>
      <c r="X130" s="371" t="s">
        <v>918</v>
      </c>
      <c r="Y130" s="371" t="s">
        <v>919</v>
      </c>
      <c r="BA130" s="443" t="s">
        <v>920</v>
      </c>
      <c r="BT130" s="174"/>
    </row>
    <row r="131" spans="22:72">
      <c r="V131" s="370" t="s">
        <v>921</v>
      </c>
      <c r="W131" s="12" t="s">
        <v>922</v>
      </c>
      <c r="X131" s="371" t="s">
        <v>923</v>
      </c>
      <c r="Y131" s="371" t="s">
        <v>924</v>
      </c>
      <c r="BA131" s="443" t="s">
        <v>925</v>
      </c>
      <c r="BT131" s="174"/>
    </row>
    <row r="132" spans="22:72">
      <c r="V132" s="370" t="s">
        <v>926</v>
      </c>
      <c r="W132" s="12" t="s">
        <v>927</v>
      </c>
      <c r="X132" s="371" t="s">
        <v>928</v>
      </c>
      <c r="Y132" s="371" t="s">
        <v>929</v>
      </c>
      <c r="BA132" s="443" t="s">
        <v>930</v>
      </c>
      <c r="BT132" s="174"/>
    </row>
    <row r="133" spans="22:72">
      <c r="V133" s="370" t="s">
        <v>931</v>
      </c>
      <c r="W133" s="12" t="s">
        <v>932</v>
      </c>
      <c r="X133" s="371" t="s">
        <v>933</v>
      </c>
      <c r="Y133" s="371" t="s">
        <v>934</v>
      </c>
      <c r="BA133" s="443" t="s">
        <v>600</v>
      </c>
      <c r="BT133" s="174"/>
    </row>
    <row r="134" spans="22:72">
      <c r="V134" s="370" t="s">
        <v>935</v>
      </c>
      <c r="W134" s="12" t="s">
        <v>936</v>
      </c>
      <c r="X134" s="371" t="s">
        <v>937</v>
      </c>
      <c r="Y134" s="371" t="s">
        <v>938</v>
      </c>
      <c r="BA134" s="443" t="s">
        <v>939</v>
      </c>
      <c r="BT134" s="174"/>
    </row>
    <row r="135" spans="22:72">
      <c r="V135" s="370" t="s">
        <v>940</v>
      </c>
      <c r="W135" s="12" t="s">
        <v>941</v>
      </c>
      <c r="X135" s="371" t="s">
        <v>942</v>
      </c>
      <c r="Y135" s="371" t="s">
        <v>943</v>
      </c>
      <c r="BA135" s="443" t="s">
        <v>944</v>
      </c>
      <c r="BT135" s="174"/>
    </row>
    <row r="136" spans="22:72">
      <c r="V136" s="370" t="s">
        <v>945</v>
      </c>
      <c r="W136" s="12" t="s">
        <v>946</v>
      </c>
      <c r="X136" s="371" t="s">
        <v>947</v>
      </c>
      <c r="Y136" s="371" t="s">
        <v>948</v>
      </c>
      <c r="BA136" s="443" t="s">
        <v>719</v>
      </c>
      <c r="BT136" s="174"/>
    </row>
    <row r="137" spans="22:72">
      <c r="V137" s="370" t="s">
        <v>949</v>
      </c>
      <c r="W137" s="12" t="s">
        <v>950</v>
      </c>
      <c r="X137" s="371" t="s">
        <v>951</v>
      </c>
      <c r="Y137" s="371" t="s">
        <v>952</v>
      </c>
      <c r="BA137" s="443" t="s">
        <v>953</v>
      </c>
      <c r="BT137" s="174"/>
    </row>
    <row r="138" spans="22:72">
      <c r="V138" s="370" t="s">
        <v>954</v>
      </c>
      <c r="W138" s="12" t="s">
        <v>955</v>
      </c>
      <c r="X138" s="371" t="s">
        <v>956</v>
      </c>
      <c r="Y138" s="371" t="s">
        <v>957</v>
      </c>
      <c r="BA138" s="443" t="s">
        <v>958</v>
      </c>
      <c r="BT138" s="174"/>
    </row>
    <row r="139" spans="22:72">
      <c r="V139" s="370" t="s">
        <v>959</v>
      </c>
      <c r="W139" s="12" t="s">
        <v>960</v>
      </c>
      <c r="X139" s="371" t="s">
        <v>961</v>
      </c>
      <c r="Y139" s="371" t="s">
        <v>962</v>
      </c>
      <c r="BA139" s="443" t="s">
        <v>963</v>
      </c>
      <c r="BT139" s="174"/>
    </row>
    <row r="140" spans="22:72">
      <c r="V140" s="370" t="s">
        <v>964</v>
      </c>
      <c r="W140" s="12" t="s">
        <v>965</v>
      </c>
      <c r="X140" s="371" t="s">
        <v>966</v>
      </c>
      <c r="Y140" s="371" t="s">
        <v>967</v>
      </c>
      <c r="BA140" s="443" t="s">
        <v>968</v>
      </c>
      <c r="BT140" s="174"/>
    </row>
    <row r="141" spans="22:72">
      <c r="V141" s="370" t="s">
        <v>969</v>
      </c>
      <c r="W141" s="12" t="s">
        <v>970</v>
      </c>
      <c r="X141" s="371" t="s">
        <v>971</v>
      </c>
      <c r="Y141" s="371" t="s">
        <v>972</v>
      </c>
      <c r="BA141" s="443" t="s">
        <v>660</v>
      </c>
      <c r="BT141" s="174"/>
    </row>
    <row r="142" spans="22:72">
      <c r="V142" s="370" t="s">
        <v>973</v>
      </c>
      <c r="W142" s="12" t="s">
        <v>974</v>
      </c>
      <c r="X142" s="371" t="s">
        <v>975</v>
      </c>
      <c r="Y142" s="371" t="s">
        <v>976</v>
      </c>
      <c r="BA142" s="443" t="s">
        <v>977</v>
      </c>
      <c r="BT142" s="174"/>
    </row>
    <row r="143" spans="22:72">
      <c r="V143" s="370" t="s">
        <v>978</v>
      </c>
      <c r="W143" s="12" t="s">
        <v>979</v>
      </c>
      <c r="X143" s="371" t="s">
        <v>980</v>
      </c>
      <c r="Y143" s="371" t="s">
        <v>981</v>
      </c>
      <c r="BA143" s="443" t="s">
        <v>571</v>
      </c>
      <c r="BT143" s="174"/>
    </row>
    <row r="144" spans="22:72">
      <c r="V144" s="370" t="s">
        <v>982</v>
      </c>
      <c r="W144" s="12" t="s">
        <v>983</v>
      </c>
      <c r="X144" s="371" t="s">
        <v>984</v>
      </c>
      <c r="Y144" s="371" t="s">
        <v>985</v>
      </c>
      <c r="BA144" s="443" t="s">
        <v>986</v>
      </c>
      <c r="BT144" s="174"/>
    </row>
    <row r="145" spans="22:72">
      <c r="V145" s="370" t="s">
        <v>987</v>
      </c>
      <c r="W145" s="12" t="s">
        <v>988</v>
      </c>
      <c r="X145" s="371" t="s">
        <v>989</v>
      </c>
      <c r="Y145" s="371" t="s">
        <v>990</v>
      </c>
      <c r="BA145" s="443" t="s">
        <v>991</v>
      </c>
      <c r="BT145" s="174"/>
    </row>
    <row r="146" spans="22:72">
      <c r="V146" s="370" t="s">
        <v>992</v>
      </c>
      <c r="W146" s="12" t="s">
        <v>993</v>
      </c>
      <c r="X146" s="371" t="s">
        <v>994</v>
      </c>
      <c r="Y146" s="371" t="s">
        <v>995</v>
      </c>
      <c r="BA146" s="443" t="s">
        <v>996</v>
      </c>
      <c r="BT146" s="174"/>
    </row>
    <row r="147" spans="22:72">
      <c r="V147" s="370" t="s">
        <v>997</v>
      </c>
      <c r="W147" s="12" t="s">
        <v>998</v>
      </c>
      <c r="X147" s="371" t="s">
        <v>999</v>
      </c>
      <c r="Y147" s="371" t="s">
        <v>1000</v>
      </c>
      <c r="BA147" s="443" t="s">
        <v>1001</v>
      </c>
      <c r="BT147" s="174"/>
    </row>
    <row r="148" spans="22:72">
      <c r="V148" s="370" t="s">
        <v>1002</v>
      </c>
      <c r="W148" s="12" t="s">
        <v>1003</v>
      </c>
      <c r="X148" s="371" t="s">
        <v>1004</v>
      </c>
      <c r="Y148" s="394" t="s">
        <v>1005</v>
      </c>
      <c r="BA148" s="443" t="s">
        <v>1006</v>
      </c>
      <c r="BT148" s="174"/>
    </row>
    <row r="149" spans="22:72">
      <c r="V149" s="370" t="s">
        <v>1007</v>
      </c>
      <c r="W149" s="12" t="s">
        <v>1008</v>
      </c>
      <c r="X149" s="371" t="s">
        <v>1009</v>
      </c>
      <c r="Y149" s="371" t="s">
        <v>1010</v>
      </c>
      <c r="BA149" s="443" t="s">
        <v>1011</v>
      </c>
      <c r="BT149" s="174"/>
    </row>
    <row r="150" spans="22:72">
      <c r="V150" s="370" t="s">
        <v>1012</v>
      </c>
      <c r="W150" s="12" t="s">
        <v>1013</v>
      </c>
      <c r="X150" s="371" t="s">
        <v>1014</v>
      </c>
      <c r="Y150" s="371" t="s">
        <v>1015</v>
      </c>
      <c r="BA150" s="443" t="s">
        <v>1016</v>
      </c>
      <c r="BT150" s="174"/>
    </row>
    <row r="151" spans="22:72">
      <c r="V151" s="370" t="s">
        <v>1017</v>
      </c>
      <c r="W151" s="12" t="s">
        <v>1018</v>
      </c>
      <c r="X151" s="371" t="s">
        <v>1019</v>
      </c>
      <c r="Y151" s="371" t="s">
        <v>1020</v>
      </c>
      <c r="BA151" s="443" t="s">
        <v>1021</v>
      </c>
      <c r="BT151" s="174"/>
    </row>
    <row r="152" spans="22:72">
      <c r="V152" s="370" t="s">
        <v>1022</v>
      </c>
      <c r="W152" s="12" t="s">
        <v>1023</v>
      </c>
      <c r="X152" s="371" t="s">
        <v>1024</v>
      </c>
      <c r="Y152" s="371" t="s">
        <v>1025</v>
      </c>
      <c r="BA152" s="443" t="s">
        <v>1026</v>
      </c>
      <c r="BT152" s="174"/>
    </row>
    <row r="153" spans="22:72">
      <c r="V153" s="370" t="s">
        <v>1027</v>
      </c>
      <c r="W153" s="12" t="s">
        <v>1028</v>
      </c>
      <c r="X153" s="371" t="s">
        <v>1029</v>
      </c>
      <c r="Y153" s="371" t="s">
        <v>1030</v>
      </c>
      <c r="BA153" s="443" t="s">
        <v>1031</v>
      </c>
      <c r="BT153" s="174"/>
    </row>
    <row r="154" spans="22:72">
      <c r="V154" s="370" t="s">
        <v>1032</v>
      </c>
      <c r="W154" s="12" t="s">
        <v>1033</v>
      </c>
      <c r="X154" s="371" t="s">
        <v>1034</v>
      </c>
      <c r="Y154" s="371" t="s">
        <v>1035</v>
      </c>
      <c r="BA154" s="443" t="s">
        <v>1036</v>
      </c>
      <c r="BT154" s="174"/>
    </row>
    <row r="155" spans="22:72">
      <c r="V155" s="370" t="s">
        <v>1037</v>
      </c>
      <c r="W155" s="12" t="s">
        <v>1038</v>
      </c>
      <c r="X155" s="371" t="s">
        <v>1039</v>
      </c>
      <c r="Y155" s="371" t="s">
        <v>1040</v>
      </c>
      <c r="BA155" s="443" t="s">
        <v>1041</v>
      </c>
      <c r="BT155" s="174"/>
    </row>
    <row r="156" spans="22:72">
      <c r="V156" s="370" t="s">
        <v>1042</v>
      </c>
      <c r="W156" s="12" t="s">
        <v>1043</v>
      </c>
      <c r="X156" s="371" t="s">
        <v>1044</v>
      </c>
      <c r="Y156" s="371" t="s">
        <v>1045</v>
      </c>
      <c r="BA156" s="443" t="s">
        <v>1046</v>
      </c>
      <c r="BT156" s="174"/>
    </row>
    <row r="157" spans="22:72">
      <c r="V157" s="370" t="s">
        <v>1047</v>
      </c>
      <c r="W157" s="12" t="s">
        <v>1048</v>
      </c>
      <c r="X157" s="371" t="s">
        <v>1049</v>
      </c>
      <c r="Y157" s="371" t="s">
        <v>1050</v>
      </c>
      <c r="BA157" s="443" t="s">
        <v>1051</v>
      </c>
      <c r="BT157" s="174"/>
    </row>
    <row r="158" spans="22:72">
      <c r="V158" s="370" t="s">
        <v>1052</v>
      </c>
      <c r="W158" s="12" t="s">
        <v>1053</v>
      </c>
      <c r="X158" s="371" t="s">
        <v>1054</v>
      </c>
      <c r="Y158" s="371" t="s">
        <v>1055</v>
      </c>
      <c r="BA158" s="443" t="s">
        <v>1056</v>
      </c>
      <c r="BT158" s="174"/>
    </row>
    <row r="159" spans="22:72">
      <c r="V159" s="370" t="s">
        <v>1057</v>
      </c>
      <c r="W159" s="12" t="s">
        <v>1058</v>
      </c>
      <c r="X159" s="371" t="s">
        <v>1059</v>
      </c>
      <c r="Y159" s="371" t="s">
        <v>1060</v>
      </c>
      <c r="BA159" s="443" t="s">
        <v>561</v>
      </c>
      <c r="BT159" s="174"/>
    </row>
    <row r="160" spans="22:72">
      <c r="V160" s="370" t="s">
        <v>1061</v>
      </c>
      <c r="W160" s="12" t="s">
        <v>1062</v>
      </c>
      <c r="X160" s="371" t="s">
        <v>1063</v>
      </c>
      <c r="Y160" s="371" t="s">
        <v>1064</v>
      </c>
      <c r="BA160" s="443" t="s">
        <v>1065</v>
      </c>
      <c r="BT160" s="174"/>
    </row>
    <row r="161" spans="22:72">
      <c r="V161" s="370" t="s">
        <v>1066</v>
      </c>
      <c r="W161" s="12" t="s">
        <v>1067</v>
      </c>
      <c r="X161" s="371" t="s">
        <v>1068</v>
      </c>
      <c r="Y161" s="371" t="s">
        <v>1069</v>
      </c>
      <c r="BA161" s="443" t="s">
        <v>610</v>
      </c>
      <c r="BT161" s="174"/>
    </row>
    <row r="162" spans="22:72">
      <c r="V162" s="370" t="s">
        <v>1070</v>
      </c>
      <c r="W162" s="12" t="s">
        <v>1071</v>
      </c>
      <c r="X162" s="371" t="s">
        <v>1072</v>
      </c>
      <c r="Y162" s="371" t="s">
        <v>1073</v>
      </c>
      <c r="BA162" s="443" t="s">
        <v>1074</v>
      </c>
      <c r="BT162" s="174"/>
    </row>
    <row r="163" spans="22:72">
      <c r="V163" s="370" t="s">
        <v>1075</v>
      </c>
      <c r="W163" s="12" t="s">
        <v>1076</v>
      </c>
      <c r="X163" s="371" t="s">
        <v>1077</v>
      </c>
      <c r="Y163" s="371" t="s">
        <v>1078</v>
      </c>
      <c r="BA163" s="443" t="s">
        <v>1079</v>
      </c>
      <c r="BT163" s="174"/>
    </row>
    <row r="164" spans="22:72">
      <c r="V164" s="370" t="s">
        <v>1080</v>
      </c>
      <c r="W164" s="12" t="s">
        <v>1081</v>
      </c>
      <c r="X164" s="371" t="s">
        <v>1082</v>
      </c>
      <c r="Y164" s="371" t="s">
        <v>1083</v>
      </c>
      <c r="BA164" s="443" t="s">
        <v>1084</v>
      </c>
      <c r="BT164" s="174"/>
    </row>
    <row r="165" spans="22:72">
      <c r="V165" s="370" t="s">
        <v>1085</v>
      </c>
      <c r="W165" s="12" t="s">
        <v>1086</v>
      </c>
      <c r="X165" s="371" t="s">
        <v>1087</v>
      </c>
      <c r="Y165" s="371" t="s">
        <v>1088</v>
      </c>
      <c r="BA165" s="443" t="s">
        <v>1089</v>
      </c>
      <c r="BT165" s="174"/>
    </row>
    <row r="166" spans="22:72">
      <c r="V166" s="370" t="s">
        <v>1090</v>
      </c>
      <c r="W166" s="12" t="s">
        <v>1091</v>
      </c>
      <c r="X166" s="371" t="s">
        <v>1092</v>
      </c>
      <c r="Y166" s="371" t="s">
        <v>1093</v>
      </c>
      <c r="BA166" s="443" t="s">
        <v>1094</v>
      </c>
      <c r="BT166" s="174"/>
    </row>
    <row r="167" spans="22:72">
      <c r="V167" s="370" t="s">
        <v>1095</v>
      </c>
      <c r="W167" s="12" t="s">
        <v>1096</v>
      </c>
      <c r="X167" s="371" t="s">
        <v>1097</v>
      </c>
      <c r="Y167" s="371" t="s">
        <v>1098</v>
      </c>
      <c r="BA167" s="443" t="s">
        <v>1099</v>
      </c>
      <c r="BT167" s="174"/>
    </row>
    <row r="168" spans="22:72">
      <c r="V168" s="370" t="s">
        <v>1100</v>
      </c>
      <c r="W168" s="12" t="s">
        <v>1101</v>
      </c>
      <c r="X168" s="371" t="s">
        <v>1102</v>
      </c>
      <c r="Y168" s="371" t="s">
        <v>1103</v>
      </c>
      <c r="BA168" s="443" t="s">
        <v>1104</v>
      </c>
      <c r="BT168" s="174"/>
    </row>
    <row r="169" spans="22:72">
      <c r="V169" s="370" t="s">
        <v>1105</v>
      </c>
      <c r="W169" s="12" t="s">
        <v>1106</v>
      </c>
      <c r="X169" s="371" t="s">
        <v>1107</v>
      </c>
      <c r="Y169" s="371" t="s">
        <v>1108</v>
      </c>
      <c r="BA169" s="443" t="s">
        <v>1109</v>
      </c>
      <c r="BT169" s="174"/>
    </row>
    <row r="170" spans="22:72">
      <c r="V170" s="370" t="s">
        <v>1110</v>
      </c>
      <c r="W170" s="12" t="s">
        <v>1111</v>
      </c>
      <c r="X170" s="371" t="s">
        <v>1112</v>
      </c>
      <c r="Y170" s="371" t="s">
        <v>1113</v>
      </c>
      <c r="BA170" s="443" t="s">
        <v>1114</v>
      </c>
      <c r="BT170" s="174"/>
    </row>
    <row r="171" spans="22:72">
      <c r="V171" s="370" t="s">
        <v>1115</v>
      </c>
      <c r="W171" s="12" t="s">
        <v>1116</v>
      </c>
      <c r="X171" s="371" t="s">
        <v>1117</v>
      </c>
      <c r="Y171" s="371" t="s">
        <v>1118</v>
      </c>
      <c r="BA171" s="443" t="s">
        <v>1119</v>
      </c>
      <c r="BT171" s="174"/>
    </row>
    <row r="172" spans="22:72">
      <c r="V172" s="370" t="s">
        <v>1120</v>
      </c>
      <c r="W172" s="12" t="s">
        <v>1121</v>
      </c>
      <c r="X172" s="371" t="s">
        <v>1122</v>
      </c>
      <c r="Y172" s="371" t="s">
        <v>1123</v>
      </c>
      <c r="BA172" s="443" t="s">
        <v>1124</v>
      </c>
      <c r="BT172" s="174"/>
    </row>
    <row r="173" spans="22:72">
      <c r="V173" s="370" t="s">
        <v>1125</v>
      </c>
      <c r="W173" s="12" t="s">
        <v>1126</v>
      </c>
      <c r="X173" s="371" t="s">
        <v>1127</v>
      </c>
      <c r="Y173" s="371" t="s">
        <v>1128</v>
      </c>
      <c r="BA173" s="443" t="s">
        <v>676</v>
      </c>
      <c r="BT173" s="174"/>
    </row>
    <row r="174" spans="22:72">
      <c r="V174" s="370" t="s">
        <v>1129</v>
      </c>
      <c r="W174" s="12" t="s">
        <v>1130</v>
      </c>
      <c r="X174" s="371" t="s">
        <v>1131</v>
      </c>
      <c r="Y174" s="371" t="s">
        <v>1132</v>
      </c>
      <c r="BA174" s="443" t="s">
        <v>1133</v>
      </c>
      <c r="BT174" s="14"/>
    </row>
    <row r="175" spans="22:72">
      <c r="V175" s="370" t="s">
        <v>1134</v>
      </c>
      <c r="W175" s="12" t="s">
        <v>1135</v>
      </c>
      <c r="X175" s="371" t="s">
        <v>1136</v>
      </c>
      <c r="Y175" s="371" t="s">
        <v>1137</v>
      </c>
      <c r="BA175" s="443" t="s">
        <v>1138</v>
      </c>
      <c r="BT175" s="174"/>
    </row>
    <row r="176" spans="22:72">
      <c r="V176" s="370" t="s">
        <v>1139</v>
      </c>
      <c r="W176" s="12" t="s">
        <v>1140</v>
      </c>
      <c r="X176" s="371" t="s">
        <v>1141</v>
      </c>
      <c r="Y176" s="371" t="s">
        <v>1142</v>
      </c>
      <c r="BA176" s="443" t="s">
        <v>1143</v>
      </c>
      <c r="BT176" s="174"/>
    </row>
    <row r="177" spans="22:72">
      <c r="V177" s="370" t="s">
        <v>1144</v>
      </c>
      <c r="W177" s="12" t="s">
        <v>1145</v>
      </c>
      <c r="X177" s="371" t="s">
        <v>1146</v>
      </c>
      <c r="Y177" s="371" t="s">
        <v>1147</v>
      </c>
      <c r="BA177" s="443" t="s">
        <v>1148</v>
      </c>
      <c r="BT177" s="174"/>
    </row>
    <row r="178" spans="22:72">
      <c r="V178" s="370" t="s">
        <v>1149</v>
      </c>
      <c r="W178" s="12" t="s">
        <v>1150</v>
      </c>
      <c r="X178" s="371" t="s">
        <v>1151</v>
      </c>
      <c r="Y178" s="371" t="s">
        <v>1152</v>
      </c>
      <c r="BA178" s="443" t="s">
        <v>1153</v>
      </c>
      <c r="BT178" s="174"/>
    </row>
    <row r="179" spans="22:72">
      <c r="V179" s="370" t="s">
        <v>1154</v>
      </c>
      <c r="W179" s="12" t="s">
        <v>1155</v>
      </c>
      <c r="X179" s="371" t="s">
        <v>1156</v>
      </c>
      <c r="Y179" s="371" t="s">
        <v>1157</v>
      </c>
      <c r="BA179" s="443" t="s">
        <v>752</v>
      </c>
      <c r="BT179" s="174"/>
    </row>
    <row r="180" spans="22:72">
      <c r="V180" s="370" t="s">
        <v>1158</v>
      </c>
      <c r="W180" s="12" t="s">
        <v>1159</v>
      </c>
      <c r="X180" s="371" t="s">
        <v>1160</v>
      </c>
      <c r="Y180" s="371" t="s">
        <v>1161</v>
      </c>
      <c r="BA180" s="443" t="s">
        <v>1162</v>
      </c>
      <c r="BT180" s="174"/>
    </row>
    <row r="181" spans="22:72">
      <c r="V181" s="370" t="s">
        <v>1163</v>
      </c>
      <c r="W181" s="12" t="s">
        <v>1164</v>
      </c>
      <c r="X181" s="371" t="s">
        <v>1165</v>
      </c>
      <c r="Y181" s="371" t="s">
        <v>1166</v>
      </c>
      <c r="BA181" s="443" t="s">
        <v>804</v>
      </c>
      <c r="BT181" s="174"/>
    </row>
    <row r="182" spans="22:72">
      <c r="V182" s="370" t="s">
        <v>1167</v>
      </c>
      <c r="W182" s="12" t="s">
        <v>1168</v>
      </c>
      <c r="X182" s="371" t="s">
        <v>1169</v>
      </c>
      <c r="Y182" s="371" t="s">
        <v>1170</v>
      </c>
      <c r="BA182" s="443" t="s">
        <v>1171</v>
      </c>
      <c r="BT182" s="174"/>
    </row>
    <row r="183" spans="22:72">
      <c r="V183" s="370" t="s">
        <v>1172</v>
      </c>
      <c r="W183" s="12" t="s">
        <v>1173</v>
      </c>
      <c r="X183" s="371" t="s">
        <v>1174</v>
      </c>
      <c r="Y183" s="371" t="s">
        <v>1175</v>
      </c>
      <c r="BA183" s="443" t="s">
        <v>1176</v>
      </c>
      <c r="BT183" s="174"/>
    </row>
    <row r="184" spans="22:72">
      <c r="V184" s="370" t="s">
        <v>1177</v>
      </c>
      <c r="W184" s="12" t="s">
        <v>1178</v>
      </c>
      <c r="X184" s="371" t="s">
        <v>1179</v>
      </c>
      <c r="Y184" s="371" t="s">
        <v>1180</v>
      </c>
      <c r="BA184" s="443" t="s">
        <v>1181</v>
      </c>
      <c r="BT184" s="174"/>
    </row>
    <row r="185" spans="22:72">
      <c r="V185" s="370" t="s">
        <v>1182</v>
      </c>
      <c r="W185" s="12" t="s">
        <v>1183</v>
      </c>
      <c r="X185" s="371" t="s">
        <v>1184</v>
      </c>
      <c r="Y185" s="371" t="s">
        <v>1185</v>
      </c>
      <c r="BA185" s="443" t="s">
        <v>1186</v>
      </c>
      <c r="BT185" s="174"/>
    </row>
    <row r="186" spans="22:72">
      <c r="V186" s="370" t="s">
        <v>1187</v>
      </c>
      <c r="W186" s="12" t="s">
        <v>1188</v>
      </c>
      <c r="X186" s="371" t="s">
        <v>1189</v>
      </c>
      <c r="Y186" s="371" t="s">
        <v>1190</v>
      </c>
      <c r="BA186" s="443" t="s">
        <v>1191</v>
      </c>
      <c r="BT186" s="174"/>
    </row>
    <row r="187" spans="22:72">
      <c r="V187" s="370" t="s">
        <v>1192</v>
      </c>
      <c r="W187" s="12" t="s">
        <v>1193</v>
      </c>
      <c r="X187" s="371" t="s">
        <v>1194</v>
      </c>
      <c r="Y187" s="371" t="s">
        <v>1195</v>
      </c>
      <c r="BA187" s="443" t="s">
        <v>1196</v>
      </c>
      <c r="BT187" s="174"/>
    </row>
    <row r="188" spans="22:72">
      <c r="V188" s="370" t="s">
        <v>1197</v>
      </c>
      <c r="W188" s="12" t="s">
        <v>1198</v>
      </c>
      <c r="X188" s="371" t="s">
        <v>1199</v>
      </c>
      <c r="Y188" s="371" t="s">
        <v>1200</v>
      </c>
      <c r="BA188" s="443" t="s">
        <v>1201</v>
      </c>
      <c r="BT188" s="174"/>
    </row>
    <row r="189" spans="22:72">
      <c r="V189" s="370" t="s">
        <v>1202</v>
      </c>
      <c r="W189" s="12" t="s">
        <v>1203</v>
      </c>
      <c r="X189" s="371" t="s">
        <v>1204</v>
      </c>
      <c r="Y189" s="371" t="s">
        <v>1205</v>
      </c>
      <c r="BA189" s="478" t="s">
        <v>634</v>
      </c>
      <c r="BT189" s="174"/>
    </row>
    <row r="190" spans="22:72">
      <c r="V190" s="370" t="s">
        <v>1206</v>
      </c>
      <c r="W190" s="12" t="s">
        <v>1207</v>
      </c>
      <c r="X190" s="371" t="s">
        <v>1208</v>
      </c>
      <c r="Y190" s="371" t="s">
        <v>1209</v>
      </c>
      <c r="BT190" s="174"/>
    </row>
    <row r="191" spans="22:72">
      <c r="V191" s="370" t="s">
        <v>1210</v>
      </c>
      <c r="W191" s="12" t="s">
        <v>1211</v>
      </c>
      <c r="X191" s="371" t="s">
        <v>1212</v>
      </c>
      <c r="Y191" s="371" t="s">
        <v>1213</v>
      </c>
      <c r="BT191" s="174"/>
    </row>
    <row r="192" spans="22:72">
      <c r="V192" s="370" t="s">
        <v>1214</v>
      </c>
      <c r="W192" s="12" t="s">
        <v>1215</v>
      </c>
      <c r="X192" s="371" t="s">
        <v>1216</v>
      </c>
      <c r="Y192" s="371" t="s">
        <v>1217</v>
      </c>
      <c r="BT192" s="174"/>
    </row>
    <row r="193" spans="22:72">
      <c r="V193" s="370" t="s">
        <v>1218</v>
      </c>
      <c r="W193" s="12" t="s">
        <v>1219</v>
      </c>
      <c r="X193" s="371" t="s">
        <v>1220</v>
      </c>
      <c r="Y193" s="371" t="s">
        <v>1221</v>
      </c>
      <c r="BT193" s="174"/>
    </row>
    <row r="194" spans="22:72">
      <c r="V194" s="370" t="s">
        <v>1222</v>
      </c>
      <c r="W194" s="12" t="s">
        <v>1223</v>
      </c>
      <c r="X194" s="371" t="s">
        <v>1224</v>
      </c>
      <c r="Y194" s="371" t="s">
        <v>1225</v>
      </c>
      <c r="BT194" s="174"/>
    </row>
    <row r="195" spans="22:72">
      <c r="V195" s="370" t="s">
        <v>1226</v>
      </c>
      <c r="W195" s="12" t="s">
        <v>1227</v>
      </c>
      <c r="X195" s="371" t="s">
        <v>1228</v>
      </c>
      <c r="Y195" s="371" t="s">
        <v>1229</v>
      </c>
      <c r="BT195" s="174"/>
    </row>
    <row r="196" spans="22:72">
      <c r="V196" s="370" t="s">
        <v>1230</v>
      </c>
      <c r="W196" s="12" t="s">
        <v>1231</v>
      </c>
      <c r="X196" s="371" t="s">
        <v>1232</v>
      </c>
      <c r="Y196" s="371" t="s">
        <v>1233</v>
      </c>
      <c r="BT196" s="174"/>
    </row>
    <row r="197" spans="22:72">
      <c r="V197" s="370" t="s">
        <v>1234</v>
      </c>
      <c r="W197" s="12" t="s">
        <v>1235</v>
      </c>
      <c r="X197" s="371" t="s">
        <v>1236</v>
      </c>
      <c r="Y197" s="371" t="s">
        <v>1237</v>
      </c>
      <c r="BT197" s="174"/>
    </row>
    <row r="198" spans="22:72">
      <c r="V198" s="370" t="s">
        <v>1238</v>
      </c>
      <c r="W198" s="12" t="s">
        <v>1239</v>
      </c>
      <c r="X198" s="371" t="s">
        <v>1240</v>
      </c>
      <c r="Y198" s="371" t="s">
        <v>1241</v>
      </c>
      <c r="BT198" s="174"/>
    </row>
    <row r="199" spans="22:72">
      <c r="V199" s="370" t="s">
        <v>1242</v>
      </c>
      <c r="W199" s="12" t="s">
        <v>1243</v>
      </c>
      <c r="X199" s="371" t="s">
        <v>1244</v>
      </c>
      <c r="Y199" s="371" t="s">
        <v>1245</v>
      </c>
      <c r="BT199" s="174"/>
    </row>
    <row r="200" spans="22:72">
      <c r="V200" s="370" t="s">
        <v>1246</v>
      </c>
      <c r="W200" s="12" t="s">
        <v>1247</v>
      </c>
      <c r="X200" s="371" t="s">
        <v>1248</v>
      </c>
      <c r="Y200" s="371" t="s">
        <v>1249</v>
      </c>
      <c r="BT200" s="174"/>
    </row>
    <row r="201" spans="22:72">
      <c r="V201" s="370" t="s">
        <v>1250</v>
      </c>
      <c r="W201" s="12" t="s">
        <v>1251</v>
      </c>
      <c r="X201" s="371" t="s">
        <v>1252</v>
      </c>
      <c r="Y201" s="371" t="s">
        <v>1253</v>
      </c>
      <c r="BT201" s="174"/>
    </row>
    <row r="202" spans="22:72">
      <c r="V202" s="370" t="s">
        <v>1254</v>
      </c>
      <c r="W202" s="12" t="s">
        <v>1255</v>
      </c>
      <c r="X202" s="371" t="s">
        <v>1256</v>
      </c>
      <c r="Y202" s="371" t="s">
        <v>1257</v>
      </c>
      <c r="BT202" s="174"/>
    </row>
    <row r="203" spans="22:72">
      <c r="V203" s="370" t="s">
        <v>1258</v>
      </c>
      <c r="W203" s="12" t="s">
        <v>1259</v>
      </c>
      <c r="X203" s="371" t="s">
        <v>1260</v>
      </c>
      <c r="Y203" s="371" t="s">
        <v>1261</v>
      </c>
      <c r="BT203" s="174"/>
    </row>
    <row r="204" spans="22:72">
      <c r="V204" s="370" t="s">
        <v>1262</v>
      </c>
      <c r="W204" s="12" t="s">
        <v>1263</v>
      </c>
      <c r="X204" s="371" t="s">
        <v>1264</v>
      </c>
      <c r="Y204" s="371" t="s">
        <v>1265</v>
      </c>
      <c r="BT204" s="174"/>
    </row>
    <row r="205" spans="22:72">
      <c r="V205" s="370" t="s">
        <v>1266</v>
      </c>
      <c r="W205" s="12" t="s">
        <v>1267</v>
      </c>
      <c r="X205" s="371" t="s">
        <v>1268</v>
      </c>
      <c r="Y205" s="371" t="s">
        <v>1269</v>
      </c>
      <c r="BT205" s="174"/>
    </row>
    <row r="206" spans="22:72">
      <c r="V206" s="370" t="s">
        <v>1270</v>
      </c>
      <c r="W206" s="12" t="s">
        <v>1271</v>
      </c>
      <c r="X206" s="371" t="s">
        <v>1272</v>
      </c>
      <c r="Y206" s="371" t="s">
        <v>1273</v>
      </c>
      <c r="BT206" s="174"/>
    </row>
    <row r="207" spans="22:72">
      <c r="V207" s="370" t="s">
        <v>1274</v>
      </c>
      <c r="W207" s="12" t="s">
        <v>1275</v>
      </c>
      <c r="X207" s="371" t="s">
        <v>1276</v>
      </c>
      <c r="Y207" s="371" t="s">
        <v>1277</v>
      </c>
      <c r="BT207" s="174"/>
    </row>
    <row r="208" spans="22:72">
      <c r="V208" s="370" t="s">
        <v>1278</v>
      </c>
      <c r="W208" s="12" t="s">
        <v>1279</v>
      </c>
      <c r="X208" s="371" t="s">
        <v>1280</v>
      </c>
      <c r="Y208" s="371" t="s">
        <v>1281</v>
      </c>
      <c r="BT208" s="174"/>
    </row>
    <row r="209" spans="22:72">
      <c r="V209" s="370" t="s">
        <v>1282</v>
      </c>
      <c r="W209" s="12" t="s">
        <v>1283</v>
      </c>
      <c r="X209" s="371" t="s">
        <v>1284</v>
      </c>
      <c r="Y209" s="371" t="s">
        <v>1285</v>
      </c>
      <c r="BT209" s="174"/>
    </row>
    <row r="210" spans="22:72">
      <c r="V210" s="370" t="s">
        <v>1286</v>
      </c>
      <c r="W210" s="12" t="s">
        <v>1287</v>
      </c>
      <c r="X210" s="371" t="s">
        <v>1288</v>
      </c>
      <c r="Y210" s="371" t="s">
        <v>1289</v>
      </c>
      <c r="BT210" s="174"/>
    </row>
    <row r="211" spans="22:72">
      <c r="V211" s="370" t="s">
        <v>1290</v>
      </c>
      <c r="W211" s="12" t="s">
        <v>1291</v>
      </c>
      <c r="X211" s="371" t="s">
        <v>1292</v>
      </c>
      <c r="Y211" s="371" t="s">
        <v>1293</v>
      </c>
      <c r="BT211" s="174"/>
    </row>
    <row r="212" spans="22:72">
      <c r="V212" s="370" t="s">
        <v>1294</v>
      </c>
      <c r="W212" s="12" t="s">
        <v>1295</v>
      </c>
      <c r="X212" s="371" t="s">
        <v>1296</v>
      </c>
      <c r="Y212" s="371" t="s">
        <v>1297</v>
      </c>
      <c r="BT212" s="174"/>
    </row>
    <row r="213" spans="22:72">
      <c r="V213" s="370" t="s">
        <v>1298</v>
      </c>
      <c r="W213" s="12" t="s">
        <v>1299</v>
      </c>
      <c r="X213" s="371" t="s">
        <v>1300</v>
      </c>
      <c r="Y213" s="371" t="s">
        <v>1301</v>
      </c>
      <c r="BT213" s="174"/>
    </row>
    <row r="214" spans="22:72">
      <c r="V214" s="370" t="s">
        <v>1302</v>
      </c>
      <c r="W214" s="12" t="s">
        <v>1303</v>
      </c>
      <c r="X214" s="371" t="s">
        <v>1304</v>
      </c>
      <c r="Y214" s="371" t="s">
        <v>1305</v>
      </c>
      <c r="BT214" s="174"/>
    </row>
    <row r="215" spans="22:72">
      <c r="V215" s="370" t="s">
        <v>1306</v>
      </c>
      <c r="W215" s="12" t="s">
        <v>1307</v>
      </c>
      <c r="X215" s="371" t="s">
        <v>1308</v>
      </c>
      <c r="Y215" s="371" t="s">
        <v>1309</v>
      </c>
      <c r="BT215" s="174"/>
    </row>
    <row r="216" spans="22:72">
      <c r="V216" s="370" t="s">
        <v>1310</v>
      </c>
      <c r="W216" s="12" t="s">
        <v>1311</v>
      </c>
      <c r="X216" s="371" t="s">
        <v>1312</v>
      </c>
      <c r="Y216" s="371" t="s">
        <v>1313</v>
      </c>
      <c r="BT216" s="174"/>
    </row>
    <row r="217" spans="22:72">
      <c r="V217" s="370" t="s">
        <v>1314</v>
      </c>
      <c r="W217" s="12" t="s">
        <v>1315</v>
      </c>
      <c r="X217" s="371" t="s">
        <v>1316</v>
      </c>
      <c r="Y217" s="371" t="s">
        <v>1317</v>
      </c>
      <c r="BT217" s="174"/>
    </row>
    <row r="218" spans="22:72">
      <c r="V218" s="370" t="s">
        <v>1318</v>
      </c>
      <c r="W218" s="12" t="s">
        <v>1319</v>
      </c>
      <c r="X218" s="371" t="s">
        <v>1320</v>
      </c>
      <c r="Y218" s="371" t="s">
        <v>1321</v>
      </c>
      <c r="BT218" s="174"/>
    </row>
    <row r="219" spans="22:72">
      <c r="V219" s="370" t="s">
        <v>1322</v>
      </c>
      <c r="W219" s="12" t="s">
        <v>1323</v>
      </c>
      <c r="X219" s="371" t="s">
        <v>1324</v>
      </c>
      <c r="Y219" s="371" t="s">
        <v>1325</v>
      </c>
      <c r="BT219" s="174"/>
    </row>
    <row r="220" spans="22:72">
      <c r="V220" s="370" t="s">
        <v>1326</v>
      </c>
      <c r="W220" s="12" t="s">
        <v>1327</v>
      </c>
      <c r="X220" s="371" t="s">
        <v>1328</v>
      </c>
      <c r="Y220" s="371" t="s">
        <v>1329</v>
      </c>
      <c r="BT220" s="174"/>
    </row>
    <row r="221" spans="22:72">
      <c r="V221" s="370" t="s">
        <v>1330</v>
      </c>
      <c r="W221" s="12" t="s">
        <v>1331</v>
      </c>
      <c r="X221" s="371" t="s">
        <v>1332</v>
      </c>
      <c r="Y221" s="371" t="s">
        <v>1333</v>
      </c>
      <c r="BT221" s="174"/>
    </row>
    <row r="222" spans="22:72">
      <c r="V222" s="370" t="s">
        <v>1334</v>
      </c>
      <c r="W222" s="12" t="s">
        <v>1335</v>
      </c>
      <c r="X222" s="371" t="s">
        <v>1336</v>
      </c>
      <c r="Y222" s="371" t="s">
        <v>1337</v>
      </c>
      <c r="BT222" s="174"/>
    </row>
    <row r="223" spans="22:72">
      <c r="V223" s="370" t="s">
        <v>1338</v>
      </c>
      <c r="W223" s="12" t="s">
        <v>1339</v>
      </c>
      <c r="X223" s="371" t="s">
        <v>1340</v>
      </c>
      <c r="Y223" s="371" t="s">
        <v>1341</v>
      </c>
      <c r="BT223" s="174"/>
    </row>
    <row r="224" spans="22:72">
      <c r="V224" s="370" t="s">
        <v>1342</v>
      </c>
      <c r="W224" s="12" t="s">
        <v>1343</v>
      </c>
      <c r="X224" s="371" t="s">
        <v>1344</v>
      </c>
      <c r="Y224" s="371" t="s">
        <v>1345</v>
      </c>
      <c r="BT224" s="174"/>
    </row>
    <row r="225" spans="22:72">
      <c r="V225" s="370" t="s">
        <v>1346</v>
      </c>
      <c r="W225" s="12" t="s">
        <v>1347</v>
      </c>
      <c r="X225" s="371" t="s">
        <v>1348</v>
      </c>
      <c r="Y225" s="371" t="s">
        <v>1349</v>
      </c>
      <c r="BT225" s="174"/>
    </row>
    <row r="226" spans="22:72">
      <c r="V226" s="370" t="s">
        <v>1350</v>
      </c>
      <c r="W226" s="12" t="s">
        <v>1351</v>
      </c>
      <c r="X226" s="371" t="s">
        <v>1352</v>
      </c>
      <c r="Y226" s="371" t="s">
        <v>1353</v>
      </c>
      <c r="BT226" s="174"/>
    </row>
    <row r="227" spans="22:72">
      <c r="V227" s="370" t="s">
        <v>1354</v>
      </c>
      <c r="W227" s="12" t="s">
        <v>1355</v>
      </c>
      <c r="X227" s="371" t="s">
        <v>1356</v>
      </c>
      <c r="Y227" s="371" t="s">
        <v>1357</v>
      </c>
      <c r="BT227" s="174"/>
    </row>
    <row r="228" spans="22:72">
      <c r="V228" s="370" t="s">
        <v>1358</v>
      </c>
      <c r="W228" s="12" t="s">
        <v>1359</v>
      </c>
      <c r="X228" s="371" t="s">
        <v>1360</v>
      </c>
      <c r="Y228" s="371" t="s">
        <v>1361</v>
      </c>
      <c r="BT228" s="174"/>
    </row>
    <row r="229" spans="22:72">
      <c r="V229" s="370" t="s">
        <v>1362</v>
      </c>
      <c r="W229" s="12" t="s">
        <v>1363</v>
      </c>
      <c r="X229" s="371" t="s">
        <v>1364</v>
      </c>
      <c r="Y229" s="371" t="s">
        <v>1365</v>
      </c>
      <c r="BT229" s="174"/>
    </row>
    <row r="230" spans="22:72">
      <c r="V230" s="370" t="s">
        <v>1366</v>
      </c>
      <c r="W230" s="12" t="s">
        <v>1367</v>
      </c>
      <c r="X230" s="371" t="s">
        <v>1368</v>
      </c>
      <c r="Y230" s="371" t="s">
        <v>1369</v>
      </c>
      <c r="BT230" s="174"/>
    </row>
    <row r="231" spans="22:72">
      <c r="V231" s="370" t="s">
        <v>1370</v>
      </c>
      <c r="W231" s="12" t="s">
        <v>1371</v>
      </c>
      <c r="X231" s="371" t="s">
        <v>1372</v>
      </c>
      <c r="Y231" s="371" t="s">
        <v>1373</v>
      </c>
      <c r="BT231" s="174"/>
    </row>
    <row r="232" spans="22:72">
      <c r="V232" s="370" t="s">
        <v>1374</v>
      </c>
      <c r="W232" s="12" t="s">
        <v>1375</v>
      </c>
      <c r="X232" s="371" t="s">
        <v>1376</v>
      </c>
      <c r="Y232" s="371" t="s">
        <v>1377</v>
      </c>
      <c r="BT232" s="174"/>
    </row>
    <row r="233" spans="22:72">
      <c r="V233" s="370" t="s">
        <v>1378</v>
      </c>
      <c r="W233" s="12" t="s">
        <v>1379</v>
      </c>
      <c r="X233" s="371" t="s">
        <v>1380</v>
      </c>
      <c r="Y233" s="371" t="s">
        <v>1381</v>
      </c>
      <c r="BT233" s="174"/>
    </row>
    <row r="234" spans="22:72">
      <c r="V234" s="370" t="s">
        <v>1382</v>
      </c>
      <c r="W234" s="12" t="s">
        <v>1383</v>
      </c>
      <c r="X234" s="371" t="s">
        <v>1384</v>
      </c>
      <c r="Y234" s="371" t="s">
        <v>1385</v>
      </c>
      <c r="BT234" s="174"/>
    </row>
    <row r="235" spans="22:72">
      <c r="V235" s="370" t="s">
        <v>1386</v>
      </c>
      <c r="W235" s="12" t="s">
        <v>1387</v>
      </c>
      <c r="X235" s="371" t="s">
        <v>1388</v>
      </c>
      <c r="Y235" s="371" t="s">
        <v>1389</v>
      </c>
      <c r="BT235" s="174"/>
    </row>
    <row r="236" spans="22:72">
      <c r="V236" s="370" t="s">
        <v>1390</v>
      </c>
      <c r="W236" s="12" t="s">
        <v>1391</v>
      </c>
      <c r="X236" s="371" t="s">
        <v>1392</v>
      </c>
      <c r="Y236" s="371" t="s">
        <v>1393</v>
      </c>
      <c r="BT236" s="174"/>
    </row>
    <row r="237" spans="22:72">
      <c r="V237" s="370" t="s">
        <v>1394</v>
      </c>
      <c r="W237" s="12" t="s">
        <v>1395</v>
      </c>
      <c r="X237" s="371" t="s">
        <v>1396</v>
      </c>
      <c r="Y237" s="371" t="s">
        <v>1397</v>
      </c>
      <c r="BT237" s="174"/>
    </row>
    <row r="238" spans="22:72">
      <c r="V238" s="370" t="s">
        <v>1398</v>
      </c>
      <c r="W238" s="12" t="s">
        <v>1399</v>
      </c>
      <c r="X238" s="371" t="s">
        <v>1400</v>
      </c>
      <c r="Y238" s="371" t="s">
        <v>1401</v>
      </c>
      <c r="BT238" s="174"/>
    </row>
    <row r="239" spans="22:72">
      <c r="V239" s="370" t="s">
        <v>1402</v>
      </c>
      <c r="W239" s="12" t="s">
        <v>1403</v>
      </c>
      <c r="X239" s="371" t="s">
        <v>1404</v>
      </c>
      <c r="Y239" s="371" t="s">
        <v>1405</v>
      </c>
      <c r="BT239" s="174"/>
    </row>
    <row r="240" spans="22:72">
      <c r="V240" s="370" t="s">
        <v>1406</v>
      </c>
      <c r="W240" s="12" t="s">
        <v>1407</v>
      </c>
      <c r="X240" s="371" t="s">
        <v>1408</v>
      </c>
      <c r="Y240" s="371" t="s">
        <v>1409</v>
      </c>
      <c r="BT240" s="174"/>
    </row>
    <row r="241" spans="22:72">
      <c r="V241" s="370" t="s">
        <v>1410</v>
      </c>
      <c r="W241" s="12" t="s">
        <v>1411</v>
      </c>
      <c r="X241" s="371" t="s">
        <v>1412</v>
      </c>
      <c r="Y241" s="371" t="s">
        <v>1413</v>
      </c>
      <c r="BT241" s="174"/>
    </row>
    <row r="242" spans="22:72">
      <c r="V242" s="370" t="s">
        <v>1414</v>
      </c>
      <c r="W242" s="12" t="s">
        <v>1415</v>
      </c>
      <c r="X242" s="371" t="s">
        <v>1416</v>
      </c>
      <c r="Y242" s="371" t="s">
        <v>1417</v>
      </c>
      <c r="BT242" s="174"/>
    </row>
    <row r="243" spans="22:72">
      <c r="V243" s="370" t="s">
        <v>1418</v>
      </c>
      <c r="W243" s="12" t="s">
        <v>1419</v>
      </c>
      <c r="X243" s="371" t="s">
        <v>1420</v>
      </c>
      <c r="Y243" s="371" t="s">
        <v>1421</v>
      </c>
      <c r="BT243" s="174"/>
    </row>
    <row r="244" spans="22:72">
      <c r="V244" s="370" t="s">
        <v>1422</v>
      </c>
      <c r="W244" s="12" t="s">
        <v>1423</v>
      </c>
      <c r="X244" s="371" t="s">
        <v>1424</v>
      </c>
      <c r="Y244" s="371" t="s">
        <v>1425</v>
      </c>
      <c r="BT244" s="174"/>
    </row>
    <row r="245" spans="22:72">
      <c r="V245" s="370" t="s">
        <v>1426</v>
      </c>
      <c r="W245" s="12" t="s">
        <v>1427</v>
      </c>
      <c r="X245" s="371" t="s">
        <v>1428</v>
      </c>
      <c r="Y245" s="371" t="s">
        <v>1429</v>
      </c>
      <c r="BT245" s="174"/>
    </row>
    <row r="246" spans="22:72">
      <c r="V246" s="370" t="s">
        <v>1430</v>
      </c>
      <c r="W246" s="12" t="s">
        <v>1431</v>
      </c>
      <c r="X246" s="371" t="s">
        <v>1432</v>
      </c>
      <c r="Y246" s="371" t="s">
        <v>1433</v>
      </c>
      <c r="BT246" s="174"/>
    </row>
    <row r="247" spans="22:72">
      <c r="V247" s="370" t="s">
        <v>1434</v>
      </c>
      <c r="W247" s="12" t="s">
        <v>1435</v>
      </c>
      <c r="X247" s="371" t="s">
        <v>1436</v>
      </c>
      <c r="Y247" s="371" t="s">
        <v>1437</v>
      </c>
      <c r="BT247" s="174"/>
    </row>
    <row r="248" spans="22:72">
      <c r="V248" s="370" t="s">
        <v>1438</v>
      </c>
      <c r="W248" s="12" t="s">
        <v>1439</v>
      </c>
      <c r="X248" s="371" t="s">
        <v>1440</v>
      </c>
      <c r="Y248" s="371" t="s">
        <v>1441</v>
      </c>
      <c r="BT248" s="174"/>
    </row>
    <row r="249" spans="22:72">
      <c r="V249" s="370" t="s">
        <v>1442</v>
      </c>
      <c r="W249" s="12" t="s">
        <v>1443</v>
      </c>
      <c r="X249" s="371" t="s">
        <v>1444</v>
      </c>
      <c r="Y249" s="371" t="s">
        <v>1445</v>
      </c>
      <c r="BT249" s="174"/>
    </row>
    <row r="250" spans="22:72">
      <c r="V250" s="370" t="s">
        <v>1446</v>
      </c>
      <c r="W250" s="12" t="s">
        <v>1447</v>
      </c>
      <c r="X250" s="371" t="s">
        <v>1448</v>
      </c>
      <c r="Y250" s="371" t="s">
        <v>1449</v>
      </c>
      <c r="BT250" s="174"/>
    </row>
    <row r="251" spans="22:72">
      <c r="V251" s="370" t="s">
        <v>1450</v>
      </c>
      <c r="W251" s="12" t="s">
        <v>1451</v>
      </c>
      <c r="X251" s="371" t="s">
        <v>1452</v>
      </c>
      <c r="Y251" s="371" t="s">
        <v>1453</v>
      </c>
      <c r="BT251" s="174"/>
    </row>
    <row r="252" spans="22:72">
      <c r="V252" s="370" t="s">
        <v>1454</v>
      </c>
      <c r="W252" s="12" t="s">
        <v>1455</v>
      </c>
      <c r="X252" s="371" t="s">
        <v>1456</v>
      </c>
      <c r="Y252" s="371" t="s">
        <v>1457</v>
      </c>
      <c r="BT252" s="174"/>
    </row>
    <row r="253" spans="22:72">
      <c r="V253" s="370" t="s">
        <v>1458</v>
      </c>
      <c r="W253" s="12" t="s">
        <v>1459</v>
      </c>
      <c r="X253" s="371" t="s">
        <v>1460</v>
      </c>
      <c r="Y253" s="371" t="s">
        <v>1461</v>
      </c>
      <c r="BT253" s="174"/>
    </row>
    <row r="254" spans="22:72">
      <c r="V254" s="370" t="s">
        <v>1462</v>
      </c>
      <c r="W254" s="12" t="s">
        <v>1463</v>
      </c>
      <c r="X254" s="371" t="s">
        <v>1464</v>
      </c>
      <c r="Y254" s="371" t="s">
        <v>1465</v>
      </c>
      <c r="BT254" s="174"/>
    </row>
    <row r="255" spans="22:72">
      <c r="V255" s="370" t="s">
        <v>1466</v>
      </c>
      <c r="W255" s="12" t="s">
        <v>1467</v>
      </c>
      <c r="X255" s="371" t="s">
        <v>1468</v>
      </c>
      <c r="Y255" s="371" t="s">
        <v>1469</v>
      </c>
      <c r="BT255" s="174"/>
    </row>
    <row r="256" spans="22:72">
      <c r="V256" s="370" t="s">
        <v>1470</v>
      </c>
      <c r="W256" s="12" t="s">
        <v>1471</v>
      </c>
      <c r="X256" s="371" t="s">
        <v>1472</v>
      </c>
      <c r="Y256" s="371" t="s">
        <v>1473</v>
      </c>
      <c r="BT256" s="174"/>
    </row>
    <row r="257" spans="22:72">
      <c r="V257" s="370" t="s">
        <v>1474</v>
      </c>
      <c r="W257" s="12" t="s">
        <v>1475</v>
      </c>
      <c r="X257" s="371" t="s">
        <v>1476</v>
      </c>
      <c r="Y257" s="371" t="s">
        <v>1477</v>
      </c>
      <c r="BT257" s="174"/>
    </row>
    <row r="258" spans="22:72">
      <c r="V258" s="370" t="s">
        <v>1478</v>
      </c>
      <c r="W258" s="12" t="s">
        <v>1479</v>
      </c>
      <c r="X258" s="371" t="s">
        <v>1480</v>
      </c>
      <c r="Y258" s="371" t="s">
        <v>1481</v>
      </c>
      <c r="BT258" s="174"/>
    </row>
    <row r="259" spans="22:72">
      <c r="V259" s="370" t="s">
        <v>1482</v>
      </c>
      <c r="W259" s="12" t="s">
        <v>1483</v>
      </c>
      <c r="X259" s="371" t="s">
        <v>1484</v>
      </c>
      <c r="Y259" s="371" t="s">
        <v>1485</v>
      </c>
      <c r="BT259" s="174"/>
    </row>
    <row r="260" spans="22:72">
      <c r="V260" s="370" t="s">
        <v>1486</v>
      </c>
      <c r="W260" s="12" t="s">
        <v>1487</v>
      </c>
      <c r="X260" s="371" t="s">
        <v>1488</v>
      </c>
      <c r="Y260" s="371" t="s">
        <v>1489</v>
      </c>
      <c r="BT260" s="174"/>
    </row>
    <row r="261" spans="22:72">
      <c r="V261" s="370" t="s">
        <v>1490</v>
      </c>
      <c r="W261" s="12" t="s">
        <v>1491</v>
      </c>
      <c r="X261" s="371" t="s">
        <v>1492</v>
      </c>
      <c r="Y261" s="371" t="s">
        <v>1493</v>
      </c>
      <c r="BT261" s="174"/>
    </row>
    <row r="262" spans="22:72">
      <c r="V262" s="370" t="s">
        <v>1494</v>
      </c>
      <c r="W262" s="12" t="s">
        <v>1495</v>
      </c>
      <c r="X262" s="371" t="s">
        <v>1496</v>
      </c>
      <c r="Y262" s="371" t="s">
        <v>1497</v>
      </c>
      <c r="BT262" s="174"/>
    </row>
    <row r="263" spans="22:72">
      <c r="V263" s="370" t="s">
        <v>1498</v>
      </c>
      <c r="W263" s="12" t="s">
        <v>1499</v>
      </c>
      <c r="X263" s="371" t="s">
        <v>1500</v>
      </c>
      <c r="Y263" s="371" t="s">
        <v>1501</v>
      </c>
      <c r="BT263" s="174"/>
    </row>
    <row r="264" spans="22:72">
      <c r="V264" s="370" t="s">
        <v>1502</v>
      </c>
      <c r="W264" s="12" t="s">
        <v>1503</v>
      </c>
      <c r="X264" s="371" t="s">
        <v>1504</v>
      </c>
      <c r="Y264" s="371" t="s">
        <v>1505</v>
      </c>
      <c r="BT264" s="174"/>
    </row>
    <row r="265" spans="22:72">
      <c r="V265" s="370" t="s">
        <v>1506</v>
      </c>
      <c r="W265" s="12" t="s">
        <v>1507</v>
      </c>
      <c r="X265" s="371" t="s">
        <v>1508</v>
      </c>
      <c r="Y265" s="371" t="s">
        <v>1509</v>
      </c>
      <c r="BT265" s="174"/>
    </row>
    <row r="266" spans="22:72">
      <c r="V266" s="370" t="s">
        <v>1510</v>
      </c>
      <c r="W266" s="12" t="s">
        <v>1511</v>
      </c>
      <c r="X266" s="371" t="s">
        <v>1512</v>
      </c>
      <c r="Y266" s="371" t="s">
        <v>1513</v>
      </c>
      <c r="BT266" s="174"/>
    </row>
    <row r="267" spans="22:72">
      <c r="V267" s="370" t="s">
        <v>1514</v>
      </c>
      <c r="W267" s="12" t="s">
        <v>1515</v>
      </c>
      <c r="X267" s="371" t="s">
        <v>1516</v>
      </c>
      <c r="Y267" s="371" t="s">
        <v>1517</v>
      </c>
      <c r="BT267" s="174"/>
    </row>
    <row r="268" spans="22:72">
      <c r="V268" s="370" t="s">
        <v>1518</v>
      </c>
      <c r="W268" s="12" t="s">
        <v>1519</v>
      </c>
      <c r="X268" s="371" t="s">
        <v>1520</v>
      </c>
      <c r="Y268" s="371" t="s">
        <v>1521</v>
      </c>
      <c r="BT268" s="174"/>
    </row>
    <row r="269" spans="22:72">
      <c r="V269" s="370" t="s">
        <v>1522</v>
      </c>
      <c r="W269" s="12" t="s">
        <v>1523</v>
      </c>
      <c r="X269" s="371" t="s">
        <v>1524</v>
      </c>
      <c r="Y269" s="371" t="s">
        <v>1525</v>
      </c>
      <c r="BT269" s="174"/>
    </row>
    <row r="270" spans="22:72">
      <c r="V270" s="370" t="s">
        <v>1526</v>
      </c>
      <c r="W270" s="12" t="s">
        <v>1527</v>
      </c>
      <c r="X270" s="371" t="s">
        <v>1528</v>
      </c>
      <c r="Y270" s="371" t="s">
        <v>1529</v>
      </c>
      <c r="BT270" s="174"/>
    </row>
    <row r="271" spans="22:72">
      <c r="V271" s="370" t="s">
        <v>1530</v>
      </c>
      <c r="W271" s="12" t="s">
        <v>1531</v>
      </c>
      <c r="X271" s="371" t="s">
        <v>1532</v>
      </c>
      <c r="Y271" s="371" t="s">
        <v>1533</v>
      </c>
      <c r="BT271" s="174"/>
    </row>
    <row r="272" spans="22:72">
      <c r="V272" s="370" t="s">
        <v>1534</v>
      </c>
      <c r="W272" s="12" t="s">
        <v>1535</v>
      </c>
      <c r="X272" s="371" t="s">
        <v>1536</v>
      </c>
      <c r="Y272" s="371" t="s">
        <v>1537</v>
      </c>
      <c r="BT272" s="174"/>
    </row>
    <row r="273" spans="22:72">
      <c r="V273" s="370" t="s">
        <v>1538</v>
      </c>
      <c r="W273" s="12" t="s">
        <v>1539</v>
      </c>
      <c r="X273" s="371" t="s">
        <v>1540</v>
      </c>
      <c r="Y273" s="371" t="s">
        <v>1541</v>
      </c>
      <c r="BT273" s="174"/>
    </row>
    <row r="274" spans="22:72">
      <c r="V274" s="370" t="s">
        <v>1542</v>
      </c>
      <c r="W274" s="12" t="s">
        <v>1543</v>
      </c>
      <c r="X274" s="371" t="s">
        <v>1544</v>
      </c>
      <c r="Y274" s="371" t="s">
        <v>1545</v>
      </c>
      <c r="BT274" s="174"/>
    </row>
    <row r="275" spans="22:72">
      <c r="V275" s="370" t="s">
        <v>1546</v>
      </c>
      <c r="W275" s="12" t="s">
        <v>1547</v>
      </c>
      <c r="X275" s="371" t="s">
        <v>1548</v>
      </c>
      <c r="Y275" s="371" t="s">
        <v>1549</v>
      </c>
      <c r="BT275" s="174"/>
    </row>
    <row r="276" spans="22:72">
      <c r="V276" s="370" t="s">
        <v>1550</v>
      </c>
      <c r="W276" s="12" t="s">
        <v>1551</v>
      </c>
      <c r="X276" s="371" t="s">
        <v>1552</v>
      </c>
      <c r="Y276" s="371" t="s">
        <v>1553</v>
      </c>
      <c r="BT276" s="174"/>
    </row>
    <row r="277" spans="22:72">
      <c r="V277" s="370" t="s">
        <v>1554</v>
      </c>
      <c r="W277" s="12" t="s">
        <v>1555</v>
      </c>
      <c r="X277" s="371" t="s">
        <v>1556</v>
      </c>
      <c r="Y277" s="371" t="s">
        <v>1557</v>
      </c>
      <c r="BT277" s="174"/>
    </row>
    <row r="278" spans="22:72">
      <c r="V278" s="370" t="s">
        <v>1558</v>
      </c>
      <c r="W278" s="12" t="s">
        <v>1559</v>
      </c>
      <c r="X278" s="371" t="s">
        <v>1560</v>
      </c>
      <c r="Y278" s="371" t="s">
        <v>1561</v>
      </c>
      <c r="BT278" s="174"/>
    </row>
    <row r="279" spans="22:72">
      <c r="V279" s="370" t="s">
        <v>1562</v>
      </c>
      <c r="W279" s="12" t="s">
        <v>1563</v>
      </c>
      <c r="X279" s="371" t="s">
        <v>1564</v>
      </c>
      <c r="Y279" s="371" t="s">
        <v>1565</v>
      </c>
      <c r="BT279" s="174"/>
    </row>
    <row r="280" spans="22:72">
      <c r="V280" s="370" t="s">
        <v>1566</v>
      </c>
      <c r="W280" s="12" t="s">
        <v>1567</v>
      </c>
      <c r="X280" s="371" t="s">
        <v>1568</v>
      </c>
      <c r="Y280" s="371" t="s">
        <v>1569</v>
      </c>
      <c r="BT280" s="174"/>
    </row>
    <row r="281" spans="22:72">
      <c r="V281" s="370" t="s">
        <v>1570</v>
      </c>
      <c r="W281" s="12" t="s">
        <v>1571</v>
      </c>
      <c r="X281" s="371" t="s">
        <v>1572</v>
      </c>
      <c r="Y281" s="371" t="s">
        <v>1573</v>
      </c>
      <c r="BT281" s="174"/>
    </row>
    <row r="282" spans="22:72">
      <c r="V282" s="370" t="s">
        <v>1574</v>
      </c>
      <c r="W282" s="12" t="s">
        <v>1575</v>
      </c>
      <c r="X282" s="371" t="s">
        <v>1576</v>
      </c>
      <c r="Y282" s="371" t="s">
        <v>1577</v>
      </c>
      <c r="BT282" s="174"/>
    </row>
    <row r="283" spans="22:72">
      <c r="V283" s="370" t="s">
        <v>1578</v>
      </c>
      <c r="W283" s="12" t="s">
        <v>1579</v>
      </c>
      <c r="X283" s="371" t="s">
        <v>1580</v>
      </c>
      <c r="Y283" s="371" t="s">
        <v>1581</v>
      </c>
      <c r="BT283" s="174"/>
    </row>
    <row r="284" spans="22:72">
      <c r="V284" s="370" t="s">
        <v>1582</v>
      </c>
      <c r="W284" s="12" t="s">
        <v>1583</v>
      </c>
      <c r="X284" s="371" t="s">
        <v>1584</v>
      </c>
      <c r="Y284" s="371" t="s">
        <v>1585</v>
      </c>
      <c r="BT284" s="174"/>
    </row>
    <row r="285" spans="22:72">
      <c r="V285" s="370" t="s">
        <v>1586</v>
      </c>
      <c r="W285" s="12" t="s">
        <v>1587</v>
      </c>
      <c r="X285" s="371" t="s">
        <v>1588</v>
      </c>
      <c r="Y285" s="371" t="s">
        <v>1589</v>
      </c>
      <c r="BT285" s="174"/>
    </row>
    <row r="286" spans="22:72">
      <c r="V286" s="370" t="s">
        <v>1590</v>
      </c>
      <c r="W286" s="12" t="s">
        <v>1591</v>
      </c>
      <c r="X286" s="371" t="s">
        <v>1592</v>
      </c>
      <c r="Y286" s="371" t="s">
        <v>1593</v>
      </c>
      <c r="BT286" s="174"/>
    </row>
    <row r="287" spans="22:72">
      <c r="V287" s="370" t="s">
        <v>1594</v>
      </c>
      <c r="W287" s="12" t="s">
        <v>1595</v>
      </c>
      <c r="X287" s="371" t="s">
        <v>1596</v>
      </c>
      <c r="Y287" s="371" t="s">
        <v>1597</v>
      </c>
      <c r="BT287" s="174"/>
    </row>
    <row r="288" spans="22:72">
      <c r="V288" s="370" t="s">
        <v>1598</v>
      </c>
      <c r="W288" s="12" t="s">
        <v>1599</v>
      </c>
      <c r="X288" s="371" t="s">
        <v>1600</v>
      </c>
      <c r="Y288" s="371" t="s">
        <v>1601</v>
      </c>
      <c r="BT288" s="174"/>
    </row>
    <row r="289" spans="22:72">
      <c r="V289" s="370" t="s">
        <v>1602</v>
      </c>
      <c r="W289" s="12" t="s">
        <v>1603</v>
      </c>
      <c r="X289" s="371" t="s">
        <v>1604</v>
      </c>
      <c r="Y289" s="371" t="s">
        <v>1605</v>
      </c>
      <c r="BT289" s="174"/>
    </row>
    <row r="290" spans="22:72">
      <c r="V290" s="370" t="s">
        <v>1606</v>
      </c>
      <c r="W290" s="12" t="s">
        <v>1607</v>
      </c>
      <c r="X290" s="371" t="s">
        <v>1608</v>
      </c>
      <c r="Y290" s="371" t="s">
        <v>1609</v>
      </c>
      <c r="BT290" s="174"/>
    </row>
    <row r="291" spans="22:72">
      <c r="V291" s="370" t="s">
        <v>1610</v>
      </c>
      <c r="W291" s="12" t="s">
        <v>1611</v>
      </c>
      <c r="X291" s="371" t="s">
        <v>1612</v>
      </c>
      <c r="Y291" s="371" t="s">
        <v>1613</v>
      </c>
      <c r="BT291" s="174"/>
    </row>
    <row r="292" spans="22:72">
      <c r="V292" s="370" t="s">
        <v>1614</v>
      </c>
      <c r="W292" s="12" t="s">
        <v>1615</v>
      </c>
      <c r="X292" s="371" t="s">
        <v>1616</v>
      </c>
      <c r="Y292" s="371" t="s">
        <v>1617</v>
      </c>
      <c r="BT292" s="174"/>
    </row>
    <row r="293" spans="22:72">
      <c r="V293" s="370" t="s">
        <v>1618</v>
      </c>
      <c r="W293" s="12" t="s">
        <v>1619</v>
      </c>
      <c r="X293" s="371" t="s">
        <v>1620</v>
      </c>
      <c r="Y293" s="371" t="s">
        <v>1621</v>
      </c>
      <c r="BT293" s="174"/>
    </row>
    <row r="294" spans="22:72">
      <c r="V294" s="370" t="s">
        <v>1622</v>
      </c>
      <c r="W294" s="12" t="s">
        <v>1623</v>
      </c>
      <c r="X294" s="371" t="s">
        <v>1624</v>
      </c>
      <c r="Y294" s="371" t="s">
        <v>1625</v>
      </c>
      <c r="BT294" s="174"/>
    </row>
    <row r="295" spans="22:72">
      <c r="V295" s="370" t="s">
        <v>1626</v>
      </c>
      <c r="W295" s="12" t="s">
        <v>1627</v>
      </c>
      <c r="X295" s="371" t="s">
        <v>1628</v>
      </c>
      <c r="Y295" s="371" t="s">
        <v>1629</v>
      </c>
      <c r="BT295" s="174"/>
    </row>
    <row r="296" spans="22:72">
      <c r="V296" s="370" t="s">
        <v>1630</v>
      </c>
      <c r="W296" s="12" t="s">
        <v>1631</v>
      </c>
      <c r="X296" s="371" t="s">
        <v>1632</v>
      </c>
      <c r="Y296" s="371" t="s">
        <v>1633</v>
      </c>
      <c r="BT296" s="174"/>
    </row>
    <row r="297" spans="22:72">
      <c r="V297" s="370" t="s">
        <v>1634</v>
      </c>
      <c r="W297" s="12" t="s">
        <v>1635</v>
      </c>
      <c r="X297" s="371" t="s">
        <v>1636</v>
      </c>
      <c r="Y297" s="371" t="s">
        <v>1637</v>
      </c>
      <c r="BT297" s="174"/>
    </row>
    <row r="298" spans="22:72">
      <c r="V298" s="370" t="s">
        <v>1638</v>
      </c>
      <c r="W298" s="12" t="s">
        <v>1639</v>
      </c>
      <c r="X298" s="371" t="s">
        <v>1640</v>
      </c>
      <c r="Y298" s="371" t="s">
        <v>1641</v>
      </c>
      <c r="BT298" s="174"/>
    </row>
    <row r="299" spans="22:72">
      <c r="V299" s="370" t="s">
        <v>1642</v>
      </c>
      <c r="W299" s="12" t="s">
        <v>1643</v>
      </c>
      <c r="X299" s="371" t="s">
        <v>1644</v>
      </c>
      <c r="Y299" s="371" t="s">
        <v>1645</v>
      </c>
      <c r="BT299" s="174"/>
    </row>
    <row r="300" spans="22:72">
      <c r="V300" s="370" t="s">
        <v>1646</v>
      </c>
      <c r="W300" s="12" t="s">
        <v>1647</v>
      </c>
      <c r="X300" s="371" t="s">
        <v>1648</v>
      </c>
      <c r="Y300" s="371" t="s">
        <v>1649</v>
      </c>
      <c r="BT300" s="174"/>
    </row>
    <row r="301" spans="22:72">
      <c r="V301" s="370" t="s">
        <v>1650</v>
      </c>
      <c r="W301" s="12" t="s">
        <v>1651</v>
      </c>
      <c r="X301" s="371" t="s">
        <v>1652</v>
      </c>
      <c r="Y301" s="371" t="s">
        <v>1653</v>
      </c>
      <c r="BT301" s="174"/>
    </row>
    <row r="302" spans="22:72">
      <c r="V302" s="370" t="s">
        <v>1654</v>
      </c>
      <c r="W302" s="12" t="s">
        <v>1655</v>
      </c>
      <c r="X302" s="371" t="s">
        <v>1656</v>
      </c>
      <c r="Y302" s="371" t="s">
        <v>1657</v>
      </c>
      <c r="BT302" s="174"/>
    </row>
    <row r="303" spans="22:72">
      <c r="V303" s="370" t="s">
        <v>1658</v>
      </c>
      <c r="W303" s="12" t="s">
        <v>1659</v>
      </c>
      <c r="X303" s="371" t="s">
        <v>1660</v>
      </c>
      <c r="Y303" s="371" t="s">
        <v>1661</v>
      </c>
      <c r="BT303" s="174"/>
    </row>
    <row r="304" spans="22:72">
      <c r="V304" s="370" t="s">
        <v>1662</v>
      </c>
      <c r="W304" s="12" t="s">
        <v>1663</v>
      </c>
      <c r="X304" s="371" t="s">
        <v>1664</v>
      </c>
      <c r="Y304" s="371" t="s">
        <v>1665</v>
      </c>
      <c r="BT304" s="174"/>
    </row>
    <row r="305" spans="22:72">
      <c r="V305" s="370" t="s">
        <v>1666</v>
      </c>
      <c r="W305" s="12" t="s">
        <v>1667</v>
      </c>
      <c r="X305" s="371" t="s">
        <v>1668</v>
      </c>
      <c r="Y305" s="371" t="s">
        <v>1669</v>
      </c>
      <c r="BT305" s="174"/>
    </row>
    <row r="306" spans="22:72">
      <c r="V306" s="370" t="s">
        <v>1670</v>
      </c>
      <c r="W306" s="12" t="s">
        <v>1671</v>
      </c>
      <c r="X306" s="371" t="s">
        <v>1672</v>
      </c>
      <c r="Y306" s="371" t="s">
        <v>1673</v>
      </c>
      <c r="BT306" s="174"/>
    </row>
    <row r="307" spans="22:72">
      <c r="V307" s="370" t="s">
        <v>1674</v>
      </c>
      <c r="W307" s="12" t="s">
        <v>1675</v>
      </c>
      <c r="X307" s="371" t="s">
        <v>1676</v>
      </c>
      <c r="Y307" s="371" t="s">
        <v>1677</v>
      </c>
      <c r="BT307" s="174"/>
    </row>
    <row r="308" spans="22:72">
      <c r="V308" s="370" t="s">
        <v>1678</v>
      </c>
      <c r="W308" s="12" t="s">
        <v>1679</v>
      </c>
      <c r="X308" s="371" t="s">
        <v>1680</v>
      </c>
      <c r="Y308" s="371" t="s">
        <v>1681</v>
      </c>
      <c r="BT308" s="174"/>
    </row>
    <row r="309" spans="22:72">
      <c r="V309" s="370" t="s">
        <v>1682</v>
      </c>
      <c r="W309" s="12" t="s">
        <v>1683</v>
      </c>
      <c r="X309" s="371" t="s">
        <v>1684</v>
      </c>
      <c r="Y309" s="371" t="s">
        <v>1685</v>
      </c>
      <c r="BT309" s="174"/>
    </row>
    <row r="310" spans="22:72">
      <c r="V310" s="370" t="s">
        <v>1686</v>
      </c>
      <c r="W310" s="12" t="s">
        <v>1687</v>
      </c>
      <c r="X310" s="371" t="s">
        <v>1688</v>
      </c>
      <c r="Y310" s="371" t="s">
        <v>1689</v>
      </c>
      <c r="BT310" s="174"/>
    </row>
    <row r="311" spans="22:72">
      <c r="V311" s="370" t="s">
        <v>1690</v>
      </c>
      <c r="W311" s="12" t="s">
        <v>1691</v>
      </c>
      <c r="X311" s="371" t="s">
        <v>1692</v>
      </c>
      <c r="Y311" s="371" t="s">
        <v>1693</v>
      </c>
      <c r="BT311" s="174"/>
    </row>
    <row r="312" spans="22:72">
      <c r="V312" s="370" t="s">
        <v>1694</v>
      </c>
      <c r="W312" s="12" t="s">
        <v>1695</v>
      </c>
      <c r="X312" s="371" t="s">
        <v>1696</v>
      </c>
      <c r="Y312" s="371" t="s">
        <v>1697</v>
      </c>
      <c r="BT312" s="174"/>
    </row>
    <row r="313" spans="22:72">
      <c r="V313" s="370" t="s">
        <v>1698</v>
      </c>
      <c r="W313" s="12" t="s">
        <v>1699</v>
      </c>
      <c r="X313" s="371" t="s">
        <v>1700</v>
      </c>
      <c r="Y313" s="371" t="s">
        <v>1701</v>
      </c>
      <c r="BT313" s="174"/>
    </row>
    <row r="314" spans="22:72">
      <c r="V314" s="370" t="s">
        <v>1702</v>
      </c>
      <c r="W314" s="12" t="s">
        <v>1703</v>
      </c>
      <c r="X314" s="371" t="s">
        <v>1704</v>
      </c>
      <c r="Y314" s="371" t="s">
        <v>1705</v>
      </c>
      <c r="BT314" s="174"/>
    </row>
    <row r="315" spans="22:72">
      <c r="V315" s="370" t="s">
        <v>1706</v>
      </c>
      <c r="W315" s="12" t="s">
        <v>1707</v>
      </c>
      <c r="X315" s="371" t="s">
        <v>1708</v>
      </c>
      <c r="Y315" s="371" t="s">
        <v>1709</v>
      </c>
      <c r="BT315" s="174"/>
    </row>
    <row r="316" spans="22:72">
      <c r="V316" s="370" t="s">
        <v>1710</v>
      </c>
      <c r="W316" s="12" t="s">
        <v>1711</v>
      </c>
      <c r="X316" s="371" t="s">
        <v>1712</v>
      </c>
      <c r="Y316" s="371" t="s">
        <v>1713</v>
      </c>
      <c r="BT316" s="174"/>
    </row>
    <row r="317" spans="22:72">
      <c r="V317" s="370" t="s">
        <v>1714</v>
      </c>
      <c r="W317" s="12" t="s">
        <v>1715</v>
      </c>
      <c r="X317" s="371" t="s">
        <v>1716</v>
      </c>
      <c r="Y317" s="371" t="s">
        <v>1717</v>
      </c>
      <c r="BT317" s="174"/>
    </row>
    <row r="318" spans="22:72">
      <c r="V318" s="370" t="s">
        <v>1718</v>
      </c>
      <c r="W318" s="12" t="s">
        <v>1719</v>
      </c>
      <c r="X318" s="371" t="s">
        <v>1720</v>
      </c>
      <c r="Y318" s="371" t="s">
        <v>1721</v>
      </c>
      <c r="BT318" s="174"/>
    </row>
    <row r="319" spans="22:72">
      <c r="V319" s="370" t="s">
        <v>1722</v>
      </c>
      <c r="W319" s="12" t="s">
        <v>1723</v>
      </c>
      <c r="X319" s="371" t="s">
        <v>1724</v>
      </c>
      <c r="Y319" s="371" t="s">
        <v>1725</v>
      </c>
      <c r="BT319" s="174"/>
    </row>
    <row r="320" spans="22:72">
      <c r="V320" s="370" t="s">
        <v>1726</v>
      </c>
      <c r="W320" s="12" t="s">
        <v>1727</v>
      </c>
      <c r="X320" s="371" t="s">
        <v>1728</v>
      </c>
      <c r="Y320" s="371" t="s">
        <v>1729</v>
      </c>
      <c r="BT320" s="174"/>
    </row>
    <row r="321" spans="22:72">
      <c r="V321" s="370" t="s">
        <v>1730</v>
      </c>
      <c r="W321" s="12" t="s">
        <v>1731</v>
      </c>
      <c r="X321" s="371" t="s">
        <v>1732</v>
      </c>
      <c r="Y321" s="371" t="s">
        <v>1733</v>
      </c>
      <c r="BT321" s="174"/>
    </row>
    <row r="322" spans="22:72">
      <c r="V322" s="370" t="s">
        <v>1734</v>
      </c>
      <c r="W322" s="12" t="s">
        <v>1735</v>
      </c>
      <c r="X322" s="371" t="s">
        <v>1736</v>
      </c>
      <c r="Y322" s="371" t="s">
        <v>1737</v>
      </c>
      <c r="BT322" s="174"/>
    </row>
    <row r="323" spans="22:72">
      <c r="V323" s="370" t="s">
        <v>1738</v>
      </c>
      <c r="W323" s="12" t="s">
        <v>1739</v>
      </c>
      <c r="X323" s="371" t="s">
        <v>1740</v>
      </c>
      <c r="Y323" s="371" t="s">
        <v>1741</v>
      </c>
      <c r="BT323" s="174"/>
    </row>
    <row r="324" spans="22:72">
      <c r="V324" s="370" t="s">
        <v>1742</v>
      </c>
      <c r="W324" s="12" t="s">
        <v>1743</v>
      </c>
      <c r="X324" s="371" t="s">
        <v>1744</v>
      </c>
      <c r="Y324" s="371" t="s">
        <v>1745</v>
      </c>
      <c r="BT324" s="174"/>
    </row>
    <row r="325" spans="22:72">
      <c r="V325" s="370" t="s">
        <v>1746</v>
      </c>
      <c r="W325" s="12" t="s">
        <v>1747</v>
      </c>
      <c r="X325" s="371" t="s">
        <v>1748</v>
      </c>
      <c r="Y325" s="371" t="s">
        <v>1749</v>
      </c>
      <c r="BT325" s="174"/>
    </row>
    <row r="326" spans="22:72">
      <c r="V326" s="370" t="s">
        <v>1750</v>
      </c>
      <c r="W326" s="12" t="s">
        <v>1751</v>
      </c>
      <c r="X326" s="371" t="s">
        <v>1752</v>
      </c>
      <c r="Y326" s="371" t="s">
        <v>1753</v>
      </c>
      <c r="BT326" s="174"/>
    </row>
    <row r="327" spans="22:72">
      <c r="V327" s="370" t="s">
        <v>1754</v>
      </c>
      <c r="W327" s="12" t="s">
        <v>1755</v>
      </c>
      <c r="X327" s="371" t="s">
        <v>1756</v>
      </c>
      <c r="Y327" s="371" t="s">
        <v>1757</v>
      </c>
      <c r="BT327" s="174"/>
    </row>
    <row r="328" spans="22:72">
      <c r="V328" s="370" t="s">
        <v>1758</v>
      </c>
      <c r="W328" s="12" t="s">
        <v>1759</v>
      </c>
      <c r="X328" s="371" t="s">
        <v>1760</v>
      </c>
      <c r="Y328" s="371" t="s">
        <v>1761</v>
      </c>
      <c r="BT328" s="174"/>
    </row>
    <row r="329" spans="22:72">
      <c r="V329" s="370" t="s">
        <v>1762</v>
      </c>
      <c r="W329" s="12" t="s">
        <v>1763</v>
      </c>
      <c r="X329" s="371" t="s">
        <v>1764</v>
      </c>
      <c r="Y329" s="371" t="s">
        <v>1765</v>
      </c>
      <c r="BT329" s="174"/>
    </row>
    <row r="330" spans="22:72">
      <c r="V330" s="370" t="s">
        <v>1766</v>
      </c>
      <c r="W330" s="12" t="s">
        <v>1767</v>
      </c>
      <c r="X330" s="371" t="s">
        <v>1768</v>
      </c>
      <c r="Y330" s="371" t="s">
        <v>1769</v>
      </c>
      <c r="BT330" s="174"/>
    </row>
    <row r="331" spans="22:72">
      <c r="V331" s="370" t="s">
        <v>1770</v>
      </c>
      <c r="W331" s="12" t="s">
        <v>1771</v>
      </c>
      <c r="X331" s="371" t="s">
        <v>1772</v>
      </c>
      <c r="Y331" s="371" t="s">
        <v>1773</v>
      </c>
      <c r="BT331" s="174"/>
    </row>
    <row r="332" spans="22:72">
      <c r="V332" s="370" t="s">
        <v>1774</v>
      </c>
      <c r="W332" s="12" t="s">
        <v>1775</v>
      </c>
      <c r="X332" s="371" t="s">
        <v>1776</v>
      </c>
      <c r="Y332" s="371" t="s">
        <v>1777</v>
      </c>
      <c r="BT332" s="174"/>
    </row>
    <row r="333" spans="22:72">
      <c r="V333" s="370" t="s">
        <v>1778</v>
      </c>
      <c r="W333" s="12" t="s">
        <v>1779</v>
      </c>
      <c r="X333" s="371" t="s">
        <v>1780</v>
      </c>
      <c r="Y333" s="371" t="s">
        <v>1781</v>
      </c>
      <c r="BT333" s="174"/>
    </row>
    <row r="334" spans="22:72">
      <c r="V334" s="370" t="s">
        <v>1782</v>
      </c>
      <c r="W334" s="12" t="s">
        <v>1783</v>
      </c>
      <c r="X334" s="371" t="s">
        <v>1784</v>
      </c>
      <c r="Y334" s="371" t="s">
        <v>1785</v>
      </c>
      <c r="BT334" s="174"/>
    </row>
    <row r="335" spans="22:72">
      <c r="V335" s="370" t="s">
        <v>1786</v>
      </c>
      <c r="W335" s="12" t="s">
        <v>1787</v>
      </c>
      <c r="X335" s="371" t="s">
        <v>1788</v>
      </c>
      <c r="Y335" s="371" t="s">
        <v>1789</v>
      </c>
      <c r="BT335" s="174"/>
    </row>
    <row r="336" spans="22:72">
      <c r="V336" s="370" t="s">
        <v>1790</v>
      </c>
      <c r="W336" s="12" t="s">
        <v>1791</v>
      </c>
      <c r="X336" s="371" t="s">
        <v>1792</v>
      </c>
      <c r="Y336" s="371" t="s">
        <v>1793</v>
      </c>
      <c r="BT336" s="174"/>
    </row>
    <row r="337" spans="22:72">
      <c r="V337" s="370" t="s">
        <v>1794</v>
      </c>
      <c r="W337" s="12" t="s">
        <v>1795</v>
      </c>
      <c r="X337" s="371" t="s">
        <v>1796</v>
      </c>
      <c r="Y337" s="371" t="s">
        <v>1797</v>
      </c>
      <c r="BT337" s="174"/>
    </row>
    <row r="338" spans="22:72">
      <c r="V338" s="370" t="s">
        <v>1798</v>
      </c>
      <c r="W338" s="12" t="s">
        <v>1799</v>
      </c>
      <c r="X338" s="371" t="s">
        <v>1800</v>
      </c>
      <c r="Y338" s="371" t="s">
        <v>1801</v>
      </c>
      <c r="BT338" s="174"/>
    </row>
    <row r="339" spans="22:72">
      <c r="V339" s="370" t="s">
        <v>1802</v>
      </c>
      <c r="W339" s="12" t="s">
        <v>1803</v>
      </c>
      <c r="X339" s="371" t="s">
        <v>1804</v>
      </c>
      <c r="Y339" s="371" t="s">
        <v>1805</v>
      </c>
      <c r="BT339" s="174"/>
    </row>
    <row r="340" spans="22:72">
      <c r="V340" s="370" t="s">
        <v>1806</v>
      </c>
      <c r="W340" s="12" t="s">
        <v>1807</v>
      </c>
      <c r="X340" s="371" t="s">
        <v>1808</v>
      </c>
      <c r="Y340" s="371" t="s">
        <v>1809</v>
      </c>
      <c r="BT340" s="174"/>
    </row>
    <row r="341" spans="22:72">
      <c r="V341" s="370" t="s">
        <v>1810</v>
      </c>
      <c r="W341" s="12" t="s">
        <v>1811</v>
      </c>
      <c r="X341" s="371" t="s">
        <v>1812</v>
      </c>
      <c r="Y341" s="371" t="s">
        <v>1813</v>
      </c>
      <c r="BT341" s="174"/>
    </row>
    <row r="342" spans="22:72">
      <c r="V342" s="370" t="s">
        <v>1814</v>
      </c>
      <c r="W342" s="12" t="s">
        <v>1815</v>
      </c>
      <c r="X342" s="371" t="s">
        <v>1816</v>
      </c>
      <c r="Y342" s="371" t="s">
        <v>1817</v>
      </c>
      <c r="BT342" s="174"/>
    </row>
    <row r="343" spans="22:72">
      <c r="V343" s="370" t="s">
        <v>1818</v>
      </c>
      <c r="W343" s="12" t="s">
        <v>1819</v>
      </c>
      <c r="X343" s="371" t="s">
        <v>1820</v>
      </c>
      <c r="Y343" s="371" t="s">
        <v>1821</v>
      </c>
      <c r="BT343" s="174"/>
    </row>
    <row r="344" spans="22:72">
      <c r="V344" s="370" t="s">
        <v>1822</v>
      </c>
      <c r="W344" s="12" t="s">
        <v>1823</v>
      </c>
      <c r="X344" s="371" t="s">
        <v>1824</v>
      </c>
      <c r="Y344" s="371" t="s">
        <v>1825</v>
      </c>
      <c r="BT344" s="174"/>
    </row>
    <row r="345" spans="22:72">
      <c r="V345" s="370" t="s">
        <v>1826</v>
      </c>
      <c r="W345" s="12" t="s">
        <v>1827</v>
      </c>
      <c r="X345" s="371" t="s">
        <v>1828</v>
      </c>
      <c r="Y345" s="371" t="s">
        <v>1829</v>
      </c>
      <c r="BT345" s="174"/>
    </row>
    <row r="346" spans="22:72">
      <c r="V346" s="370" t="s">
        <v>1830</v>
      </c>
      <c r="W346" s="12" t="s">
        <v>1831</v>
      </c>
      <c r="X346" s="371" t="s">
        <v>1832</v>
      </c>
      <c r="Y346" s="371" t="s">
        <v>1833</v>
      </c>
      <c r="BT346" s="174"/>
    </row>
    <row r="347" spans="22:72">
      <c r="V347" s="370" t="s">
        <v>1834</v>
      </c>
      <c r="W347" s="12" t="s">
        <v>1835</v>
      </c>
      <c r="X347" s="371" t="s">
        <v>1836</v>
      </c>
      <c r="Y347" s="371" t="s">
        <v>1837</v>
      </c>
      <c r="BT347" s="174"/>
    </row>
    <row r="348" spans="22:72">
      <c r="V348" s="370" t="s">
        <v>1838</v>
      </c>
      <c r="W348" s="12" t="s">
        <v>1839</v>
      </c>
      <c r="X348" s="371" t="s">
        <v>1840</v>
      </c>
      <c r="Y348" s="371" t="s">
        <v>1841</v>
      </c>
      <c r="BT348" s="174"/>
    </row>
    <row r="349" spans="22:72">
      <c r="V349" s="370" t="s">
        <v>1842</v>
      </c>
      <c r="W349" s="12" t="s">
        <v>1843</v>
      </c>
      <c r="X349" s="371" t="s">
        <v>1844</v>
      </c>
      <c r="Y349" s="371" t="s">
        <v>1845</v>
      </c>
      <c r="BT349" s="174"/>
    </row>
    <row r="350" spans="22:72">
      <c r="V350" s="370" t="s">
        <v>1846</v>
      </c>
      <c r="W350" s="12" t="s">
        <v>1847</v>
      </c>
      <c r="X350" s="371" t="s">
        <v>1848</v>
      </c>
      <c r="Y350" s="371" t="s">
        <v>1849</v>
      </c>
      <c r="BT350" s="174"/>
    </row>
    <row r="351" spans="22:72">
      <c r="V351" s="370" t="s">
        <v>1850</v>
      </c>
      <c r="W351" s="12" t="s">
        <v>1851</v>
      </c>
      <c r="X351" s="371" t="s">
        <v>1852</v>
      </c>
      <c r="Y351" s="371" t="s">
        <v>1853</v>
      </c>
      <c r="BT351" s="174"/>
    </row>
    <row r="352" spans="22:72">
      <c r="V352" s="370" t="s">
        <v>1854</v>
      </c>
      <c r="W352" s="12" t="s">
        <v>1855</v>
      </c>
      <c r="X352" s="371" t="s">
        <v>1856</v>
      </c>
      <c r="Y352" s="371" t="s">
        <v>1857</v>
      </c>
      <c r="BT352" s="174"/>
    </row>
    <row r="353" spans="22:72">
      <c r="V353" s="370" t="s">
        <v>1858</v>
      </c>
      <c r="W353" s="12" t="s">
        <v>1859</v>
      </c>
      <c r="X353" s="371" t="s">
        <v>1860</v>
      </c>
      <c r="Y353" s="371" t="s">
        <v>1861</v>
      </c>
      <c r="BT353" s="174"/>
    </row>
    <row r="354" spans="22:72">
      <c r="V354" s="370" t="s">
        <v>1862</v>
      </c>
      <c r="W354" s="12" t="s">
        <v>1863</v>
      </c>
      <c r="X354" s="371" t="s">
        <v>1864</v>
      </c>
      <c r="Y354" s="371" t="s">
        <v>1865</v>
      </c>
      <c r="BT354" s="174"/>
    </row>
    <row r="355" spans="22:72">
      <c r="V355" s="370" t="s">
        <v>1866</v>
      </c>
      <c r="W355" s="12" t="s">
        <v>1867</v>
      </c>
      <c r="X355" s="371" t="s">
        <v>1868</v>
      </c>
      <c r="Y355" s="371" t="s">
        <v>1869</v>
      </c>
      <c r="BT355" s="174"/>
    </row>
    <row r="356" spans="22:72">
      <c r="V356" s="370" t="s">
        <v>1870</v>
      </c>
      <c r="W356" s="12" t="s">
        <v>1871</v>
      </c>
      <c r="X356" s="371" t="s">
        <v>1872</v>
      </c>
      <c r="Y356" s="371" t="s">
        <v>1873</v>
      </c>
      <c r="BT356" s="174"/>
    </row>
    <row r="357" spans="22:72">
      <c r="V357" s="370" t="s">
        <v>1874</v>
      </c>
      <c r="W357" s="12" t="s">
        <v>1875</v>
      </c>
      <c r="X357" s="371" t="s">
        <v>1876</v>
      </c>
      <c r="Y357" s="371" t="s">
        <v>1877</v>
      </c>
      <c r="BT357" s="174"/>
    </row>
    <row r="358" spans="22:72">
      <c r="V358" s="370" t="s">
        <v>1878</v>
      </c>
      <c r="W358" s="12" t="s">
        <v>1879</v>
      </c>
      <c r="X358" s="371" t="s">
        <v>1880</v>
      </c>
      <c r="Y358" s="371" t="s">
        <v>1881</v>
      </c>
      <c r="BT358" s="174"/>
    </row>
    <row r="359" spans="22:72">
      <c r="V359" s="370" t="s">
        <v>1882</v>
      </c>
      <c r="W359" s="12" t="s">
        <v>1883</v>
      </c>
      <c r="X359" s="371" t="s">
        <v>1884</v>
      </c>
      <c r="Y359" s="371" t="s">
        <v>1885</v>
      </c>
      <c r="BT359" s="174"/>
    </row>
    <row r="360" spans="22:72">
      <c r="V360" s="370" t="s">
        <v>1886</v>
      </c>
      <c r="W360" s="12" t="s">
        <v>1887</v>
      </c>
      <c r="X360" s="371" t="s">
        <v>1888</v>
      </c>
      <c r="Y360" s="371" t="s">
        <v>1889</v>
      </c>
      <c r="BT360" s="174"/>
    </row>
    <row r="361" spans="22:72">
      <c r="V361" s="370" t="s">
        <v>1890</v>
      </c>
      <c r="W361" s="12" t="s">
        <v>1891</v>
      </c>
      <c r="X361" s="371" t="s">
        <v>1892</v>
      </c>
      <c r="Y361" s="371" t="s">
        <v>1893</v>
      </c>
      <c r="BT361" s="174"/>
    </row>
    <row r="362" spans="22:72">
      <c r="V362" s="370" t="s">
        <v>1894</v>
      </c>
      <c r="W362" s="12" t="s">
        <v>1895</v>
      </c>
      <c r="X362" s="371" t="s">
        <v>1896</v>
      </c>
      <c r="Y362" s="371" t="s">
        <v>1897</v>
      </c>
      <c r="BT362" s="174"/>
    </row>
    <row r="363" spans="22:72">
      <c r="V363" s="370" t="s">
        <v>1898</v>
      </c>
      <c r="W363" s="12" t="s">
        <v>1899</v>
      </c>
      <c r="X363" s="371" t="s">
        <v>1900</v>
      </c>
      <c r="Y363" s="371" t="s">
        <v>1901</v>
      </c>
      <c r="BT363" s="174"/>
    </row>
    <row r="364" spans="22:72">
      <c r="V364" s="370" t="s">
        <v>1902</v>
      </c>
      <c r="W364" s="12" t="s">
        <v>1903</v>
      </c>
      <c r="X364" s="371" t="s">
        <v>1904</v>
      </c>
      <c r="Y364" s="371" t="s">
        <v>1905</v>
      </c>
      <c r="BT364" s="174"/>
    </row>
    <row r="365" spans="22:72">
      <c r="V365" s="370" t="s">
        <v>1906</v>
      </c>
      <c r="W365" s="12" t="s">
        <v>1907</v>
      </c>
      <c r="X365" s="371" t="s">
        <v>1908</v>
      </c>
      <c r="Y365" s="371" t="s">
        <v>1909</v>
      </c>
      <c r="BT365" s="174"/>
    </row>
    <row r="366" spans="22:72">
      <c r="V366" s="370" t="s">
        <v>1910</v>
      </c>
      <c r="W366" s="12" t="s">
        <v>1911</v>
      </c>
      <c r="X366" s="371" t="s">
        <v>1912</v>
      </c>
      <c r="Y366" s="371" t="s">
        <v>1913</v>
      </c>
      <c r="BT366" s="174"/>
    </row>
    <row r="367" spans="22:72">
      <c r="V367" s="370" t="s">
        <v>1914</v>
      </c>
      <c r="W367" s="12" t="s">
        <v>1915</v>
      </c>
      <c r="X367" s="371" t="s">
        <v>1916</v>
      </c>
      <c r="Y367" s="371" t="s">
        <v>1917</v>
      </c>
      <c r="BT367" s="174"/>
    </row>
    <row r="368" spans="22:72">
      <c r="V368" s="370" t="s">
        <v>1918</v>
      </c>
      <c r="W368" s="12" t="s">
        <v>1919</v>
      </c>
      <c r="X368" s="371" t="s">
        <v>1920</v>
      </c>
      <c r="Y368" s="371" t="s">
        <v>1921</v>
      </c>
      <c r="BT368" s="174"/>
    </row>
    <row r="369" spans="22:72">
      <c r="V369" s="370" t="s">
        <v>1922</v>
      </c>
      <c r="W369" s="12" t="s">
        <v>1923</v>
      </c>
      <c r="X369" s="371" t="s">
        <v>1924</v>
      </c>
      <c r="Y369" s="371" t="s">
        <v>1925</v>
      </c>
      <c r="BT369" s="174"/>
    </row>
    <row r="370" spans="22:72">
      <c r="V370" s="370" t="s">
        <v>1926</v>
      </c>
      <c r="W370" s="12" t="s">
        <v>1927</v>
      </c>
      <c r="X370" s="371" t="s">
        <v>1928</v>
      </c>
      <c r="Y370" s="371" t="s">
        <v>1929</v>
      </c>
      <c r="BT370" s="174"/>
    </row>
    <row r="371" spans="22:72">
      <c r="V371" s="370" t="s">
        <v>1930</v>
      </c>
      <c r="W371" s="12" t="s">
        <v>1931</v>
      </c>
      <c r="X371" s="371" t="s">
        <v>1932</v>
      </c>
      <c r="Y371" s="371" t="s">
        <v>1933</v>
      </c>
      <c r="BT371" s="174"/>
    </row>
    <row r="372" spans="22:72">
      <c r="V372" s="370" t="s">
        <v>1934</v>
      </c>
      <c r="W372" s="12" t="s">
        <v>1935</v>
      </c>
      <c r="X372" s="371" t="s">
        <v>1936</v>
      </c>
      <c r="Y372" s="371" t="s">
        <v>1937</v>
      </c>
      <c r="BT372" s="174"/>
    </row>
    <row r="373" spans="22:72">
      <c r="V373" s="370" t="s">
        <v>1938</v>
      </c>
      <c r="W373" s="12" t="s">
        <v>1939</v>
      </c>
      <c r="X373" s="371" t="s">
        <v>1940</v>
      </c>
      <c r="Y373" s="371" t="s">
        <v>1941</v>
      </c>
      <c r="BT373" s="174"/>
    </row>
    <row r="374" spans="22:72">
      <c r="V374" s="370" t="s">
        <v>1942</v>
      </c>
      <c r="W374" s="12" t="s">
        <v>1943</v>
      </c>
      <c r="X374" s="371" t="s">
        <v>1944</v>
      </c>
      <c r="Y374" s="371" t="s">
        <v>1945</v>
      </c>
      <c r="BT374" s="174"/>
    </row>
    <row r="375" spans="22:72">
      <c r="V375" s="370" t="s">
        <v>1946</v>
      </c>
      <c r="W375" s="12" t="s">
        <v>1947</v>
      </c>
      <c r="X375" s="371" t="s">
        <v>1948</v>
      </c>
      <c r="Y375" s="371" t="s">
        <v>1949</v>
      </c>
      <c r="BT375" s="174"/>
    </row>
    <row r="376" spans="22:72">
      <c r="V376" s="370" t="s">
        <v>1950</v>
      </c>
      <c r="W376" s="12" t="s">
        <v>1951</v>
      </c>
      <c r="X376" s="371" t="s">
        <v>1952</v>
      </c>
      <c r="Y376" s="371" t="s">
        <v>1953</v>
      </c>
      <c r="BT376" s="174"/>
    </row>
    <row r="377" spans="22:72">
      <c r="V377" s="370" t="s">
        <v>1954</v>
      </c>
      <c r="W377" s="12" t="s">
        <v>1955</v>
      </c>
      <c r="X377" s="371" t="s">
        <v>1956</v>
      </c>
      <c r="Y377" s="371" t="s">
        <v>1957</v>
      </c>
      <c r="BT377" s="174"/>
    </row>
    <row r="378" spans="22:72">
      <c r="V378" s="370" t="s">
        <v>1958</v>
      </c>
      <c r="W378" s="12" t="s">
        <v>1959</v>
      </c>
      <c r="X378" s="371" t="s">
        <v>1960</v>
      </c>
      <c r="Y378" s="371" t="s">
        <v>1961</v>
      </c>
      <c r="BT378" s="174"/>
    </row>
    <row r="379" spans="22:72">
      <c r="V379" s="370" t="s">
        <v>1962</v>
      </c>
      <c r="W379" s="12" t="s">
        <v>1963</v>
      </c>
      <c r="X379" s="371" t="s">
        <v>1964</v>
      </c>
      <c r="Y379" s="371" t="s">
        <v>1965</v>
      </c>
      <c r="BT379" s="174"/>
    </row>
    <row r="380" spans="22:72">
      <c r="V380" s="370" t="s">
        <v>1966</v>
      </c>
      <c r="W380" s="12" t="s">
        <v>1967</v>
      </c>
      <c r="X380" s="371" t="s">
        <v>1968</v>
      </c>
      <c r="Y380" s="371" t="s">
        <v>1969</v>
      </c>
      <c r="BT380" s="174"/>
    </row>
    <row r="381" spans="22:72">
      <c r="V381" s="370" t="s">
        <v>1970</v>
      </c>
      <c r="W381" s="12" t="s">
        <v>1971</v>
      </c>
      <c r="X381" s="371" t="s">
        <v>1972</v>
      </c>
      <c r="Y381" s="371" t="s">
        <v>1973</v>
      </c>
      <c r="BT381" s="174"/>
    </row>
    <row r="382" spans="22:72">
      <c r="V382" s="370" t="s">
        <v>1974</v>
      </c>
      <c r="W382" s="12" t="s">
        <v>1975</v>
      </c>
      <c r="X382" s="371" t="s">
        <v>1976</v>
      </c>
      <c r="Y382" s="371" t="s">
        <v>1977</v>
      </c>
      <c r="BT382" s="174"/>
    </row>
    <row r="383" spans="22:72">
      <c r="V383" s="370" t="s">
        <v>1978</v>
      </c>
      <c r="W383" s="12" t="s">
        <v>1979</v>
      </c>
      <c r="X383" s="371" t="s">
        <v>1980</v>
      </c>
      <c r="Y383" s="371" t="s">
        <v>1981</v>
      </c>
      <c r="BT383" s="174"/>
    </row>
    <row r="384" spans="22:72">
      <c r="V384" s="370" t="s">
        <v>1982</v>
      </c>
      <c r="W384" s="12" t="s">
        <v>1983</v>
      </c>
      <c r="X384" s="371" t="s">
        <v>1984</v>
      </c>
      <c r="Y384" s="371" t="s">
        <v>1985</v>
      </c>
      <c r="BT384" s="174"/>
    </row>
    <row r="385" spans="22:72">
      <c r="V385" s="370" t="s">
        <v>1986</v>
      </c>
      <c r="W385" s="12" t="s">
        <v>1987</v>
      </c>
      <c r="X385" s="371" t="s">
        <v>1988</v>
      </c>
      <c r="Y385" s="371" t="s">
        <v>1989</v>
      </c>
      <c r="BT385" s="174"/>
    </row>
    <row r="386" spans="22:72">
      <c r="V386" s="370" t="s">
        <v>1990</v>
      </c>
      <c r="W386" s="12" t="s">
        <v>1991</v>
      </c>
      <c r="X386" s="371" t="s">
        <v>1992</v>
      </c>
      <c r="Y386" s="371" t="s">
        <v>1993</v>
      </c>
      <c r="BT386" s="174"/>
    </row>
    <row r="387" spans="22:72">
      <c r="V387" s="370" t="s">
        <v>1994</v>
      </c>
      <c r="W387" s="12" t="s">
        <v>1995</v>
      </c>
      <c r="X387" s="371" t="s">
        <v>1996</v>
      </c>
      <c r="Y387" s="371" t="s">
        <v>1997</v>
      </c>
      <c r="BT387" s="174"/>
    </row>
    <row r="388" spans="22:72">
      <c r="V388" s="370" t="s">
        <v>1998</v>
      </c>
      <c r="W388" s="12" t="s">
        <v>1999</v>
      </c>
      <c r="X388" s="371" t="s">
        <v>2000</v>
      </c>
      <c r="Y388" s="371" t="s">
        <v>2001</v>
      </c>
      <c r="BT388" s="174"/>
    </row>
    <row r="389" spans="22:72">
      <c r="V389" s="370" t="s">
        <v>2002</v>
      </c>
      <c r="W389" s="12" t="s">
        <v>2003</v>
      </c>
      <c r="X389" s="371" t="s">
        <v>2004</v>
      </c>
      <c r="Y389" s="371" t="s">
        <v>2005</v>
      </c>
      <c r="BT389" s="174"/>
    </row>
    <row r="390" spans="22:72">
      <c r="V390" s="370" t="s">
        <v>2006</v>
      </c>
      <c r="W390" s="12" t="s">
        <v>2007</v>
      </c>
      <c r="X390" s="371" t="s">
        <v>2008</v>
      </c>
      <c r="Y390" s="371" t="s">
        <v>2009</v>
      </c>
      <c r="BT390" s="174"/>
    </row>
    <row r="391" spans="22:72">
      <c r="V391" s="370" t="s">
        <v>2010</v>
      </c>
      <c r="W391" s="12" t="s">
        <v>2011</v>
      </c>
      <c r="X391" s="371" t="s">
        <v>2012</v>
      </c>
      <c r="Y391" s="371" t="s">
        <v>2013</v>
      </c>
      <c r="BT391" s="174"/>
    </row>
    <row r="392" spans="22:72">
      <c r="V392" s="370" t="s">
        <v>2014</v>
      </c>
      <c r="W392" s="12" t="s">
        <v>2015</v>
      </c>
      <c r="X392" s="371" t="s">
        <v>2016</v>
      </c>
      <c r="Y392" s="371" t="s">
        <v>2017</v>
      </c>
      <c r="BT392" s="174"/>
    </row>
    <row r="393" spans="22:72">
      <c r="V393" s="370" t="s">
        <v>2018</v>
      </c>
      <c r="W393" s="12" t="s">
        <v>2019</v>
      </c>
      <c r="X393" s="371" t="s">
        <v>2020</v>
      </c>
      <c r="Y393" s="371" t="s">
        <v>2021</v>
      </c>
      <c r="BT393" s="174"/>
    </row>
    <row r="394" spans="22:72">
      <c r="V394" s="370" t="s">
        <v>2022</v>
      </c>
      <c r="W394" s="12" t="s">
        <v>2023</v>
      </c>
      <c r="X394" s="371" t="s">
        <v>2024</v>
      </c>
      <c r="Y394" s="371" t="s">
        <v>2025</v>
      </c>
      <c r="BT394" s="174"/>
    </row>
    <row r="395" spans="22:72">
      <c r="V395" s="370" t="s">
        <v>2026</v>
      </c>
      <c r="W395" s="12" t="s">
        <v>2027</v>
      </c>
      <c r="X395" s="371" t="s">
        <v>2028</v>
      </c>
      <c r="Y395" s="371" t="s">
        <v>2029</v>
      </c>
      <c r="BT395" s="174"/>
    </row>
    <row r="396" spans="22:72">
      <c r="V396" s="370" t="s">
        <v>2030</v>
      </c>
      <c r="W396" s="12" t="s">
        <v>2031</v>
      </c>
      <c r="X396" s="371" t="s">
        <v>2032</v>
      </c>
      <c r="Y396" s="371" t="s">
        <v>2033</v>
      </c>
      <c r="BT396" s="174"/>
    </row>
    <row r="397" spans="22:72">
      <c r="V397" s="370" t="s">
        <v>2034</v>
      </c>
      <c r="W397" s="12" t="s">
        <v>2035</v>
      </c>
      <c r="X397" s="371" t="s">
        <v>2036</v>
      </c>
      <c r="Y397" s="371" t="s">
        <v>2037</v>
      </c>
      <c r="BT397" s="174"/>
    </row>
    <row r="398" spans="22:72">
      <c r="V398" s="370" t="s">
        <v>2038</v>
      </c>
      <c r="W398" s="12" t="s">
        <v>2039</v>
      </c>
      <c r="X398" s="371" t="s">
        <v>2040</v>
      </c>
      <c r="Y398" s="371" t="s">
        <v>2041</v>
      </c>
      <c r="BT398" s="174"/>
    </row>
    <row r="399" spans="22:72">
      <c r="V399" s="370" t="s">
        <v>2042</v>
      </c>
      <c r="W399" s="12" t="s">
        <v>2043</v>
      </c>
      <c r="X399" s="371" t="s">
        <v>2044</v>
      </c>
      <c r="Y399" s="371" t="s">
        <v>2045</v>
      </c>
      <c r="BT399" s="174"/>
    </row>
    <row r="400" spans="22:72">
      <c r="V400" s="370" t="s">
        <v>2046</v>
      </c>
      <c r="W400" s="12" t="s">
        <v>2047</v>
      </c>
      <c r="X400" s="371" t="s">
        <v>2048</v>
      </c>
      <c r="Y400" s="371" t="s">
        <v>2049</v>
      </c>
      <c r="BT400" s="174"/>
    </row>
    <row r="401" spans="22:72">
      <c r="V401" s="370" t="s">
        <v>2050</v>
      </c>
      <c r="W401" s="12" t="s">
        <v>2051</v>
      </c>
      <c r="X401" s="371" t="s">
        <v>2052</v>
      </c>
      <c r="Y401" s="371" t="s">
        <v>2053</v>
      </c>
      <c r="BT401" s="174"/>
    </row>
    <row r="402" spans="22:72">
      <c r="V402" s="370" t="s">
        <v>2054</v>
      </c>
      <c r="W402" s="12" t="s">
        <v>2055</v>
      </c>
      <c r="X402" s="371" t="s">
        <v>2056</v>
      </c>
      <c r="Y402" s="371" t="s">
        <v>2057</v>
      </c>
      <c r="BT402" s="174"/>
    </row>
    <row r="403" spans="22:72">
      <c r="V403" s="370" t="s">
        <v>2058</v>
      </c>
      <c r="W403" s="12" t="s">
        <v>2059</v>
      </c>
      <c r="X403" s="371" t="s">
        <v>2060</v>
      </c>
      <c r="Y403" s="371" t="s">
        <v>2061</v>
      </c>
      <c r="BT403" s="174"/>
    </row>
    <row r="404" spans="22:72">
      <c r="V404" s="370" t="s">
        <v>2062</v>
      </c>
      <c r="W404" s="12" t="s">
        <v>2063</v>
      </c>
      <c r="X404" s="371" t="s">
        <v>2064</v>
      </c>
      <c r="Y404" s="371" t="s">
        <v>2065</v>
      </c>
      <c r="BT404" s="174"/>
    </row>
    <row r="405" spans="22:72">
      <c r="V405" s="370" t="s">
        <v>2066</v>
      </c>
      <c r="W405" s="12" t="s">
        <v>2067</v>
      </c>
      <c r="X405" s="371" t="s">
        <v>2068</v>
      </c>
      <c r="Y405" s="371" t="s">
        <v>2069</v>
      </c>
      <c r="BT405" s="174"/>
    </row>
    <row r="406" spans="22:72">
      <c r="V406" s="370" t="s">
        <v>2070</v>
      </c>
      <c r="W406" s="12" t="s">
        <v>2071</v>
      </c>
      <c r="X406" s="371" t="s">
        <v>2072</v>
      </c>
      <c r="Y406" s="371" t="s">
        <v>2073</v>
      </c>
      <c r="BT406" s="174"/>
    </row>
    <row r="407" spans="22:72">
      <c r="V407" s="370" t="s">
        <v>2074</v>
      </c>
      <c r="W407" s="12" t="s">
        <v>2075</v>
      </c>
      <c r="X407" s="371" t="s">
        <v>2076</v>
      </c>
      <c r="Y407" s="371" t="s">
        <v>2077</v>
      </c>
      <c r="BT407" s="174"/>
    </row>
    <row r="408" spans="22:72">
      <c r="V408" s="370" t="s">
        <v>2078</v>
      </c>
      <c r="W408" s="12" t="s">
        <v>2079</v>
      </c>
      <c r="X408" s="371" t="s">
        <v>2080</v>
      </c>
      <c r="Y408" s="371" t="s">
        <v>2081</v>
      </c>
      <c r="BT408" s="174"/>
    </row>
    <row r="409" spans="22:72">
      <c r="V409" s="370" t="s">
        <v>2082</v>
      </c>
      <c r="W409" s="12" t="s">
        <v>2083</v>
      </c>
      <c r="X409" s="371" t="s">
        <v>2084</v>
      </c>
      <c r="Y409" s="371" t="s">
        <v>2085</v>
      </c>
      <c r="BT409" s="174"/>
    </row>
    <row r="410" spans="22:72">
      <c r="V410" s="370" t="s">
        <v>2086</v>
      </c>
      <c r="W410" s="12" t="s">
        <v>2087</v>
      </c>
      <c r="X410" s="371" t="s">
        <v>2088</v>
      </c>
      <c r="Y410" s="371" t="s">
        <v>2089</v>
      </c>
      <c r="BT410" s="174"/>
    </row>
    <row r="411" spans="22:72">
      <c r="V411" s="370" t="s">
        <v>2090</v>
      </c>
      <c r="W411" s="12" t="s">
        <v>2091</v>
      </c>
      <c r="X411" s="371" t="s">
        <v>2092</v>
      </c>
      <c r="Y411" s="371" t="s">
        <v>2093</v>
      </c>
      <c r="BT411" s="174"/>
    </row>
    <row r="412" spans="22:72">
      <c r="V412" s="370" t="s">
        <v>2094</v>
      </c>
      <c r="W412" s="12" t="s">
        <v>2095</v>
      </c>
      <c r="X412" s="371" t="s">
        <v>2096</v>
      </c>
      <c r="Y412" s="371" t="s">
        <v>2097</v>
      </c>
      <c r="BT412" s="174"/>
    </row>
    <row r="413" spans="22:72">
      <c r="V413" s="370" t="s">
        <v>2098</v>
      </c>
      <c r="W413" s="12" t="s">
        <v>2099</v>
      </c>
      <c r="X413" s="371" t="s">
        <v>2100</v>
      </c>
      <c r="Y413" s="371" t="s">
        <v>2101</v>
      </c>
      <c r="BT413" s="174"/>
    </row>
    <row r="414" spans="22:72">
      <c r="V414" s="370" t="s">
        <v>2102</v>
      </c>
      <c r="W414" s="12" t="s">
        <v>2103</v>
      </c>
      <c r="X414" s="371" t="s">
        <v>2104</v>
      </c>
      <c r="Y414" s="371" t="s">
        <v>2105</v>
      </c>
      <c r="BT414" s="174"/>
    </row>
    <row r="415" spans="22:72">
      <c r="V415" s="370" t="s">
        <v>2106</v>
      </c>
      <c r="W415" s="12" t="s">
        <v>2107</v>
      </c>
      <c r="X415" s="371" t="s">
        <v>2108</v>
      </c>
      <c r="Y415" s="371" t="s">
        <v>2109</v>
      </c>
      <c r="BT415" s="174"/>
    </row>
    <row r="416" spans="22:72">
      <c r="V416" s="370" t="s">
        <v>2110</v>
      </c>
      <c r="W416" s="12" t="s">
        <v>2111</v>
      </c>
      <c r="X416" s="371" t="s">
        <v>2112</v>
      </c>
      <c r="Y416" s="371" t="s">
        <v>2113</v>
      </c>
      <c r="BT416" s="174"/>
    </row>
    <row r="417" spans="22:72">
      <c r="V417" s="370" t="s">
        <v>2114</v>
      </c>
      <c r="W417" s="12" t="s">
        <v>2115</v>
      </c>
      <c r="X417" s="371" t="s">
        <v>2116</v>
      </c>
      <c r="Y417" s="371" t="s">
        <v>2117</v>
      </c>
      <c r="BT417" s="174"/>
    </row>
    <row r="418" spans="22:72">
      <c r="V418" s="370" t="s">
        <v>2118</v>
      </c>
      <c r="W418" s="12" t="s">
        <v>2119</v>
      </c>
      <c r="X418" s="371" t="s">
        <v>2120</v>
      </c>
      <c r="Y418" s="371" t="s">
        <v>2121</v>
      </c>
      <c r="BT418" s="174"/>
    </row>
    <row r="419" spans="22:72">
      <c r="V419" s="370" t="s">
        <v>2122</v>
      </c>
      <c r="W419" s="12" t="s">
        <v>2123</v>
      </c>
      <c r="X419" s="371" t="s">
        <v>2124</v>
      </c>
      <c r="Y419" s="371" t="s">
        <v>2125</v>
      </c>
      <c r="BT419" s="174"/>
    </row>
    <row r="420" spans="22:72">
      <c r="V420" s="370" t="s">
        <v>2126</v>
      </c>
      <c r="W420" s="12" t="s">
        <v>2127</v>
      </c>
      <c r="X420" s="371" t="s">
        <v>2128</v>
      </c>
      <c r="Y420" s="371" t="s">
        <v>2129</v>
      </c>
      <c r="BT420" s="174"/>
    </row>
    <row r="421" spans="22:72">
      <c r="V421" s="370" t="s">
        <v>2130</v>
      </c>
      <c r="W421" s="12" t="s">
        <v>2131</v>
      </c>
      <c r="X421" s="371" t="s">
        <v>2132</v>
      </c>
      <c r="Y421" s="371" t="s">
        <v>2133</v>
      </c>
      <c r="BT421" s="174"/>
    </row>
    <row r="422" spans="22:72">
      <c r="V422" s="370" t="s">
        <v>2134</v>
      </c>
      <c r="W422" s="12" t="s">
        <v>2135</v>
      </c>
      <c r="X422" s="371" t="s">
        <v>2136</v>
      </c>
      <c r="Y422" s="371" t="s">
        <v>2137</v>
      </c>
      <c r="BT422" s="174"/>
    </row>
    <row r="423" spans="22:72">
      <c r="V423" s="370" t="s">
        <v>2138</v>
      </c>
      <c r="W423" s="12" t="s">
        <v>2139</v>
      </c>
      <c r="X423" s="371" t="s">
        <v>2140</v>
      </c>
      <c r="Y423" s="371" t="s">
        <v>2141</v>
      </c>
      <c r="BT423" s="174"/>
    </row>
    <row r="424" spans="22:72">
      <c r="V424" s="370" t="s">
        <v>2142</v>
      </c>
      <c r="W424" s="12" t="s">
        <v>2143</v>
      </c>
      <c r="X424" s="371" t="s">
        <v>2144</v>
      </c>
      <c r="Y424" s="371" t="s">
        <v>2145</v>
      </c>
      <c r="BT424" s="174"/>
    </row>
    <row r="425" spans="22:72">
      <c r="V425" s="370" t="s">
        <v>2146</v>
      </c>
      <c r="W425" s="12" t="s">
        <v>2147</v>
      </c>
      <c r="X425" s="371" t="s">
        <v>2148</v>
      </c>
      <c r="Y425" s="371" t="s">
        <v>2149</v>
      </c>
      <c r="BT425" s="174"/>
    </row>
    <row r="426" spans="22:72">
      <c r="V426" s="370" t="s">
        <v>2150</v>
      </c>
      <c r="W426" s="12" t="s">
        <v>2151</v>
      </c>
      <c r="X426" s="371" t="s">
        <v>2152</v>
      </c>
      <c r="Y426" s="371" t="s">
        <v>2153</v>
      </c>
      <c r="BT426" s="174"/>
    </row>
    <row r="427" spans="22:72">
      <c r="V427" s="370" t="s">
        <v>2154</v>
      </c>
      <c r="W427" s="12" t="s">
        <v>2155</v>
      </c>
      <c r="X427" s="371" t="s">
        <v>2156</v>
      </c>
      <c r="Y427" s="371" t="s">
        <v>2157</v>
      </c>
      <c r="BT427" s="174"/>
    </row>
    <row r="428" spans="22:72">
      <c r="V428" s="370" t="s">
        <v>2158</v>
      </c>
      <c r="W428" s="12" t="s">
        <v>2159</v>
      </c>
      <c r="X428" s="371" t="s">
        <v>2160</v>
      </c>
      <c r="Y428" s="371" t="s">
        <v>2161</v>
      </c>
      <c r="BT428" s="174"/>
    </row>
    <row r="429" spans="22:72">
      <c r="V429" s="370" t="s">
        <v>2162</v>
      </c>
      <c r="W429" s="12" t="s">
        <v>2163</v>
      </c>
      <c r="X429" s="371" t="s">
        <v>2164</v>
      </c>
      <c r="Y429" s="371" t="s">
        <v>2165</v>
      </c>
      <c r="BT429" s="174"/>
    </row>
    <row r="430" spans="22:72">
      <c r="V430" s="370" t="s">
        <v>2166</v>
      </c>
      <c r="W430" s="12" t="s">
        <v>2167</v>
      </c>
      <c r="X430" s="371" t="s">
        <v>2168</v>
      </c>
      <c r="Y430" s="371" t="s">
        <v>2169</v>
      </c>
      <c r="BT430" s="174"/>
    </row>
    <row r="431" spans="22:72">
      <c r="V431" s="370" t="s">
        <v>2170</v>
      </c>
      <c r="W431" s="12" t="s">
        <v>2171</v>
      </c>
      <c r="X431" s="371" t="s">
        <v>2172</v>
      </c>
      <c r="Y431" s="371" t="s">
        <v>2173</v>
      </c>
      <c r="BT431" s="174"/>
    </row>
    <row r="432" spans="22:72">
      <c r="V432" s="370" t="s">
        <v>2174</v>
      </c>
      <c r="W432" s="12" t="s">
        <v>2175</v>
      </c>
      <c r="X432" s="371" t="s">
        <v>2176</v>
      </c>
      <c r="Y432" s="371" t="s">
        <v>2177</v>
      </c>
      <c r="BT432" s="174"/>
    </row>
    <row r="433" spans="22:72">
      <c r="V433" s="370" t="s">
        <v>2178</v>
      </c>
      <c r="W433" s="12" t="s">
        <v>2179</v>
      </c>
      <c r="X433" s="371" t="s">
        <v>2180</v>
      </c>
      <c r="Y433" s="371" t="s">
        <v>2181</v>
      </c>
      <c r="BT433" s="174"/>
    </row>
    <row r="434" spans="22:72">
      <c r="V434" s="370" t="s">
        <v>2182</v>
      </c>
      <c r="W434" s="12" t="s">
        <v>2183</v>
      </c>
      <c r="X434" s="371" t="s">
        <v>2184</v>
      </c>
      <c r="Y434" s="371" t="s">
        <v>2185</v>
      </c>
      <c r="BT434" s="174"/>
    </row>
    <row r="435" spans="22:72">
      <c r="V435" s="370" t="s">
        <v>2186</v>
      </c>
      <c r="W435" s="12" t="s">
        <v>2187</v>
      </c>
      <c r="X435" s="371" t="s">
        <v>2188</v>
      </c>
      <c r="Y435" s="371" t="s">
        <v>2189</v>
      </c>
      <c r="BT435" s="174"/>
    </row>
    <row r="436" spans="22:72">
      <c r="V436" s="370" t="s">
        <v>2190</v>
      </c>
      <c r="W436" s="12" t="s">
        <v>2191</v>
      </c>
      <c r="X436" s="371" t="s">
        <v>2192</v>
      </c>
      <c r="Y436" s="371" t="s">
        <v>2193</v>
      </c>
      <c r="BT436" s="174"/>
    </row>
    <row r="437" spans="22:72">
      <c r="V437" s="370" t="s">
        <v>2194</v>
      </c>
      <c r="W437" s="12" t="s">
        <v>2195</v>
      </c>
      <c r="X437" s="371" t="s">
        <v>2196</v>
      </c>
      <c r="Y437" s="371" t="s">
        <v>2197</v>
      </c>
      <c r="BT437" s="174"/>
    </row>
    <row r="438" spans="22:72">
      <c r="V438" s="370" t="s">
        <v>2198</v>
      </c>
      <c r="W438" s="12" t="s">
        <v>2199</v>
      </c>
      <c r="X438" s="371" t="s">
        <v>2200</v>
      </c>
      <c r="Y438" s="371" t="s">
        <v>2201</v>
      </c>
      <c r="BT438" s="174"/>
    </row>
    <row r="439" spans="22:72">
      <c r="V439" s="370" t="s">
        <v>2202</v>
      </c>
      <c r="W439" s="12" t="s">
        <v>2203</v>
      </c>
      <c r="X439" s="371" t="s">
        <v>2204</v>
      </c>
      <c r="Y439" s="371" t="s">
        <v>2205</v>
      </c>
      <c r="BT439" s="174"/>
    </row>
    <row r="440" spans="22:72">
      <c r="V440" s="370" t="s">
        <v>2206</v>
      </c>
      <c r="W440" s="12" t="s">
        <v>2207</v>
      </c>
      <c r="X440" s="371" t="s">
        <v>2208</v>
      </c>
      <c r="Y440" s="371" t="s">
        <v>2209</v>
      </c>
      <c r="BT440" s="174"/>
    </row>
    <row r="441" spans="22:72">
      <c r="V441" s="370" t="s">
        <v>2210</v>
      </c>
      <c r="W441" s="12" t="s">
        <v>2211</v>
      </c>
      <c r="X441" s="371" t="s">
        <v>2212</v>
      </c>
      <c r="Y441" s="371" t="s">
        <v>2213</v>
      </c>
      <c r="BT441" s="174"/>
    </row>
    <row r="442" spans="22:72">
      <c r="V442" s="370" t="s">
        <v>2214</v>
      </c>
      <c r="W442" s="12" t="s">
        <v>2215</v>
      </c>
      <c r="X442" s="371" t="s">
        <v>2216</v>
      </c>
      <c r="Y442" s="371" t="s">
        <v>2217</v>
      </c>
      <c r="BT442" s="174"/>
    </row>
    <row r="443" spans="22:72">
      <c r="V443" s="370" t="s">
        <v>2218</v>
      </c>
      <c r="W443" s="12" t="s">
        <v>2219</v>
      </c>
      <c r="X443" s="371" t="s">
        <v>2220</v>
      </c>
      <c r="Y443" s="371" t="s">
        <v>2221</v>
      </c>
      <c r="BT443" s="174"/>
    </row>
    <row r="444" spans="22:72">
      <c r="V444" s="370" t="s">
        <v>2222</v>
      </c>
      <c r="W444" s="12" t="s">
        <v>2223</v>
      </c>
      <c r="X444" s="371" t="s">
        <v>2224</v>
      </c>
      <c r="Y444" s="371" t="s">
        <v>2225</v>
      </c>
      <c r="BT444" s="174"/>
    </row>
    <row r="445" spans="22:72">
      <c r="V445" s="370" t="s">
        <v>2226</v>
      </c>
      <c r="W445" s="12" t="s">
        <v>2227</v>
      </c>
      <c r="X445" s="371" t="s">
        <v>2228</v>
      </c>
      <c r="Y445" s="371" t="s">
        <v>2229</v>
      </c>
      <c r="BT445" s="174"/>
    </row>
    <row r="446" spans="22:72">
      <c r="V446" s="370" t="s">
        <v>2230</v>
      </c>
      <c r="W446" s="12" t="s">
        <v>2231</v>
      </c>
      <c r="X446" s="371" t="s">
        <v>2232</v>
      </c>
      <c r="Y446" s="371" t="s">
        <v>2233</v>
      </c>
      <c r="BT446" s="174"/>
    </row>
    <row r="447" spans="22:72">
      <c r="V447" s="370" t="s">
        <v>2234</v>
      </c>
      <c r="W447" s="12" t="s">
        <v>2235</v>
      </c>
      <c r="X447" s="371" t="s">
        <v>2236</v>
      </c>
      <c r="Y447" s="371" t="s">
        <v>2237</v>
      </c>
      <c r="BT447" s="174"/>
    </row>
    <row r="448" spans="22:72">
      <c r="V448" s="370" t="s">
        <v>2238</v>
      </c>
      <c r="W448" s="12" t="s">
        <v>2239</v>
      </c>
      <c r="X448" s="371" t="s">
        <v>2240</v>
      </c>
      <c r="Y448" s="371" t="s">
        <v>2241</v>
      </c>
      <c r="BT448" s="174"/>
    </row>
    <row r="449" spans="22:72">
      <c r="V449" s="370" t="s">
        <v>2242</v>
      </c>
      <c r="W449" s="12" t="s">
        <v>2243</v>
      </c>
      <c r="X449" s="371" t="s">
        <v>2244</v>
      </c>
      <c r="Y449" s="371" t="s">
        <v>2245</v>
      </c>
      <c r="BT449" s="174"/>
    </row>
    <row r="450" spans="22:72">
      <c r="V450" s="370" t="s">
        <v>2246</v>
      </c>
      <c r="W450" s="12" t="s">
        <v>2247</v>
      </c>
      <c r="X450" s="371" t="s">
        <v>2248</v>
      </c>
      <c r="Y450" s="371" t="s">
        <v>2249</v>
      </c>
      <c r="BT450" s="174"/>
    </row>
    <row r="451" spans="22:72">
      <c r="V451" s="370" t="s">
        <v>2250</v>
      </c>
      <c r="W451" s="12" t="s">
        <v>2251</v>
      </c>
      <c r="X451" s="371" t="s">
        <v>2252</v>
      </c>
      <c r="Y451" s="371" t="s">
        <v>2253</v>
      </c>
      <c r="BT451" s="174"/>
    </row>
    <row r="452" spans="22:72">
      <c r="V452" s="370" t="s">
        <v>2254</v>
      </c>
      <c r="W452" s="12" t="s">
        <v>2255</v>
      </c>
      <c r="X452" s="371" t="s">
        <v>2256</v>
      </c>
      <c r="Y452" s="371" t="s">
        <v>2257</v>
      </c>
      <c r="BT452" s="174"/>
    </row>
    <row r="453" spans="22:72">
      <c r="V453" s="370" t="s">
        <v>2258</v>
      </c>
      <c r="W453" s="12" t="s">
        <v>2259</v>
      </c>
      <c r="X453" s="371" t="s">
        <v>2260</v>
      </c>
      <c r="Y453" s="371" t="s">
        <v>2261</v>
      </c>
      <c r="BT453" s="174"/>
    </row>
    <row r="454" spans="22:72">
      <c r="V454" s="370" t="s">
        <v>2262</v>
      </c>
      <c r="W454" s="12" t="s">
        <v>2263</v>
      </c>
      <c r="X454" s="371" t="s">
        <v>2264</v>
      </c>
      <c r="Y454" s="371" t="s">
        <v>2265</v>
      </c>
      <c r="BT454" s="174"/>
    </row>
    <row r="455" spans="22:72">
      <c r="V455" s="370" t="s">
        <v>2266</v>
      </c>
      <c r="W455" s="12" t="s">
        <v>2267</v>
      </c>
      <c r="X455" s="371" t="s">
        <v>2268</v>
      </c>
      <c r="Y455" s="371" t="s">
        <v>2269</v>
      </c>
      <c r="BT455" s="174"/>
    </row>
    <row r="456" spans="22:72">
      <c r="V456" s="370" t="s">
        <v>2270</v>
      </c>
      <c r="W456" s="12" t="s">
        <v>2271</v>
      </c>
      <c r="X456" s="371" t="s">
        <v>2272</v>
      </c>
      <c r="Y456" s="371" t="s">
        <v>2273</v>
      </c>
      <c r="BT456" s="174"/>
    </row>
    <row r="457" spans="22:72">
      <c r="V457" s="370" t="s">
        <v>2274</v>
      </c>
      <c r="W457" s="12" t="s">
        <v>2275</v>
      </c>
      <c r="X457" s="371" t="s">
        <v>2276</v>
      </c>
      <c r="Y457" s="371" t="s">
        <v>2277</v>
      </c>
      <c r="BT457" s="174"/>
    </row>
    <row r="458" spans="22:72">
      <c r="V458" s="370" t="s">
        <v>2278</v>
      </c>
      <c r="W458" s="12" t="s">
        <v>2279</v>
      </c>
      <c r="X458" s="371" t="s">
        <v>2280</v>
      </c>
      <c r="Y458" s="371" t="s">
        <v>2281</v>
      </c>
      <c r="BT458" s="174"/>
    </row>
    <row r="459" spans="22:72">
      <c r="V459" s="370" t="s">
        <v>2282</v>
      </c>
      <c r="W459" s="12" t="s">
        <v>2283</v>
      </c>
      <c r="X459" s="371" t="s">
        <v>2284</v>
      </c>
      <c r="Y459" s="371" t="s">
        <v>2285</v>
      </c>
      <c r="BT459" s="174"/>
    </row>
    <row r="460" spans="22:72">
      <c r="V460" s="370" t="s">
        <v>2286</v>
      </c>
      <c r="W460" s="12" t="s">
        <v>2287</v>
      </c>
      <c r="X460" s="371" t="s">
        <v>2288</v>
      </c>
      <c r="Y460" s="371" t="s">
        <v>2289</v>
      </c>
      <c r="BT460" s="174"/>
    </row>
    <row r="461" spans="22:72">
      <c r="V461" s="370" t="s">
        <v>2290</v>
      </c>
      <c r="W461" s="12" t="s">
        <v>2291</v>
      </c>
      <c r="X461" s="371" t="s">
        <v>2292</v>
      </c>
      <c r="Y461" s="371" t="s">
        <v>2293</v>
      </c>
      <c r="BT461" s="174"/>
    </row>
    <row r="462" spans="22:72">
      <c r="V462" s="370" t="s">
        <v>2294</v>
      </c>
      <c r="W462" s="12" t="s">
        <v>2295</v>
      </c>
      <c r="X462" s="371" t="s">
        <v>2296</v>
      </c>
      <c r="Y462" s="371" t="s">
        <v>2297</v>
      </c>
      <c r="BT462" s="174"/>
    </row>
    <row r="463" spans="22:72">
      <c r="V463" s="370" t="s">
        <v>2298</v>
      </c>
      <c r="W463" s="12" t="s">
        <v>2299</v>
      </c>
      <c r="X463" s="371" t="s">
        <v>2300</v>
      </c>
      <c r="Y463" s="371" t="s">
        <v>2301</v>
      </c>
      <c r="BT463" s="174"/>
    </row>
    <row r="464" spans="22:72">
      <c r="V464" s="370" t="s">
        <v>2302</v>
      </c>
      <c r="W464" s="12" t="s">
        <v>2303</v>
      </c>
      <c r="X464" s="371" t="s">
        <v>2304</v>
      </c>
      <c r="Y464" s="371" t="s">
        <v>2305</v>
      </c>
      <c r="BT464" s="174"/>
    </row>
    <row r="465" spans="22:72">
      <c r="V465" s="370" t="s">
        <v>2306</v>
      </c>
      <c r="W465" s="12" t="s">
        <v>2307</v>
      </c>
      <c r="X465" s="371" t="s">
        <v>2308</v>
      </c>
      <c r="Y465" s="371" t="s">
        <v>2309</v>
      </c>
      <c r="BT465" s="174"/>
    </row>
    <row r="466" spans="22:72">
      <c r="V466" s="370" t="s">
        <v>2310</v>
      </c>
      <c r="W466" s="12" t="s">
        <v>2311</v>
      </c>
      <c r="X466" s="371" t="s">
        <v>2312</v>
      </c>
      <c r="Y466" s="371" t="s">
        <v>2313</v>
      </c>
      <c r="BT466" s="174"/>
    </row>
    <row r="467" spans="22:72">
      <c r="V467" s="370" t="s">
        <v>2314</v>
      </c>
      <c r="W467" s="12" t="s">
        <v>2315</v>
      </c>
      <c r="X467" s="371" t="s">
        <v>2316</v>
      </c>
      <c r="Y467" s="371" t="s">
        <v>2317</v>
      </c>
      <c r="BT467" s="174"/>
    </row>
    <row r="468" spans="22:72">
      <c r="V468" s="370" t="s">
        <v>2318</v>
      </c>
      <c r="W468" s="12" t="s">
        <v>2319</v>
      </c>
      <c r="X468" s="371" t="s">
        <v>2320</v>
      </c>
      <c r="Y468" s="371" t="s">
        <v>2321</v>
      </c>
      <c r="BT468" s="174"/>
    </row>
    <row r="469" spans="22:72">
      <c r="V469" s="370" t="s">
        <v>2322</v>
      </c>
      <c r="W469" s="12" t="s">
        <v>2323</v>
      </c>
      <c r="X469" s="371" t="s">
        <v>2324</v>
      </c>
      <c r="Y469" s="371" t="s">
        <v>2325</v>
      </c>
      <c r="BT469" s="174"/>
    </row>
    <row r="470" spans="22:72">
      <c r="V470" s="370" t="s">
        <v>2326</v>
      </c>
      <c r="W470" s="12" t="s">
        <v>2327</v>
      </c>
      <c r="X470" s="371" t="s">
        <v>2328</v>
      </c>
      <c r="Y470" s="371" t="s">
        <v>2329</v>
      </c>
      <c r="BT470" s="174"/>
    </row>
    <row r="471" spans="22:72">
      <c r="V471" s="370" t="s">
        <v>2330</v>
      </c>
      <c r="W471" s="12" t="s">
        <v>2331</v>
      </c>
      <c r="X471" s="371" t="s">
        <v>2332</v>
      </c>
      <c r="Y471" s="371" t="s">
        <v>2333</v>
      </c>
      <c r="BT471" s="174"/>
    </row>
    <row r="472" spans="22:72">
      <c r="V472" s="370" t="s">
        <v>2334</v>
      </c>
      <c r="W472" s="12" t="s">
        <v>2335</v>
      </c>
      <c r="X472" s="371" t="s">
        <v>2336</v>
      </c>
      <c r="Y472" s="371" t="s">
        <v>2337</v>
      </c>
      <c r="BT472" s="174"/>
    </row>
    <row r="473" spans="22:72">
      <c r="V473" s="370" t="s">
        <v>2338</v>
      </c>
      <c r="W473" s="12" t="s">
        <v>2339</v>
      </c>
      <c r="X473" s="371" t="s">
        <v>2340</v>
      </c>
      <c r="Y473" s="371" t="s">
        <v>2341</v>
      </c>
      <c r="BT473" s="174"/>
    </row>
    <row r="474" spans="22:72">
      <c r="V474" s="370" t="s">
        <v>2342</v>
      </c>
      <c r="W474" s="12" t="s">
        <v>2343</v>
      </c>
      <c r="X474" s="371" t="s">
        <v>2344</v>
      </c>
      <c r="Y474" s="371" t="s">
        <v>2345</v>
      </c>
      <c r="BT474" s="174"/>
    </row>
    <row r="475" spans="22:72">
      <c r="V475" s="370" t="s">
        <v>2346</v>
      </c>
      <c r="W475" s="12" t="s">
        <v>2347</v>
      </c>
      <c r="X475" s="371" t="s">
        <v>2348</v>
      </c>
      <c r="Y475" s="371" t="s">
        <v>2349</v>
      </c>
      <c r="BT475" s="174"/>
    </row>
    <row r="476" spans="22:72">
      <c r="V476" s="370" t="s">
        <v>2350</v>
      </c>
      <c r="W476" s="12" t="s">
        <v>2351</v>
      </c>
      <c r="X476" s="371" t="s">
        <v>2352</v>
      </c>
      <c r="Y476" s="371" t="s">
        <v>2353</v>
      </c>
      <c r="BT476" s="174"/>
    </row>
    <row r="477" spans="22:72">
      <c r="V477" s="370" t="s">
        <v>2354</v>
      </c>
      <c r="W477" s="12" t="s">
        <v>2355</v>
      </c>
      <c r="X477" s="371" t="s">
        <v>2356</v>
      </c>
      <c r="Y477" s="371" t="s">
        <v>2357</v>
      </c>
      <c r="BT477" s="174"/>
    </row>
    <row r="478" spans="22:72">
      <c r="V478" s="370" t="s">
        <v>2358</v>
      </c>
      <c r="W478" s="12" t="s">
        <v>2359</v>
      </c>
      <c r="X478" s="371" t="s">
        <v>2360</v>
      </c>
      <c r="Y478" s="371" t="s">
        <v>2361</v>
      </c>
      <c r="BT478" s="174"/>
    </row>
    <row r="479" spans="22:72">
      <c r="V479" s="370" t="s">
        <v>2362</v>
      </c>
      <c r="W479" s="12" t="s">
        <v>2363</v>
      </c>
      <c r="X479" s="491" t="s">
        <v>2364</v>
      </c>
      <c r="Y479" s="491" t="s">
        <v>2365</v>
      </c>
      <c r="BT479" s="174"/>
    </row>
    <row r="480" spans="22:72">
      <c r="V480" s="370" t="s">
        <v>2366</v>
      </c>
      <c r="W480" s="12" t="s">
        <v>2367</v>
      </c>
      <c r="X480" s="491" t="s">
        <v>2368</v>
      </c>
      <c r="Y480" s="491" t="s">
        <v>2369</v>
      </c>
      <c r="BT480" s="174"/>
    </row>
    <row r="481" spans="22:72">
      <c r="V481" s="370" t="s">
        <v>2370</v>
      </c>
      <c r="W481" s="12" t="s">
        <v>2371</v>
      </c>
      <c r="X481" s="491" t="s">
        <v>2372</v>
      </c>
      <c r="Y481" s="491" t="s">
        <v>2373</v>
      </c>
      <c r="BT481" s="174"/>
    </row>
    <row r="482" spans="22:72">
      <c r="V482" s="370" t="s">
        <v>2374</v>
      </c>
      <c r="W482" s="12" t="s">
        <v>2375</v>
      </c>
      <c r="X482" s="491" t="s">
        <v>2376</v>
      </c>
      <c r="Y482" s="491" t="s">
        <v>2377</v>
      </c>
      <c r="BT482" s="174"/>
    </row>
    <row r="483" spans="22:72">
      <c r="V483" s="370" t="s">
        <v>2378</v>
      </c>
      <c r="W483" s="12" t="s">
        <v>2379</v>
      </c>
      <c r="X483" s="491" t="s">
        <v>2380</v>
      </c>
      <c r="Y483" s="491" t="s">
        <v>2381</v>
      </c>
      <c r="BT483" s="174"/>
    </row>
    <row r="484" spans="22:72">
      <c r="V484" s="370" t="s">
        <v>2382</v>
      </c>
      <c r="W484" s="12" t="s">
        <v>2383</v>
      </c>
      <c r="X484" s="491" t="s">
        <v>2384</v>
      </c>
      <c r="Y484" s="491" t="s">
        <v>2385</v>
      </c>
      <c r="BT484" s="174"/>
    </row>
    <row r="485" spans="22:72">
      <c r="V485" s="370" t="s">
        <v>2386</v>
      </c>
      <c r="W485" s="12" t="s">
        <v>2387</v>
      </c>
      <c r="X485" s="491" t="s">
        <v>2388</v>
      </c>
      <c r="Y485" s="491" t="s">
        <v>2389</v>
      </c>
      <c r="BT485" s="174"/>
    </row>
    <row r="486" spans="22:72">
      <c r="V486" s="370" t="s">
        <v>2390</v>
      </c>
      <c r="W486" s="12" t="s">
        <v>2391</v>
      </c>
      <c r="X486" s="491" t="s">
        <v>2392</v>
      </c>
      <c r="Y486" s="491" t="s">
        <v>2393</v>
      </c>
      <c r="BT486" s="174"/>
    </row>
    <row r="487" spans="22:72">
      <c r="V487" s="370" t="s">
        <v>2394</v>
      </c>
      <c r="W487" s="12" t="s">
        <v>2395</v>
      </c>
      <c r="X487" s="491" t="s">
        <v>2396</v>
      </c>
      <c r="Y487" s="491" t="s">
        <v>2397</v>
      </c>
      <c r="BT487" s="174"/>
    </row>
    <row r="488" spans="22:72">
      <c r="V488" s="370" t="s">
        <v>2398</v>
      </c>
      <c r="W488" s="12" t="s">
        <v>2399</v>
      </c>
      <c r="X488" s="491" t="s">
        <v>2400</v>
      </c>
      <c r="Y488" s="491" t="s">
        <v>2401</v>
      </c>
      <c r="BT488" s="174"/>
    </row>
    <row r="489" spans="22:72">
      <c r="V489" s="370" t="s">
        <v>2402</v>
      </c>
      <c r="W489" s="12" t="s">
        <v>2403</v>
      </c>
      <c r="X489" s="491" t="s">
        <v>2404</v>
      </c>
      <c r="Y489" s="491" t="s">
        <v>2405</v>
      </c>
      <c r="BT489" s="174"/>
    </row>
    <row r="490" spans="22:72">
      <c r="V490" s="370" t="s">
        <v>2406</v>
      </c>
      <c r="W490" s="12" t="s">
        <v>2407</v>
      </c>
      <c r="X490" s="491" t="s">
        <v>2408</v>
      </c>
      <c r="Y490" s="491" t="s">
        <v>2409</v>
      </c>
      <c r="BT490" s="174"/>
    </row>
    <row r="491" spans="22:72">
      <c r="V491" s="370" t="s">
        <v>2410</v>
      </c>
      <c r="W491" s="12" t="s">
        <v>2411</v>
      </c>
      <c r="X491" s="491" t="s">
        <v>2412</v>
      </c>
      <c r="Y491" s="491" t="s">
        <v>2413</v>
      </c>
      <c r="BT491" s="174"/>
    </row>
    <row r="492" spans="22:72">
      <c r="V492" s="370" t="s">
        <v>2414</v>
      </c>
      <c r="W492" s="12" t="s">
        <v>2415</v>
      </c>
      <c r="X492" s="491" t="s">
        <v>2416</v>
      </c>
      <c r="Y492" s="491" t="s">
        <v>2417</v>
      </c>
      <c r="BT492" s="174"/>
    </row>
    <row r="493" spans="22:72">
      <c r="V493" s="370" t="s">
        <v>2418</v>
      </c>
      <c r="W493" s="12" t="s">
        <v>2419</v>
      </c>
      <c r="X493" s="491" t="s">
        <v>2420</v>
      </c>
      <c r="Y493" s="491" t="s">
        <v>2421</v>
      </c>
      <c r="BT493" s="174"/>
    </row>
    <row r="494" spans="22:72">
      <c r="V494" s="370" t="s">
        <v>2422</v>
      </c>
      <c r="W494" s="12" t="s">
        <v>2423</v>
      </c>
      <c r="X494" s="491" t="s">
        <v>2424</v>
      </c>
      <c r="Y494" s="491" t="s">
        <v>2425</v>
      </c>
      <c r="BT494" s="174"/>
    </row>
    <row r="495" spans="22:72">
      <c r="V495" s="370" t="s">
        <v>2426</v>
      </c>
      <c r="W495" s="12" t="s">
        <v>2427</v>
      </c>
      <c r="X495" s="491" t="s">
        <v>2428</v>
      </c>
      <c r="Y495" s="491" t="s">
        <v>2429</v>
      </c>
      <c r="BT495" s="174"/>
    </row>
    <row r="496" spans="22:72">
      <c r="V496" s="370" t="s">
        <v>2430</v>
      </c>
      <c r="W496" s="12" t="s">
        <v>2431</v>
      </c>
      <c r="X496" s="491" t="s">
        <v>2432</v>
      </c>
      <c r="Y496" s="491" t="s">
        <v>2433</v>
      </c>
      <c r="BT496" s="174"/>
    </row>
    <row r="497" spans="22:72">
      <c r="V497" s="370" t="s">
        <v>2434</v>
      </c>
      <c r="W497" s="12" t="s">
        <v>2435</v>
      </c>
      <c r="X497" s="491" t="s">
        <v>2436</v>
      </c>
      <c r="Y497" s="491" t="s">
        <v>2437</v>
      </c>
      <c r="BT497" s="174"/>
    </row>
    <row r="498" spans="22:72">
      <c r="V498" s="370" t="s">
        <v>2438</v>
      </c>
      <c r="W498" s="12" t="s">
        <v>2439</v>
      </c>
      <c r="X498" s="491" t="s">
        <v>2440</v>
      </c>
      <c r="Y498" s="491" t="s">
        <v>2441</v>
      </c>
      <c r="BT498" s="174"/>
    </row>
    <row r="499" spans="22:72">
      <c r="V499" s="370" t="s">
        <v>2442</v>
      </c>
      <c r="W499" s="12" t="s">
        <v>2443</v>
      </c>
      <c r="X499" s="491" t="s">
        <v>2444</v>
      </c>
      <c r="Y499" s="491" t="s">
        <v>2445</v>
      </c>
      <c r="BT499" s="174"/>
    </row>
    <row r="500" spans="22:72">
      <c r="V500" s="370" t="s">
        <v>2446</v>
      </c>
      <c r="W500" s="12" t="s">
        <v>2447</v>
      </c>
      <c r="X500" s="491" t="s">
        <v>2448</v>
      </c>
      <c r="Y500" s="491" t="s">
        <v>2449</v>
      </c>
      <c r="BT500" s="174"/>
    </row>
    <row r="501" spans="22:72">
      <c r="V501" s="370" t="s">
        <v>2450</v>
      </c>
      <c r="W501" s="12" t="s">
        <v>2451</v>
      </c>
      <c r="X501" s="491" t="s">
        <v>2452</v>
      </c>
      <c r="Y501" s="491" t="s">
        <v>2453</v>
      </c>
      <c r="BT501" s="174"/>
    </row>
    <row r="502" spans="22:72">
      <c r="V502" s="370" t="s">
        <v>2454</v>
      </c>
      <c r="W502" s="12" t="s">
        <v>2455</v>
      </c>
      <c r="X502" s="491" t="s">
        <v>2456</v>
      </c>
      <c r="Y502" s="491" t="s">
        <v>2457</v>
      </c>
      <c r="BT502" s="174"/>
    </row>
    <row r="503" spans="22:72">
      <c r="V503" s="370" t="s">
        <v>2458</v>
      </c>
      <c r="W503" s="12" t="s">
        <v>2459</v>
      </c>
      <c r="X503" s="491" t="s">
        <v>2460</v>
      </c>
      <c r="Y503" s="491" t="s">
        <v>2461</v>
      </c>
      <c r="BT503" s="174"/>
    </row>
    <row r="504" spans="22:72">
      <c r="V504" s="370" t="s">
        <v>2462</v>
      </c>
      <c r="W504" s="12" t="s">
        <v>2463</v>
      </c>
      <c r="X504" s="491" t="s">
        <v>2464</v>
      </c>
      <c r="Y504" s="491" t="s">
        <v>2465</v>
      </c>
      <c r="BT504" s="174"/>
    </row>
    <row r="505" spans="22:72">
      <c r="V505" s="370" t="s">
        <v>2466</v>
      </c>
      <c r="W505" s="12" t="s">
        <v>2467</v>
      </c>
      <c r="X505" s="491" t="s">
        <v>2468</v>
      </c>
      <c r="Y505" s="491" t="s">
        <v>2469</v>
      </c>
      <c r="BT505" s="492"/>
    </row>
    <row r="506" spans="22:72">
      <c r="V506" s="370" t="s">
        <v>2470</v>
      </c>
      <c r="W506" s="12" t="s">
        <v>2471</v>
      </c>
      <c r="X506" s="491" t="s">
        <v>2472</v>
      </c>
      <c r="Y506" s="491" t="s">
        <v>2473</v>
      </c>
      <c r="BT506" s="492"/>
    </row>
    <row r="507" spans="22:72">
      <c r="V507" s="370" t="s">
        <v>2474</v>
      </c>
      <c r="W507" s="12" t="s">
        <v>2475</v>
      </c>
      <c r="X507" s="491" t="s">
        <v>2476</v>
      </c>
      <c r="Y507" s="491" t="s">
        <v>2477</v>
      </c>
      <c r="BT507" s="492"/>
    </row>
    <row r="508" spans="22:72">
      <c r="V508" s="370" t="s">
        <v>2478</v>
      </c>
      <c r="W508" s="12" t="s">
        <v>2479</v>
      </c>
      <c r="X508" s="491" t="s">
        <v>2480</v>
      </c>
      <c r="Y508" s="491" t="s">
        <v>2481</v>
      </c>
      <c r="BT508" s="492"/>
    </row>
    <row r="509" spans="22:72">
      <c r="V509" s="370" t="s">
        <v>2482</v>
      </c>
      <c r="W509" s="12" t="s">
        <v>2483</v>
      </c>
      <c r="X509" s="491" t="s">
        <v>2484</v>
      </c>
      <c r="Y509" s="491" t="s">
        <v>2485</v>
      </c>
      <c r="BT509" s="492"/>
    </row>
    <row r="510" spans="22:72">
      <c r="V510" s="370" t="s">
        <v>2486</v>
      </c>
      <c r="W510" s="12" t="s">
        <v>2487</v>
      </c>
      <c r="X510" s="491" t="s">
        <v>2488</v>
      </c>
      <c r="Y510" s="491" t="s">
        <v>2489</v>
      </c>
      <c r="BT510" s="492"/>
    </row>
    <row r="511" spans="22:72">
      <c r="V511" s="370" t="s">
        <v>2490</v>
      </c>
      <c r="W511" s="12" t="s">
        <v>2491</v>
      </c>
      <c r="X511" s="491" t="s">
        <v>2492</v>
      </c>
      <c r="Y511" s="491" t="s">
        <v>2493</v>
      </c>
      <c r="BT511" s="492"/>
    </row>
    <row r="512" spans="22:72">
      <c r="V512" s="370" t="s">
        <v>2494</v>
      </c>
      <c r="W512" s="12" t="s">
        <v>2495</v>
      </c>
      <c r="X512" s="491" t="s">
        <v>2496</v>
      </c>
      <c r="Y512" s="491" t="s">
        <v>2497</v>
      </c>
      <c r="BT512" s="492"/>
    </row>
    <row r="513" spans="22:72">
      <c r="V513" s="370" t="s">
        <v>2498</v>
      </c>
      <c r="W513" s="12" t="s">
        <v>2499</v>
      </c>
      <c r="X513" s="491" t="s">
        <v>2500</v>
      </c>
      <c r="Y513" s="491" t="s">
        <v>2501</v>
      </c>
      <c r="BT513" s="492"/>
    </row>
    <row r="514" spans="22:72">
      <c r="V514" s="370" t="s">
        <v>2502</v>
      </c>
      <c r="W514" s="12" t="s">
        <v>2503</v>
      </c>
      <c r="X514" s="491" t="s">
        <v>2504</v>
      </c>
      <c r="Y514" s="491" t="s">
        <v>2505</v>
      </c>
      <c r="BT514" s="492"/>
    </row>
    <row r="515" spans="22:72">
      <c r="V515" s="370" t="s">
        <v>2506</v>
      </c>
      <c r="W515" s="12" t="s">
        <v>2507</v>
      </c>
      <c r="X515" s="491" t="s">
        <v>2508</v>
      </c>
      <c r="Y515" s="491" t="s">
        <v>2509</v>
      </c>
      <c r="BT515" s="492"/>
    </row>
    <row r="516" spans="22:72">
      <c r="V516" s="370" t="s">
        <v>2510</v>
      </c>
      <c r="W516" s="12" t="s">
        <v>2511</v>
      </c>
      <c r="X516" s="491" t="s">
        <v>2512</v>
      </c>
      <c r="Y516" s="491" t="s">
        <v>2513</v>
      </c>
      <c r="BT516" s="492"/>
    </row>
    <row r="517" spans="22:72">
      <c r="V517" s="370" t="s">
        <v>2514</v>
      </c>
      <c r="W517" s="12" t="s">
        <v>2515</v>
      </c>
      <c r="X517" s="491" t="s">
        <v>2516</v>
      </c>
      <c r="Y517" s="491" t="s">
        <v>2517</v>
      </c>
      <c r="BT517" s="492"/>
    </row>
    <row r="518" spans="22:72">
      <c r="V518" s="370" t="s">
        <v>2518</v>
      </c>
      <c r="W518" s="12" t="s">
        <v>2519</v>
      </c>
      <c r="X518" s="491" t="s">
        <v>2520</v>
      </c>
      <c r="Y518" s="491" t="s">
        <v>2521</v>
      </c>
      <c r="BT518" s="492"/>
    </row>
    <row r="519" spans="22:72">
      <c r="V519" s="370" t="s">
        <v>2522</v>
      </c>
      <c r="W519" s="12" t="s">
        <v>2523</v>
      </c>
      <c r="X519" s="491" t="s">
        <v>2524</v>
      </c>
      <c r="Y519" s="491" t="s">
        <v>2525</v>
      </c>
      <c r="BT519" s="492"/>
    </row>
    <row r="520" spans="22:72">
      <c r="V520" s="370" t="s">
        <v>2526</v>
      </c>
      <c r="W520" s="12" t="s">
        <v>2527</v>
      </c>
      <c r="X520" s="491" t="s">
        <v>2528</v>
      </c>
      <c r="Y520" s="491" t="s">
        <v>2529</v>
      </c>
      <c r="BT520" s="492"/>
    </row>
    <row r="521" spans="22:72">
      <c r="V521" s="370" t="s">
        <v>2530</v>
      </c>
      <c r="W521" s="12" t="s">
        <v>2531</v>
      </c>
      <c r="X521" s="491" t="s">
        <v>2532</v>
      </c>
      <c r="Y521" s="491" t="s">
        <v>2533</v>
      </c>
      <c r="BT521" s="492"/>
    </row>
    <row r="522" spans="22:72">
      <c r="V522" s="370" t="s">
        <v>2534</v>
      </c>
      <c r="W522" s="12" t="s">
        <v>2535</v>
      </c>
      <c r="X522" s="491" t="s">
        <v>2536</v>
      </c>
      <c r="Y522" s="491" t="s">
        <v>2537</v>
      </c>
      <c r="BT522" s="492"/>
    </row>
    <row r="523" spans="22:72">
      <c r="V523" s="370" t="s">
        <v>2538</v>
      </c>
      <c r="W523" s="12" t="s">
        <v>2539</v>
      </c>
      <c r="X523" s="491" t="s">
        <v>2540</v>
      </c>
      <c r="Y523" s="491" t="s">
        <v>2541</v>
      </c>
      <c r="BT523" s="492"/>
    </row>
    <row r="524" spans="22:72">
      <c r="V524" s="370" t="s">
        <v>2542</v>
      </c>
      <c r="W524" s="12" t="s">
        <v>2543</v>
      </c>
      <c r="X524" s="491" t="s">
        <v>2544</v>
      </c>
      <c r="Y524" s="491" t="s">
        <v>2545</v>
      </c>
      <c r="BT524" s="492"/>
    </row>
    <row r="525" spans="22:72">
      <c r="V525" s="370" t="s">
        <v>2546</v>
      </c>
      <c r="W525" s="12" t="s">
        <v>2547</v>
      </c>
      <c r="X525" s="491" t="s">
        <v>2548</v>
      </c>
      <c r="Y525" s="491" t="s">
        <v>2549</v>
      </c>
      <c r="BT525" s="492"/>
    </row>
    <row r="526" spans="22:72">
      <c r="V526" s="370" t="s">
        <v>2550</v>
      </c>
      <c r="W526" s="12" t="s">
        <v>2551</v>
      </c>
      <c r="X526" s="491" t="s">
        <v>2552</v>
      </c>
      <c r="Y526" s="491" t="s">
        <v>2553</v>
      </c>
      <c r="BT526" s="492"/>
    </row>
    <row r="527" spans="22:72">
      <c r="V527" s="370" t="s">
        <v>2554</v>
      </c>
      <c r="W527" s="12" t="s">
        <v>2555</v>
      </c>
      <c r="X527" s="491" t="s">
        <v>2556</v>
      </c>
      <c r="Y527" s="491" t="s">
        <v>2557</v>
      </c>
      <c r="BT527" s="492"/>
    </row>
    <row r="528" spans="22:72">
      <c r="V528" s="370" t="s">
        <v>2558</v>
      </c>
      <c r="W528" s="12" t="s">
        <v>2559</v>
      </c>
      <c r="X528" s="491" t="s">
        <v>2560</v>
      </c>
      <c r="Y528" s="491" t="s">
        <v>2561</v>
      </c>
      <c r="BT528" s="492"/>
    </row>
    <row r="529" spans="22:72">
      <c r="V529" s="370" t="s">
        <v>2562</v>
      </c>
      <c r="W529" s="12" t="s">
        <v>2563</v>
      </c>
      <c r="X529" s="491" t="s">
        <v>2564</v>
      </c>
      <c r="Y529" s="491" t="s">
        <v>2565</v>
      </c>
      <c r="BT529" s="492"/>
    </row>
    <row r="530" spans="22:72">
      <c r="V530" s="370" t="s">
        <v>2566</v>
      </c>
      <c r="W530" s="12" t="s">
        <v>2567</v>
      </c>
      <c r="X530" s="491" t="s">
        <v>2568</v>
      </c>
      <c r="Y530" s="491" t="s">
        <v>2569</v>
      </c>
      <c r="BT530" s="492"/>
    </row>
    <row r="531" spans="22:72">
      <c r="V531" s="370" t="s">
        <v>2570</v>
      </c>
      <c r="W531" s="12" t="s">
        <v>2571</v>
      </c>
      <c r="X531" s="491" t="s">
        <v>2572</v>
      </c>
      <c r="Y531" s="491" t="s">
        <v>2573</v>
      </c>
      <c r="BT531" s="492"/>
    </row>
    <row r="532" spans="22:72">
      <c r="V532" s="370" t="s">
        <v>2574</v>
      </c>
      <c r="W532" s="12" t="s">
        <v>2575</v>
      </c>
      <c r="X532" s="491" t="s">
        <v>2576</v>
      </c>
      <c r="Y532" s="491" t="s">
        <v>2577</v>
      </c>
      <c r="BT532" s="492"/>
    </row>
    <row r="533" spans="22:72">
      <c r="V533" s="370" t="s">
        <v>2578</v>
      </c>
      <c r="W533" s="12" t="s">
        <v>2579</v>
      </c>
      <c r="X533" s="491" t="s">
        <v>2580</v>
      </c>
      <c r="Y533" s="491" t="s">
        <v>2581</v>
      </c>
      <c r="BT533" s="492"/>
    </row>
    <row r="534" spans="22:72">
      <c r="V534" s="370" t="s">
        <v>2582</v>
      </c>
      <c r="W534" s="12" t="s">
        <v>2583</v>
      </c>
      <c r="X534" s="491" t="s">
        <v>2584</v>
      </c>
      <c r="Y534" s="491" t="s">
        <v>2585</v>
      </c>
      <c r="BT534" s="492"/>
    </row>
    <row r="535" spans="22:72">
      <c r="V535" s="370" t="s">
        <v>2586</v>
      </c>
      <c r="W535" s="12" t="s">
        <v>2587</v>
      </c>
      <c r="X535" s="491" t="s">
        <v>2588</v>
      </c>
      <c r="Y535" s="491" t="s">
        <v>2589</v>
      </c>
      <c r="BT535" s="492"/>
    </row>
    <row r="536" spans="22:72">
      <c r="V536" s="370" t="s">
        <v>2590</v>
      </c>
      <c r="W536" s="12" t="s">
        <v>2591</v>
      </c>
      <c r="X536" s="491" t="s">
        <v>2592</v>
      </c>
      <c r="Y536" s="491" t="s">
        <v>2593</v>
      </c>
      <c r="BT536" s="492"/>
    </row>
    <row r="537" spans="22:72">
      <c r="V537" s="370" t="s">
        <v>2594</v>
      </c>
      <c r="W537" s="12" t="s">
        <v>2595</v>
      </c>
      <c r="X537" s="491" t="s">
        <v>2596</v>
      </c>
      <c r="Y537" s="491" t="s">
        <v>2597</v>
      </c>
      <c r="BT537" s="492"/>
    </row>
    <row r="538" spans="22:72">
      <c r="V538" s="370" t="s">
        <v>2598</v>
      </c>
      <c r="W538" s="12" t="s">
        <v>2599</v>
      </c>
      <c r="X538" s="491" t="s">
        <v>2600</v>
      </c>
      <c r="Y538" s="491" t="s">
        <v>2601</v>
      </c>
      <c r="BT538" s="492"/>
    </row>
    <row r="539" spans="22:72">
      <c r="V539" s="370" t="s">
        <v>2602</v>
      </c>
      <c r="W539" s="12" t="s">
        <v>2603</v>
      </c>
      <c r="X539" s="491" t="s">
        <v>2604</v>
      </c>
      <c r="Y539" s="491" t="s">
        <v>2605</v>
      </c>
      <c r="BT539" s="492"/>
    </row>
    <row r="540" spans="22:72">
      <c r="V540" s="370" t="s">
        <v>2606</v>
      </c>
      <c r="W540" s="12" t="s">
        <v>2607</v>
      </c>
      <c r="X540" s="491" t="s">
        <v>2608</v>
      </c>
      <c r="Y540" s="491" t="s">
        <v>2609</v>
      </c>
      <c r="BT540" s="492"/>
    </row>
    <row r="541" spans="22:72">
      <c r="V541" s="370" t="s">
        <v>2610</v>
      </c>
      <c r="W541" s="12" t="s">
        <v>2611</v>
      </c>
      <c r="X541" s="491" t="s">
        <v>2612</v>
      </c>
      <c r="Y541" s="491" t="s">
        <v>2613</v>
      </c>
      <c r="BT541" s="492"/>
    </row>
    <row r="542" spans="22:72">
      <c r="V542" s="370" t="s">
        <v>2614</v>
      </c>
      <c r="W542" s="12" t="s">
        <v>2615</v>
      </c>
      <c r="X542" s="491" t="s">
        <v>2616</v>
      </c>
      <c r="Y542" s="491" t="s">
        <v>2617</v>
      </c>
      <c r="BT542" s="492"/>
    </row>
    <row r="543" spans="22:72">
      <c r="V543" s="370" t="s">
        <v>2618</v>
      </c>
      <c r="W543" s="12" t="s">
        <v>2619</v>
      </c>
      <c r="X543" s="491" t="s">
        <v>2620</v>
      </c>
      <c r="Y543" s="491" t="s">
        <v>2621</v>
      </c>
      <c r="BT543" s="492"/>
    </row>
    <row r="544" spans="22:72">
      <c r="V544" s="370" t="s">
        <v>2622</v>
      </c>
      <c r="W544" s="12" t="s">
        <v>2623</v>
      </c>
      <c r="X544" s="491" t="s">
        <v>2624</v>
      </c>
      <c r="Y544" s="491" t="s">
        <v>2625</v>
      </c>
      <c r="BT544" s="492"/>
    </row>
    <row r="545" spans="22:72">
      <c r="V545" s="370" t="s">
        <v>2626</v>
      </c>
      <c r="W545" s="12" t="s">
        <v>2627</v>
      </c>
      <c r="X545" s="491" t="s">
        <v>2628</v>
      </c>
      <c r="Y545" s="491" t="s">
        <v>2629</v>
      </c>
      <c r="BT545" s="492"/>
    </row>
    <row r="546" spans="22:72">
      <c r="V546" s="370" t="s">
        <v>2630</v>
      </c>
      <c r="W546" s="12" t="s">
        <v>2631</v>
      </c>
      <c r="X546" s="491" t="s">
        <v>2632</v>
      </c>
      <c r="Y546" s="491" t="s">
        <v>2633</v>
      </c>
      <c r="BT546" s="492"/>
    </row>
    <row r="547" spans="22:72">
      <c r="V547" s="370" t="s">
        <v>2634</v>
      </c>
      <c r="W547" s="12" t="s">
        <v>2635</v>
      </c>
      <c r="X547" s="491" t="s">
        <v>2636</v>
      </c>
      <c r="Y547" s="491" t="s">
        <v>2637</v>
      </c>
      <c r="BT547" s="492"/>
    </row>
    <row r="548" spans="22:72">
      <c r="V548" s="370" t="s">
        <v>2638</v>
      </c>
      <c r="W548" s="12" t="s">
        <v>2639</v>
      </c>
      <c r="X548" s="491" t="s">
        <v>2640</v>
      </c>
      <c r="Y548" s="491" t="s">
        <v>2641</v>
      </c>
      <c r="BT548" s="492"/>
    </row>
    <row r="549" spans="22:72">
      <c r="V549" s="370" t="s">
        <v>2642</v>
      </c>
      <c r="W549" s="12" t="s">
        <v>2643</v>
      </c>
      <c r="X549" s="491" t="s">
        <v>2644</v>
      </c>
      <c r="Y549" s="491" t="s">
        <v>2645</v>
      </c>
      <c r="BT549" s="492"/>
    </row>
    <row r="550" spans="22:72">
      <c r="V550" s="370" t="s">
        <v>2646</v>
      </c>
      <c r="W550" s="12" t="s">
        <v>2647</v>
      </c>
      <c r="X550" s="491" t="s">
        <v>2648</v>
      </c>
      <c r="Y550" s="491" t="s">
        <v>2649</v>
      </c>
      <c r="BT550" s="492"/>
    </row>
    <row r="551" spans="22:72">
      <c r="V551" s="370" t="s">
        <v>2650</v>
      </c>
      <c r="W551" s="12" t="s">
        <v>2651</v>
      </c>
      <c r="X551" s="491" t="s">
        <v>2652</v>
      </c>
      <c r="Y551" s="491" t="s">
        <v>2653</v>
      </c>
      <c r="BT551" s="492"/>
    </row>
    <row r="552" spans="22:72">
      <c r="V552" s="370" t="s">
        <v>2654</v>
      </c>
      <c r="W552" s="12" t="s">
        <v>2655</v>
      </c>
      <c r="X552" s="491" t="s">
        <v>2656</v>
      </c>
      <c r="Y552" s="491" t="s">
        <v>2657</v>
      </c>
      <c r="BT552" s="492"/>
    </row>
    <row r="553" spans="22:72">
      <c r="V553" s="370" t="s">
        <v>2658</v>
      </c>
      <c r="W553" s="12" t="s">
        <v>2659</v>
      </c>
      <c r="X553" s="491" t="s">
        <v>2660</v>
      </c>
      <c r="Y553" s="491" t="s">
        <v>2661</v>
      </c>
      <c r="BT553" s="492"/>
    </row>
    <row r="554" spans="22:72">
      <c r="V554" s="370" t="s">
        <v>2662</v>
      </c>
      <c r="W554" s="12" t="s">
        <v>2663</v>
      </c>
      <c r="X554" s="491" t="s">
        <v>2664</v>
      </c>
      <c r="Y554" s="491" t="s">
        <v>2665</v>
      </c>
      <c r="BT554" s="492"/>
    </row>
    <row r="555" spans="22:72">
      <c r="V555" s="370" t="s">
        <v>2666</v>
      </c>
      <c r="W555" s="12" t="s">
        <v>2667</v>
      </c>
      <c r="X555" s="491" t="s">
        <v>2668</v>
      </c>
      <c r="Y555" s="491" t="s">
        <v>2669</v>
      </c>
      <c r="BT555" s="492"/>
    </row>
    <row r="556" spans="22:72">
      <c r="V556" s="370" t="s">
        <v>2670</v>
      </c>
      <c r="W556" s="12" t="s">
        <v>2671</v>
      </c>
      <c r="X556" s="491" t="s">
        <v>2672</v>
      </c>
      <c r="Y556" s="491" t="s">
        <v>2673</v>
      </c>
      <c r="BT556" s="492"/>
    </row>
    <row r="557" spans="22:72">
      <c r="V557" s="370" t="s">
        <v>2674</v>
      </c>
      <c r="W557" s="12" t="s">
        <v>2675</v>
      </c>
      <c r="X557" s="491" t="s">
        <v>2676</v>
      </c>
      <c r="Y557" s="491" t="s">
        <v>2677</v>
      </c>
      <c r="BT557" s="492"/>
    </row>
    <row r="558" spans="22:72">
      <c r="V558" s="370" t="s">
        <v>2678</v>
      </c>
      <c r="W558" s="12" t="s">
        <v>2679</v>
      </c>
      <c r="X558" s="491" t="s">
        <v>2680</v>
      </c>
      <c r="Y558" s="491" t="s">
        <v>2681</v>
      </c>
      <c r="BT558" s="492"/>
    </row>
    <row r="559" spans="22:72">
      <c r="V559" s="370" t="s">
        <v>2682</v>
      </c>
      <c r="W559" s="12" t="s">
        <v>2683</v>
      </c>
      <c r="X559" s="491" t="s">
        <v>2684</v>
      </c>
      <c r="Y559" s="491" t="s">
        <v>2685</v>
      </c>
      <c r="BT559" s="492"/>
    </row>
    <row r="560" spans="22:72">
      <c r="V560" s="370" t="s">
        <v>2686</v>
      </c>
      <c r="W560" s="12" t="s">
        <v>2687</v>
      </c>
      <c r="X560" s="491" t="s">
        <v>2688</v>
      </c>
      <c r="Y560" s="491" t="s">
        <v>2689</v>
      </c>
      <c r="BT560" s="492"/>
    </row>
    <row r="561" spans="22:72">
      <c r="V561" s="370" t="s">
        <v>2690</v>
      </c>
      <c r="W561" s="12" t="s">
        <v>2691</v>
      </c>
      <c r="X561" s="491" t="s">
        <v>2692</v>
      </c>
      <c r="Y561" s="491" t="s">
        <v>2693</v>
      </c>
      <c r="BT561" s="492"/>
    </row>
    <row r="562" spans="22:72">
      <c r="V562" s="370" t="s">
        <v>2694</v>
      </c>
      <c r="W562" s="12" t="s">
        <v>2695</v>
      </c>
      <c r="X562" s="491" t="s">
        <v>2696</v>
      </c>
      <c r="Y562" s="491" t="s">
        <v>2697</v>
      </c>
      <c r="BT562" s="492"/>
    </row>
    <row r="563" spans="22:72">
      <c r="V563" s="370" t="s">
        <v>2698</v>
      </c>
      <c r="W563" s="12" t="s">
        <v>2699</v>
      </c>
      <c r="X563" s="491" t="s">
        <v>2700</v>
      </c>
      <c r="Y563" s="491" t="s">
        <v>2701</v>
      </c>
      <c r="BT563" s="492"/>
    </row>
    <row r="564" spans="22:72">
      <c r="V564" s="370" t="s">
        <v>2702</v>
      </c>
      <c r="W564" s="12" t="s">
        <v>2703</v>
      </c>
      <c r="X564" s="491" t="s">
        <v>2704</v>
      </c>
      <c r="Y564" s="491" t="s">
        <v>2705</v>
      </c>
      <c r="BT564" s="492"/>
    </row>
    <row r="565" spans="22:72">
      <c r="V565" s="370" t="s">
        <v>2706</v>
      </c>
      <c r="W565" s="12" t="s">
        <v>2707</v>
      </c>
      <c r="X565" s="491" t="s">
        <v>2708</v>
      </c>
      <c r="Y565" s="491" t="s">
        <v>2709</v>
      </c>
      <c r="BT565" s="492"/>
    </row>
    <row r="566" spans="22:72">
      <c r="V566" s="370" t="s">
        <v>2710</v>
      </c>
      <c r="W566" s="12" t="s">
        <v>2711</v>
      </c>
      <c r="X566" s="491" t="s">
        <v>2712</v>
      </c>
      <c r="Y566" s="491" t="s">
        <v>2713</v>
      </c>
      <c r="BT566" s="492"/>
    </row>
    <row r="567" spans="22:72">
      <c r="V567" s="370" t="s">
        <v>2714</v>
      </c>
      <c r="W567" s="12" t="s">
        <v>2715</v>
      </c>
      <c r="X567" s="491" t="s">
        <v>2716</v>
      </c>
      <c r="Y567" s="491" t="s">
        <v>2717</v>
      </c>
      <c r="BT567" s="492"/>
    </row>
    <row r="568" spans="22:72">
      <c r="V568" s="370" t="s">
        <v>2718</v>
      </c>
      <c r="W568" s="12" t="s">
        <v>2719</v>
      </c>
      <c r="X568" s="491" t="s">
        <v>2720</v>
      </c>
      <c r="Y568" s="491" t="s">
        <v>2721</v>
      </c>
      <c r="BT568" s="492"/>
    </row>
    <row r="569" spans="22:72">
      <c r="V569" s="370" t="s">
        <v>2722</v>
      </c>
      <c r="W569" s="12" t="s">
        <v>2723</v>
      </c>
      <c r="X569" s="491" t="s">
        <v>2724</v>
      </c>
      <c r="Y569" s="491" t="s">
        <v>2725</v>
      </c>
      <c r="BT569" s="492"/>
    </row>
    <row r="570" spans="22:72">
      <c r="V570" s="370" t="s">
        <v>2726</v>
      </c>
      <c r="W570" s="12" t="s">
        <v>2727</v>
      </c>
      <c r="X570" s="491" t="s">
        <v>2728</v>
      </c>
      <c r="Y570" s="491" t="s">
        <v>2729</v>
      </c>
      <c r="BT570" s="492"/>
    </row>
    <row r="571" spans="22:72">
      <c r="V571" s="370" t="s">
        <v>2730</v>
      </c>
      <c r="W571" s="12" t="s">
        <v>2731</v>
      </c>
      <c r="X571" s="491" t="s">
        <v>2732</v>
      </c>
      <c r="Y571" s="491" t="s">
        <v>2733</v>
      </c>
      <c r="BT571" s="492"/>
    </row>
    <row r="572" spans="22:72">
      <c r="V572" s="370" t="s">
        <v>2734</v>
      </c>
      <c r="W572" s="12" t="s">
        <v>2735</v>
      </c>
      <c r="X572" s="491" t="s">
        <v>2736</v>
      </c>
      <c r="Y572" s="491" t="s">
        <v>2737</v>
      </c>
      <c r="BT572" s="492"/>
    </row>
    <row r="573" spans="22:72">
      <c r="V573" s="370" t="s">
        <v>2738</v>
      </c>
      <c r="W573" s="12" t="s">
        <v>2739</v>
      </c>
      <c r="X573" s="491" t="s">
        <v>2740</v>
      </c>
      <c r="Y573" s="491" t="s">
        <v>2741</v>
      </c>
      <c r="BT573" s="492"/>
    </row>
    <row r="574" spans="22:72">
      <c r="V574" s="370" t="s">
        <v>2742</v>
      </c>
      <c r="W574" s="12" t="s">
        <v>2743</v>
      </c>
      <c r="X574" s="491" t="s">
        <v>2744</v>
      </c>
      <c r="Y574" s="491" t="s">
        <v>2745</v>
      </c>
      <c r="BT574" s="492"/>
    </row>
    <row r="575" spans="22:72">
      <c r="V575" s="370" t="s">
        <v>2746</v>
      </c>
      <c r="W575" s="12" t="s">
        <v>2747</v>
      </c>
      <c r="X575" s="491" t="s">
        <v>2748</v>
      </c>
      <c r="Y575" s="491" t="s">
        <v>2749</v>
      </c>
      <c r="BT575" s="492"/>
    </row>
    <row r="576" spans="22:72">
      <c r="V576" s="370" t="s">
        <v>2750</v>
      </c>
      <c r="W576" s="12" t="s">
        <v>2751</v>
      </c>
      <c r="X576" s="491" t="s">
        <v>2752</v>
      </c>
      <c r="Y576" s="491" t="s">
        <v>2753</v>
      </c>
      <c r="BT576" s="492"/>
    </row>
    <row r="577" spans="22:72">
      <c r="V577" s="370" t="s">
        <v>2754</v>
      </c>
      <c r="W577" s="12" t="s">
        <v>2755</v>
      </c>
      <c r="X577" s="491" t="s">
        <v>2756</v>
      </c>
      <c r="Y577" s="491" t="s">
        <v>2757</v>
      </c>
      <c r="BT577" s="492"/>
    </row>
    <row r="578" spans="22:72">
      <c r="V578" s="370" t="s">
        <v>2758</v>
      </c>
      <c r="W578" s="12" t="s">
        <v>2759</v>
      </c>
      <c r="X578" s="491" t="s">
        <v>2760</v>
      </c>
      <c r="Y578" s="491" t="s">
        <v>2761</v>
      </c>
      <c r="BT578" s="492"/>
    </row>
    <row r="579" spans="22:72">
      <c r="V579" s="370" t="s">
        <v>2762</v>
      </c>
      <c r="W579" s="12" t="s">
        <v>2763</v>
      </c>
      <c r="X579" s="491" t="s">
        <v>2764</v>
      </c>
      <c r="Y579" s="491" t="s">
        <v>2765</v>
      </c>
      <c r="BT579" s="492"/>
    </row>
    <row r="580" spans="22:72">
      <c r="V580" s="370" t="s">
        <v>2766</v>
      </c>
      <c r="W580" s="12" t="s">
        <v>2767</v>
      </c>
      <c r="X580" s="491" t="s">
        <v>2768</v>
      </c>
      <c r="Y580" s="491" t="s">
        <v>2769</v>
      </c>
      <c r="BT580" s="492"/>
    </row>
    <row r="581" spans="22:72">
      <c r="V581" s="370" t="s">
        <v>2770</v>
      </c>
      <c r="W581" s="12" t="s">
        <v>2771</v>
      </c>
      <c r="X581" s="491" t="s">
        <v>2772</v>
      </c>
      <c r="Y581" s="491" t="s">
        <v>2773</v>
      </c>
      <c r="BT581" s="492"/>
    </row>
    <row r="582" spans="22:72">
      <c r="V582" s="370" t="s">
        <v>2774</v>
      </c>
      <c r="W582" s="12" t="s">
        <v>2775</v>
      </c>
      <c r="X582" s="491" t="s">
        <v>2776</v>
      </c>
      <c r="Y582" s="491" t="s">
        <v>2777</v>
      </c>
      <c r="BT582" s="492"/>
    </row>
    <row r="583" spans="22:72">
      <c r="V583" s="370" t="s">
        <v>2778</v>
      </c>
      <c r="W583" s="12" t="s">
        <v>2779</v>
      </c>
      <c r="X583" s="491" t="s">
        <v>2780</v>
      </c>
      <c r="Y583" s="491" t="s">
        <v>2781</v>
      </c>
      <c r="BT583" s="492"/>
    </row>
    <row r="584" spans="22:72">
      <c r="V584" s="370" t="s">
        <v>2782</v>
      </c>
      <c r="W584" s="12" t="s">
        <v>2783</v>
      </c>
      <c r="X584" s="491" t="s">
        <v>2784</v>
      </c>
      <c r="Y584" s="491" t="s">
        <v>2785</v>
      </c>
      <c r="BT584" s="492"/>
    </row>
    <row r="585" spans="22:72">
      <c r="V585" s="370" t="s">
        <v>2786</v>
      </c>
      <c r="W585" s="12" t="s">
        <v>2787</v>
      </c>
      <c r="X585" s="491" t="s">
        <v>2788</v>
      </c>
      <c r="Y585" s="491" t="s">
        <v>2789</v>
      </c>
      <c r="BT585" s="492"/>
    </row>
    <row r="586" spans="22:72">
      <c r="V586" s="370" t="s">
        <v>2790</v>
      </c>
      <c r="W586" s="12" t="s">
        <v>2791</v>
      </c>
      <c r="X586" s="491" t="s">
        <v>2792</v>
      </c>
      <c r="Y586" s="491" t="s">
        <v>2793</v>
      </c>
      <c r="BT586" s="492"/>
    </row>
    <row r="587" spans="22:72">
      <c r="V587" s="370" t="s">
        <v>2794</v>
      </c>
      <c r="W587" s="12" t="s">
        <v>2795</v>
      </c>
      <c r="X587" s="491" t="s">
        <v>2796</v>
      </c>
      <c r="Y587" s="491" t="s">
        <v>2797</v>
      </c>
      <c r="BT587" s="492"/>
    </row>
    <row r="588" spans="22:72">
      <c r="V588" s="370" t="s">
        <v>2798</v>
      </c>
      <c r="W588" s="12" t="s">
        <v>2799</v>
      </c>
      <c r="X588" s="491" t="s">
        <v>2800</v>
      </c>
      <c r="Y588" s="491" t="s">
        <v>2801</v>
      </c>
      <c r="BT588" s="492"/>
    </row>
    <row r="589" spans="22:72">
      <c r="V589" s="370" t="s">
        <v>2802</v>
      </c>
      <c r="W589" s="12" t="s">
        <v>2803</v>
      </c>
      <c r="X589" s="491" t="s">
        <v>2804</v>
      </c>
      <c r="Y589" s="491" t="s">
        <v>2805</v>
      </c>
      <c r="BT589" s="492"/>
    </row>
    <row r="590" spans="22:72">
      <c r="V590" s="370" t="s">
        <v>2806</v>
      </c>
      <c r="W590" s="12" t="s">
        <v>2807</v>
      </c>
      <c r="X590" s="491" t="s">
        <v>2808</v>
      </c>
      <c r="Y590" s="491" t="s">
        <v>2809</v>
      </c>
      <c r="BT590" s="492"/>
    </row>
    <row r="591" spans="22:72">
      <c r="V591" s="370" t="s">
        <v>2810</v>
      </c>
      <c r="W591" s="12" t="s">
        <v>2811</v>
      </c>
      <c r="X591" s="491" t="s">
        <v>2812</v>
      </c>
      <c r="Y591" s="491" t="s">
        <v>2813</v>
      </c>
      <c r="BT591" s="492"/>
    </row>
    <row r="592" spans="22:72">
      <c r="V592" s="370" t="s">
        <v>2814</v>
      </c>
      <c r="W592" s="12" t="s">
        <v>2815</v>
      </c>
      <c r="X592" s="491" t="s">
        <v>2816</v>
      </c>
      <c r="Y592" s="491" t="s">
        <v>2817</v>
      </c>
      <c r="BT592" s="492"/>
    </row>
    <row r="593" spans="22:72">
      <c r="V593" s="370" t="s">
        <v>2818</v>
      </c>
      <c r="W593" s="12" t="s">
        <v>2819</v>
      </c>
      <c r="X593" s="491" t="s">
        <v>2820</v>
      </c>
      <c r="Y593" s="491" t="s">
        <v>2821</v>
      </c>
      <c r="BT593" s="492"/>
    </row>
    <row r="594" spans="22:72">
      <c r="V594" s="370" t="s">
        <v>2822</v>
      </c>
      <c r="W594" s="12" t="s">
        <v>2823</v>
      </c>
      <c r="X594" s="491" t="s">
        <v>2824</v>
      </c>
      <c r="Y594" s="491" t="s">
        <v>2825</v>
      </c>
      <c r="BT594" s="492"/>
    </row>
    <row r="595" spans="22:72">
      <c r="V595" s="370" t="s">
        <v>2826</v>
      </c>
      <c r="W595" s="12" t="s">
        <v>2827</v>
      </c>
      <c r="X595" s="491" t="s">
        <v>2828</v>
      </c>
      <c r="Y595" s="491" t="s">
        <v>2829</v>
      </c>
      <c r="BT595" s="492"/>
    </row>
    <row r="596" spans="22:72">
      <c r="V596" s="370" t="s">
        <v>2830</v>
      </c>
      <c r="W596" s="12" t="s">
        <v>2831</v>
      </c>
      <c r="X596" s="491" t="s">
        <v>2832</v>
      </c>
      <c r="Y596" s="491" t="s">
        <v>2833</v>
      </c>
      <c r="BT596" s="492"/>
    </row>
    <row r="597" spans="22:72">
      <c r="V597" s="370" t="s">
        <v>2834</v>
      </c>
      <c r="W597" s="12" t="s">
        <v>2835</v>
      </c>
      <c r="X597" s="491" t="s">
        <v>2836</v>
      </c>
      <c r="Y597" s="491" t="s">
        <v>2837</v>
      </c>
      <c r="BT597" s="492"/>
    </row>
    <row r="598" spans="22:72">
      <c r="V598" s="370" t="s">
        <v>2838</v>
      </c>
      <c r="W598" s="12" t="s">
        <v>2839</v>
      </c>
      <c r="X598" s="491" t="s">
        <v>2840</v>
      </c>
      <c r="Y598" s="491" t="s">
        <v>2841</v>
      </c>
      <c r="BT598" s="492"/>
    </row>
    <row r="599" spans="22:72">
      <c r="V599" s="370" t="s">
        <v>2842</v>
      </c>
      <c r="W599" s="12" t="s">
        <v>2843</v>
      </c>
      <c r="X599" s="491" t="s">
        <v>2844</v>
      </c>
      <c r="Y599" s="491" t="s">
        <v>2845</v>
      </c>
      <c r="BT599" s="492"/>
    </row>
    <row r="600" spans="22:72">
      <c r="V600" s="370" t="s">
        <v>2846</v>
      </c>
      <c r="W600" s="12" t="s">
        <v>2847</v>
      </c>
      <c r="X600" s="491" t="s">
        <v>2848</v>
      </c>
      <c r="Y600" s="491" t="s">
        <v>2849</v>
      </c>
      <c r="BT600" s="492"/>
    </row>
    <row r="601" spans="22:72">
      <c r="V601" s="370" t="s">
        <v>2850</v>
      </c>
      <c r="W601" s="12" t="s">
        <v>2851</v>
      </c>
      <c r="X601" s="491" t="s">
        <v>2852</v>
      </c>
      <c r="Y601" s="491" t="s">
        <v>2853</v>
      </c>
      <c r="BT601" s="492"/>
    </row>
    <row r="602" spans="22:72">
      <c r="V602" s="370" t="s">
        <v>2854</v>
      </c>
      <c r="W602" s="12" t="s">
        <v>2855</v>
      </c>
      <c r="X602" s="491" t="s">
        <v>2856</v>
      </c>
      <c r="Y602" s="491" t="s">
        <v>2857</v>
      </c>
      <c r="BT602" s="492"/>
    </row>
    <row r="603" spans="22:72">
      <c r="V603" s="370" t="s">
        <v>2858</v>
      </c>
      <c r="W603" s="12" t="s">
        <v>2859</v>
      </c>
      <c r="X603" s="491" t="s">
        <v>2860</v>
      </c>
      <c r="Y603" s="491" t="s">
        <v>2861</v>
      </c>
      <c r="BT603" s="492"/>
    </row>
    <row r="604" spans="22:72">
      <c r="V604" s="370" t="s">
        <v>2862</v>
      </c>
      <c r="W604" s="12" t="s">
        <v>2863</v>
      </c>
      <c r="X604" s="491" t="s">
        <v>2864</v>
      </c>
      <c r="Y604" s="491" t="s">
        <v>2865</v>
      </c>
      <c r="BT604" s="492"/>
    </row>
    <row r="605" spans="22:72">
      <c r="V605" s="370" t="s">
        <v>2866</v>
      </c>
      <c r="W605" s="12" t="s">
        <v>2867</v>
      </c>
      <c r="X605" s="491" t="s">
        <v>2868</v>
      </c>
      <c r="Y605" s="491" t="s">
        <v>2869</v>
      </c>
      <c r="BT605" s="492"/>
    </row>
    <row r="606" spans="22:72">
      <c r="V606" s="370" t="s">
        <v>2870</v>
      </c>
      <c r="W606" s="12" t="s">
        <v>2871</v>
      </c>
      <c r="X606" s="491" t="s">
        <v>2872</v>
      </c>
      <c r="Y606" s="491" t="s">
        <v>2873</v>
      </c>
      <c r="BT606" s="492"/>
    </row>
    <row r="607" spans="22:72">
      <c r="V607" s="370" t="s">
        <v>2874</v>
      </c>
      <c r="W607" s="12" t="s">
        <v>2875</v>
      </c>
      <c r="X607" s="491" t="s">
        <v>2876</v>
      </c>
      <c r="Y607" s="491" t="s">
        <v>2877</v>
      </c>
      <c r="BT607" s="492"/>
    </row>
    <row r="608" spans="22:72">
      <c r="V608" s="370" t="s">
        <v>2878</v>
      </c>
      <c r="W608" s="12" t="s">
        <v>2879</v>
      </c>
      <c r="X608" s="491" t="s">
        <v>2880</v>
      </c>
      <c r="Y608" s="491" t="s">
        <v>2881</v>
      </c>
      <c r="BT608" s="492"/>
    </row>
    <row r="609" spans="22:72">
      <c r="V609" s="370" t="s">
        <v>2882</v>
      </c>
      <c r="W609" s="12" t="s">
        <v>2883</v>
      </c>
      <c r="X609" s="491" t="s">
        <v>2884</v>
      </c>
      <c r="Y609" s="491" t="s">
        <v>2885</v>
      </c>
      <c r="BT609" s="492"/>
    </row>
    <row r="610" spans="22:72">
      <c r="V610" s="370" t="s">
        <v>2886</v>
      </c>
      <c r="W610" s="12" t="s">
        <v>2887</v>
      </c>
      <c r="X610" s="491" t="s">
        <v>2888</v>
      </c>
      <c r="Y610" s="491" t="s">
        <v>2889</v>
      </c>
      <c r="BT610" s="492"/>
    </row>
    <row r="611" spans="22:72">
      <c r="V611" s="370" t="s">
        <v>2890</v>
      </c>
      <c r="W611" s="12" t="s">
        <v>2891</v>
      </c>
      <c r="X611" s="491" t="s">
        <v>2892</v>
      </c>
      <c r="Y611" s="491" t="s">
        <v>2893</v>
      </c>
      <c r="BT611" s="492"/>
    </row>
    <row r="612" spans="22:72">
      <c r="V612" s="370" t="s">
        <v>2894</v>
      </c>
      <c r="W612" s="12" t="s">
        <v>2895</v>
      </c>
      <c r="X612" s="491" t="s">
        <v>2896</v>
      </c>
      <c r="Y612" s="491" t="s">
        <v>2897</v>
      </c>
      <c r="BT612" s="492"/>
    </row>
    <row r="613" spans="22:72">
      <c r="V613" s="370" t="s">
        <v>2898</v>
      </c>
      <c r="W613" s="12" t="s">
        <v>2899</v>
      </c>
      <c r="X613" s="491" t="s">
        <v>2900</v>
      </c>
      <c r="Y613" s="491" t="s">
        <v>2901</v>
      </c>
      <c r="BT613" s="492"/>
    </row>
    <row r="614" spans="22:72">
      <c r="V614" s="370" t="s">
        <v>2902</v>
      </c>
      <c r="W614" s="12" t="s">
        <v>2903</v>
      </c>
      <c r="X614" s="491" t="s">
        <v>2904</v>
      </c>
      <c r="Y614" s="491" t="s">
        <v>2905</v>
      </c>
      <c r="BT614" s="492"/>
    </row>
    <row r="615" spans="22:72">
      <c r="V615" s="370" t="s">
        <v>2906</v>
      </c>
      <c r="W615" s="12" t="s">
        <v>2907</v>
      </c>
      <c r="X615" s="491" t="s">
        <v>2908</v>
      </c>
      <c r="Y615" s="491" t="s">
        <v>2909</v>
      </c>
      <c r="BT615" s="492"/>
    </row>
    <row r="616" spans="22:72">
      <c r="V616" s="370" t="s">
        <v>2910</v>
      </c>
      <c r="W616" s="12" t="s">
        <v>2911</v>
      </c>
      <c r="X616" s="491" t="s">
        <v>2912</v>
      </c>
      <c r="Y616" s="491" t="s">
        <v>2913</v>
      </c>
      <c r="BT616" s="492"/>
    </row>
    <row r="617" spans="22:72">
      <c r="V617" s="370" t="s">
        <v>2914</v>
      </c>
      <c r="W617" s="12" t="s">
        <v>2915</v>
      </c>
      <c r="X617" s="491" t="s">
        <v>2916</v>
      </c>
      <c r="Y617" s="491" t="s">
        <v>2917</v>
      </c>
      <c r="BT617" s="492"/>
    </row>
    <row r="618" spans="22:72">
      <c r="V618" s="370" t="s">
        <v>2918</v>
      </c>
      <c r="W618" s="12" t="s">
        <v>2919</v>
      </c>
      <c r="X618" s="491" t="s">
        <v>2920</v>
      </c>
      <c r="Y618" s="491" t="s">
        <v>2921</v>
      </c>
      <c r="BT618" s="492"/>
    </row>
    <row r="619" spans="22:72">
      <c r="V619" s="370" t="s">
        <v>2922</v>
      </c>
      <c r="W619" s="12" t="s">
        <v>2923</v>
      </c>
      <c r="X619" s="491" t="s">
        <v>2924</v>
      </c>
      <c r="Y619" s="491" t="s">
        <v>2925</v>
      </c>
      <c r="BT619" s="492"/>
    </row>
    <row r="620" spans="22:72">
      <c r="V620" s="370" t="s">
        <v>2926</v>
      </c>
      <c r="W620" s="12" t="s">
        <v>2927</v>
      </c>
      <c r="X620" s="491" t="s">
        <v>2928</v>
      </c>
      <c r="Y620" s="491" t="s">
        <v>2929</v>
      </c>
      <c r="BT620" s="492"/>
    </row>
    <row r="621" spans="22:72">
      <c r="V621" s="370" t="s">
        <v>2930</v>
      </c>
      <c r="W621" s="12" t="s">
        <v>2931</v>
      </c>
      <c r="X621" s="491" t="s">
        <v>2932</v>
      </c>
      <c r="Y621" s="491" t="s">
        <v>2933</v>
      </c>
      <c r="BT621" s="492"/>
    </row>
    <row r="622" spans="22:72">
      <c r="V622" s="370" t="s">
        <v>2934</v>
      </c>
      <c r="W622" s="12" t="s">
        <v>2935</v>
      </c>
      <c r="X622" s="491" t="s">
        <v>2936</v>
      </c>
      <c r="Y622" s="491" t="s">
        <v>2937</v>
      </c>
      <c r="BT622" s="492"/>
    </row>
    <row r="623" spans="22:72">
      <c r="V623" s="370" t="s">
        <v>2938</v>
      </c>
      <c r="W623" s="12" t="s">
        <v>2939</v>
      </c>
      <c r="X623" s="491" t="s">
        <v>2940</v>
      </c>
      <c r="Y623" s="491" t="s">
        <v>2941</v>
      </c>
      <c r="BT623" s="492"/>
    </row>
    <row r="624" spans="22:72">
      <c r="V624" s="370" t="s">
        <v>2942</v>
      </c>
      <c r="W624" s="12" t="s">
        <v>2943</v>
      </c>
      <c r="X624" s="491" t="s">
        <v>2944</v>
      </c>
      <c r="Y624" s="491" t="s">
        <v>2945</v>
      </c>
      <c r="BT624" s="492"/>
    </row>
    <row r="625" spans="22:72">
      <c r="V625" s="370" t="s">
        <v>2946</v>
      </c>
      <c r="W625" s="12" t="s">
        <v>2947</v>
      </c>
      <c r="X625" s="491" t="s">
        <v>2948</v>
      </c>
      <c r="Y625" s="491" t="s">
        <v>2949</v>
      </c>
      <c r="BT625" s="492"/>
    </row>
    <row r="626" spans="22:72">
      <c r="V626" s="370" t="s">
        <v>2950</v>
      </c>
      <c r="W626" s="12" t="s">
        <v>2951</v>
      </c>
      <c r="X626" s="491" t="s">
        <v>2952</v>
      </c>
      <c r="Y626" s="491" t="s">
        <v>2953</v>
      </c>
      <c r="BT626" s="492"/>
    </row>
    <row r="627" spans="22:72">
      <c r="V627" s="370" t="s">
        <v>2954</v>
      </c>
      <c r="W627" s="12" t="s">
        <v>2955</v>
      </c>
      <c r="X627" s="491" t="s">
        <v>2956</v>
      </c>
      <c r="Y627" s="491" t="s">
        <v>2957</v>
      </c>
      <c r="BT627" s="492"/>
    </row>
    <row r="628" spans="22:72">
      <c r="V628" s="370" t="s">
        <v>2958</v>
      </c>
      <c r="W628" s="12" t="s">
        <v>2959</v>
      </c>
      <c r="X628" s="491" t="s">
        <v>2960</v>
      </c>
      <c r="Y628" s="491" t="s">
        <v>2961</v>
      </c>
      <c r="BT628" s="492"/>
    </row>
    <row r="629" spans="22:72">
      <c r="V629" s="370" t="s">
        <v>2962</v>
      </c>
      <c r="W629" s="12" t="s">
        <v>2963</v>
      </c>
      <c r="X629" s="491" t="s">
        <v>2964</v>
      </c>
      <c r="Y629" s="491" t="s">
        <v>2965</v>
      </c>
      <c r="BT629" s="492"/>
    </row>
    <row r="630" spans="22:72">
      <c r="V630" s="370" t="s">
        <v>2966</v>
      </c>
      <c r="W630" s="12" t="s">
        <v>2967</v>
      </c>
      <c r="X630" s="491" t="s">
        <v>2968</v>
      </c>
      <c r="Y630" s="491" t="s">
        <v>2969</v>
      </c>
      <c r="BT630" s="492"/>
    </row>
    <row r="631" spans="22:72">
      <c r="V631" s="370" t="s">
        <v>2970</v>
      </c>
      <c r="W631" s="12" t="s">
        <v>2971</v>
      </c>
      <c r="X631" s="491" t="s">
        <v>2972</v>
      </c>
      <c r="Y631" s="491" t="s">
        <v>2973</v>
      </c>
      <c r="BT631" s="492"/>
    </row>
    <row r="632" spans="22:72">
      <c r="V632" s="370" t="s">
        <v>2974</v>
      </c>
      <c r="W632" s="12" t="s">
        <v>2975</v>
      </c>
      <c r="X632" s="491" t="s">
        <v>2976</v>
      </c>
      <c r="Y632" s="491" t="s">
        <v>2977</v>
      </c>
      <c r="BT632" s="492"/>
    </row>
    <row r="633" spans="22:72">
      <c r="V633" s="370" t="s">
        <v>2978</v>
      </c>
      <c r="W633" s="12" t="s">
        <v>2979</v>
      </c>
      <c r="X633" s="491" t="s">
        <v>2980</v>
      </c>
      <c r="Y633" s="491" t="s">
        <v>2981</v>
      </c>
      <c r="BT633" s="492"/>
    </row>
    <row r="634" spans="22:72">
      <c r="V634" s="370" t="s">
        <v>2982</v>
      </c>
      <c r="W634" s="12" t="s">
        <v>2983</v>
      </c>
      <c r="X634" s="491" t="s">
        <v>2984</v>
      </c>
      <c r="Y634" s="491" t="s">
        <v>2985</v>
      </c>
      <c r="BT634" s="492"/>
    </row>
    <row r="635" spans="22:72">
      <c r="V635" s="370" t="s">
        <v>2986</v>
      </c>
      <c r="W635" s="12" t="s">
        <v>2987</v>
      </c>
      <c r="X635" s="491" t="s">
        <v>2988</v>
      </c>
      <c r="Y635" s="491" t="s">
        <v>2989</v>
      </c>
      <c r="BT635" s="492"/>
    </row>
    <row r="636" spans="22:72">
      <c r="V636" s="370" t="s">
        <v>2990</v>
      </c>
      <c r="W636" s="12" t="s">
        <v>2991</v>
      </c>
      <c r="X636" s="491" t="s">
        <v>2992</v>
      </c>
      <c r="Y636" s="491" t="s">
        <v>2993</v>
      </c>
      <c r="BT636" s="492"/>
    </row>
    <row r="637" spans="22:72">
      <c r="V637" s="370" t="s">
        <v>2994</v>
      </c>
      <c r="W637" s="12" t="s">
        <v>2995</v>
      </c>
      <c r="X637" s="491" t="s">
        <v>2996</v>
      </c>
      <c r="Y637" s="491" t="s">
        <v>2997</v>
      </c>
      <c r="BT637" s="492"/>
    </row>
    <row r="638" spans="22:72">
      <c r="V638" s="370" t="s">
        <v>2998</v>
      </c>
      <c r="W638" s="12" t="s">
        <v>2999</v>
      </c>
      <c r="X638" s="491" t="s">
        <v>3000</v>
      </c>
      <c r="Y638" s="491" t="s">
        <v>3001</v>
      </c>
      <c r="BT638" s="492"/>
    </row>
    <row r="639" spans="22:72">
      <c r="V639" s="370" t="s">
        <v>3002</v>
      </c>
      <c r="W639" s="12" t="s">
        <v>3003</v>
      </c>
      <c r="X639" s="491" t="s">
        <v>3004</v>
      </c>
      <c r="Y639" s="491" t="s">
        <v>3005</v>
      </c>
      <c r="BT639" s="492"/>
    </row>
    <row r="640" spans="22:72">
      <c r="V640" s="370" t="s">
        <v>3006</v>
      </c>
      <c r="W640" s="12" t="s">
        <v>3007</v>
      </c>
      <c r="X640" s="491" t="s">
        <v>3008</v>
      </c>
      <c r="Y640" s="491" t="s">
        <v>3009</v>
      </c>
      <c r="BT640" s="492"/>
    </row>
    <row r="641" spans="22:72">
      <c r="V641" s="370" t="s">
        <v>3010</v>
      </c>
      <c r="W641" s="12" t="s">
        <v>3011</v>
      </c>
      <c r="X641" s="491" t="s">
        <v>3012</v>
      </c>
      <c r="Y641" s="491" t="s">
        <v>3013</v>
      </c>
      <c r="BT641" s="492"/>
    </row>
    <row r="642" spans="22:72">
      <c r="V642" s="370" t="s">
        <v>3014</v>
      </c>
      <c r="W642" s="12" t="s">
        <v>3015</v>
      </c>
      <c r="X642" s="491" t="s">
        <v>3016</v>
      </c>
      <c r="Y642" s="491" t="s">
        <v>3017</v>
      </c>
      <c r="BT642" s="492"/>
    </row>
    <row r="643" spans="22:72">
      <c r="V643" s="370" t="s">
        <v>3018</v>
      </c>
      <c r="W643" s="12" t="s">
        <v>3019</v>
      </c>
      <c r="X643" s="491" t="s">
        <v>3020</v>
      </c>
      <c r="Y643" s="491" t="s">
        <v>3021</v>
      </c>
      <c r="BT643" s="492"/>
    </row>
    <row r="644" spans="22:72">
      <c r="V644" s="370" t="s">
        <v>3022</v>
      </c>
      <c r="W644" s="12" t="s">
        <v>3023</v>
      </c>
      <c r="X644" s="491" t="s">
        <v>3024</v>
      </c>
      <c r="Y644" s="491" t="s">
        <v>3025</v>
      </c>
      <c r="BT644" s="492"/>
    </row>
    <row r="645" spans="22:72">
      <c r="V645" s="370" t="s">
        <v>3026</v>
      </c>
      <c r="W645" s="12" t="s">
        <v>3027</v>
      </c>
      <c r="X645" s="491" t="s">
        <v>3028</v>
      </c>
      <c r="Y645" s="491" t="s">
        <v>3029</v>
      </c>
      <c r="BT645" s="492"/>
    </row>
    <row r="646" spans="22:72">
      <c r="V646" s="370" t="s">
        <v>3030</v>
      </c>
      <c r="W646" s="12" t="s">
        <v>3031</v>
      </c>
      <c r="X646" s="491" t="s">
        <v>3032</v>
      </c>
      <c r="Y646" s="491" t="s">
        <v>3033</v>
      </c>
      <c r="BT646" s="492"/>
    </row>
    <row r="647" spans="22:72">
      <c r="V647" s="370" t="s">
        <v>3034</v>
      </c>
      <c r="W647" s="12" t="s">
        <v>3035</v>
      </c>
      <c r="X647" s="491" t="s">
        <v>3036</v>
      </c>
      <c r="Y647" s="491" t="s">
        <v>3037</v>
      </c>
      <c r="BT647" s="492"/>
    </row>
    <row r="648" spans="22:72">
      <c r="V648" s="370" t="s">
        <v>3038</v>
      </c>
      <c r="W648" s="12" t="s">
        <v>3039</v>
      </c>
      <c r="X648" s="491" t="s">
        <v>3040</v>
      </c>
      <c r="Y648" s="491" t="s">
        <v>3041</v>
      </c>
      <c r="BT648" s="492"/>
    </row>
    <row r="649" spans="22:72">
      <c r="V649" s="370" t="s">
        <v>3042</v>
      </c>
      <c r="W649" s="12" t="s">
        <v>3043</v>
      </c>
      <c r="X649" s="491" t="s">
        <v>3044</v>
      </c>
      <c r="Y649" s="491" t="s">
        <v>3045</v>
      </c>
      <c r="BT649" s="492"/>
    </row>
    <row r="650" spans="22:72">
      <c r="V650" s="370" t="s">
        <v>3046</v>
      </c>
      <c r="W650" s="12" t="s">
        <v>3047</v>
      </c>
      <c r="X650" s="491" t="s">
        <v>3048</v>
      </c>
      <c r="Y650" s="491" t="s">
        <v>3049</v>
      </c>
      <c r="BT650" s="492"/>
    </row>
    <row r="651" spans="22:72">
      <c r="V651" s="370" t="s">
        <v>3050</v>
      </c>
      <c r="W651" s="12" t="str">
        <f>V651&amp;X651</f>
        <v>650ハリマロン</v>
      </c>
      <c r="X651" s="491" t="s">
        <v>3051</v>
      </c>
      <c r="Y651" s="491" t="s">
        <v>3052</v>
      </c>
      <c r="BT651" s="492"/>
    </row>
    <row r="652" spans="22:72">
      <c r="V652" s="370" t="s">
        <v>3053</v>
      </c>
      <c r="W652" s="12" t="str">
        <f t="shared" ref="W652" si="0">V652&amp;X652</f>
        <v>651ハリボーグ</v>
      </c>
      <c r="X652" s="491" t="s">
        <v>3054</v>
      </c>
      <c r="Y652" s="491" t="s">
        <v>3055</v>
      </c>
      <c r="BT652" s="492"/>
    </row>
    <row r="653" spans="22:72">
      <c r="V653" s="370" t="s">
        <v>3056</v>
      </c>
      <c r="W653" s="12" t="str">
        <f t="shared" ref="W653" si="1">V653&amp;X653</f>
        <v>652ブリガロン</v>
      </c>
      <c r="X653" s="491" t="s">
        <v>3057</v>
      </c>
      <c r="Y653" s="491" t="s">
        <v>3058</v>
      </c>
      <c r="BT653" s="492"/>
    </row>
    <row r="654" spans="22:72">
      <c r="V654" s="370" t="s">
        <v>3059</v>
      </c>
      <c r="W654" s="12" t="str">
        <f t="shared" ref="W654" si="2">V654&amp;X654</f>
        <v>653フォッコ</v>
      </c>
      <c r="X654" s="491" t="s">
        <v>3060</v>
      </c>
      <c r="Y654" s="491" t="s">
        <v>3061</v>
      </c>
      <c r="BT654" s="492"/>
    </row>
    <row r="655" spans="22:72">
      <c r="V655" s="370" t="s">
        <v>3062</v>
      </c>
      <c r="W655" s="12" t="str">
        <f t="shared" ref="W655" si="3">V655&amp;X655</f>
        <v>654テールナー</v>
      </c>
      <c r="X655" s="491" t="s">
        <v>3063</v>
      </c>
      <c r="Y655" s="491" t="s">
        <v>3064</v>
      </c>
      <c r="BT655" s="492"/>
    </row>
    <row r="656" spans="22:72">
      <c r="V656" s="370" t="s">
        <v>3065</v>
      </c>
      <c r="W656" s="12" t="str">
        <f t="shared" ref="W656:W684" si="4">V656&amp;X656</f>
        <v>655マフォクシー</v>
      </c>
      <c r="X656" s="491" t="s">
        <v>3066</v>
      </c>
      <c r="Y656" s="491" t="s">
        <v>3067</v>
      </c>
      <c r="BT656" s="492"/>
    </row>
    <row r="657" spans="22:72">
      <c r="V657" s="370" t="s">
        <v>3068</v>
      </c>
      <c r="W657" s="12" t="str">
        <f t="shared" si="4"/>
        <v>656ケロマツ</v>
      </c>
      <c r="X657" s="491" t="s">
        <v>3069</v>
      </c>
      <c r="Y657" s="491" t="s">
        <v>3070</v>
      </c>
      <c r="BT657" s="492"/>
    </row>
    <row r="658" spans="22:72">
      <c r="V658" s="370" t="s">
        <v>3071</v>
      </c>
      <c r="W658" s="12" t="str">
        <f t="shared" si="4"/>
        <v>657ゲコガシラ</v>
      </c>
      <c r="X658" s="491" t="s">
        <v>3072</v>
      </c>
      <c r="Y658" s="491" t="s">
        <v>3073</v>
      </c>
      <c r="BT658" s="492"/>
    </row>
    <row r="659" spans="22:72">
      <c r="V659" s="370" t="s">
        <v>3074</v>
      </c>
      <c r="W659" s="12" t="str">
        <f t="shared" si="4"/>
        <v>658ゲッコウガ</v>
      </c>
      <c r="X659" s="491" t="s">
        <v>3075</v>
      </c>
      <c r="Y659" s="491" t="s">
        <v>3076</v>
      </c>
      <c r="BT659" s="492"/>
    </row>
    <row r="660" spans="22:72">
      <c r="V660" s="370" t="s">
        <v>3077</v>
      </c>
      <c r="W660" s="12" t="str">
        <f t="shared" si="4"/>
        <v>659ホルビー</v>
      </c>
      <c r="X660" s="491" t="s">
        <v>3078</v>
      </c>
      <c r="Y660" s="491" t="s">
        <v>3079</v>
      </c>
      <c r="BT660" s="492"/>
    </row>
    <row r="661" spans="22:72">
      <c r="V661" s="370" t="s">
        <v>3080</v>
      </c>
      <c r="W661" s="12" t="str">
        <f t="shared" si="4"/>
        <v>660ホルード</v>
      </c>
      <c r="X661" s="491" t="s">
        <v>3081</v>
      </c>
      <c r="Y661" s="491" t="s">
        <v>3082</v>
      </c>
      <c r="BT661" s="492"/>
    </row>
    <row r="662" spans="22:72">
      <c r="V662" s="370" t="s">
        <v>3083</v>
      </c>
      <c r="W662" s="12" t="str">
        <f t="shared" si="4"/>
        <v>661ヤヤコマ</v>
      </c>
      <c r="X662" s="491" t="s">
        <v>3084</v>
      </c>
      <c r="Y662" s="491" t="s">
        <v>3085</v>
      </c>
      <c r="BT662" s="492"/>
    </row>
    <row r="663" spans="22:72">
      <c r="V663" s="370" t="s">
        <v>3086</v>
      </c>
      <c r="W663" s="12" t="str">
        <f t="shared" si="4"/>
        <v>662ヒノヤコマ</v>
      </c>
      <c r="X663" s="491" t="s">
        <v>3087</v>
      </c>
      <c r="Y663" s="491" t="s">
        <v>3088</v>
      </c>
      <c r="BT663" s="492"/>
    </row>
    <row r="664" spans="22:72">
      <c r="V664" s="370" t="s">
        <v>3089</v>
      </c>
      <c r="W664" s="12" t="str">
        <f t="shared" si="4"/>
        <v>663ファイアロー</v>
      </c>
      <c r="X664" s="491" t="s">
        <v>3090</v>
      </c>
      <c r="Y664" s="491" t="s">
        <v>3091</v>
      </c>
      <c r="BT664" s="492"/>
    </row>
    <row r="665" spans="22:72">
      <c r="V665" s="370" t="s">
        <v>3092</v>
      </c>
      <c r="W665" s="12" t="str">
        <f t="shared" si="4"/>
        <v>664コフキムシ</v>
      </c>
      <c r="X665" s="491" t="s">
        <v>3093</v>
      </c>
      <c r="Y665" s="491" t="s">
        <v>3094</v>
      </c>
      <c r="BT665" s="492"/>
    </row>
    <row r="666" spans="22:72">
      <c r="V666" s="370" t="s">
        <v>3095</v>
      </c>
      <c r="W666" s="12" t="str">
        <f t="shared" si="4"/>
        <v>665コフーライ</v>
      </c>
      <c r="X666" s="491" t="s">
        <v>3096</v>
      </c>
      <c r="Y666" s="491" t="s">
        <v>3097</v>
      </c>
      <c r="BT666" s="492"/>
    </row>
    <row r="667" spans="22:72">
      <c r="V667" s="370" t="s">
        <v>3098</v>
      </c>
      <c r="W667" s="12" t="str">
        <f t="shared" si="4"/>
        <v>666ビビヨン</v>
      </c>
      <c r="X667" s="491" t="s">
        <v>3099</v>
      </c>
      <c r="Y667" s="491" t="s">
        <v>3100</v>
      </c>
      <c r="BT667" s="492"/>
    </row>
    <row r="668" spans="22:72">
      <c r="V668" s="370" t="s">
        <v>3101</v>
      </c>
      <c r="W668" s="12" t="str">
        <f t="shared" si="4"/>
        <v>667シシコ</v>
      </c>
      <c r="X668" s="491" t="s">
        <v>3102</v>
      </c>
      <c r="Y668" s="491" t="s">
        <v>3103</v>
      </c>
      <c r="BT668" s="492"/>
    </row>
    <row r="669" spans="22:72">
      <c r="V669" s="370" t="s">
        <v>3104</v>
      </c>
      <c r="W669" s="12" t="str">
        <f t="shared" si="4"/>
        <v>668カエンジシ</v>
      </c>
      <c r="X669" s="491" t="s">
        <v>3105</v>
      </c>
      <c r="Y669" s="491" t="s">
        <v>3106</v>
      </c>
      <c r="BT669" s="492"/>
    </row>
    <row r="670" spans="22:72">
      <c r="V670" s="370" t="s">
        <v>3107</v>
      </c>
      <c r="W670" s="12" t="str">
        <f t="shared" si="4"/>
        <v>669フラベベ</v>
      </c>
      <c r="X670" s="491" t="s">
        <v>3108</v>
      </c>
      <c r="Y670" s="491" t="s">
        <v>3109</v>
      </c>
      <c r="BT670" s="492"/>
    </row>
    <row r="671" spans="22:72">
      <c r="V671" s="370" t="s">
        <v>3110</v>
      </c>
      <c r="W671" s="12" t="str">
        <f t="shared" si="4"/>
        <v>670フラエッテ</v>
      </c>
      <c r="X671" s="491" t="s">
        <v>3111</v>
      </c>
      <c r="Y671" s="491" t="s">
        <v>3112</v>
      </c>
      <c r="BT671" s="492"/>
    </row>
    <row r="672" spans="22:72">
      <c r="V672" s="370" t="s">
        <v>3113</v>
      </c>
      <c r="W672" s="12" t="str">
        <f t="shared" si="4"/>
        <v>671フラージェス</v>
      </c>
      <c r="X672" s="491" t="s">
        <v>3114</v>
      </c>
      <c r="Y672" s="491" t="s">
        <v>3115</v>
      </c>
      <c r="BT672" s="492"/>
    </row>
    <row r="673" spans="22:72">
      <c r="V673" s="370" t="s">
        <v>3116</v>
      </c>
      <c r="W673" s="12" t="str">
        <f t="shared" si="4"/>
        <v>672メェークル</v>
      </c>
      <c r="X673" s="491" t="s">
        <v>3117</v>
      </c>
      <c r="Y673" s="491" t="s">
        <v>3118</v>
      </c>
      <c r="BT673" s="492"/>
    </row>
    <row r="674" spans="22:72">
      <c r="V674" s="370" t="s">
        <v>3119</v>
      </c>
      <c r="W674" s="12" t="str">
        <f t="shared" si="4"/>
        <v>673ゴーゴート</v>
      </c>
      <c r="X674" s="491" t="s">
        <v>3120</v>
      </c>
      <c r="Y674" s="491" t="s">
        <v>3121</v>
      </c>
      <c r="BT674" s="492"/>
    </row>
    <row r="675" spans="22:72">
      <c r="V675" s="370" t="s">
        <v>3122</v>
      </c>
      <c r="W675" s="12" t="str">
        <f t="shared" si="4"/>
        <v>674ヤンチャム</v>
      </c>
      <c r="X675" s="491" t="s">
        <v>3123</v>
      </c>
      <c r="Y675" s="491" t="s">
        <v>3124</v>
      </c>
      <c r="BT675" s="492"/>
    </row>
    <row r="676" spans="22:72">
      <c r="V676" s="370" t="s">
        <v>3125</v>
      </c>
      <c r="W676" s="12" t="str">
        <f t="shared" si="4"/>
        <v>675ゴロンダ</v>
      </c>
      <c r="X676" s="491" t="s">
        <v>3126</v>
      </c>
      <c r="Y676" s="491" t="s">
        <v>3127</v>
      </c>
      <c r="BT676" s="492"/>
    </row>
    <row r="677" spans="22:72">
      <c r="V677" s="370" t="s">
        <v>3128</v>
      </c>
      <c r="W677" s="12" t="str">
        <f t="shared" si="4"/>
        <v>676トリミアン</v>
      </c>
      <c r="X677" s="491" t="s">
        <v>3129</v>
      </c>
      <c r="Y677" s="491" t="s">
        <v>3130</v>
      </c>
      <c r="BT677" s="492"/>
    </row>
    <row r="678" spans="22:72">
      <c r="V678" s="370" t="s">
        <v>3131</v>
      </c>
      <c r="W678" s="12" t="str">
        <f t="shared" si="4"/>
        <v>677ニャスパー</v>
      </c>
      <c r="X678" s="491" t="s">
        <v>3132</v>
      </c>
      <c r="Y678" s="491" t="s">
        <v>3133</v>
      </c>
      <c r="BT678" s="492"/>
    </row>
    <row r="679" spans="22:72">
      <c r="V679" s="370" t="s">
        <v>3134</v>
      </c>
      <c r="W679" s="12" t="str">
        <f t="shared" si="4"/>
        <v>678ニャオニクス</v>
      </c>
      <c r="X679" s="491" t="s">
        <v>3135</v>
      </c>
      <c r="Y679" s="491" t="s">
        <v>3136</v>
      </c>
      <c r="BT679" s="492"/>
    </row>
    <row r="680" spans="22:72">
      <c r="V680" s="370" t="s">
        <v>3137</v>
      </c>
      <c r="W680" s="12" t="str">
        <f t="shared" si="4"/>
        <v>679ヒトツキ</v>
      </c>
      <c r="X680" s="491" t="s">
        <v>3138</v>
      </c>
      <c r="Y680" s="491" t="s">
        <v>3139</v>
      </c>
      <c r="BT680" s="492"/>
    </row>
    <row r="681" spans="22:72">
      <c r="V681" s="370" t="s">
        <v>3140</v>
      </c>
      <c r="W681" s="12" t="str">
        <f t="shared" si="4"/>
        <v>680ニダンギル</v>
      </c>
      <c r="X681" s="491" t="s">
        <v>3141</v>
      </c>
      <c r="Y681" s="491" t="s">
        <v>3142</v>
      </c>
      <c r="BT681" s="492"/>
    </row>
    <row r="682" spans="22:72">
      <c r="V682" s="370" t="s">
        <v>3143</v>
      </c>
      <c r="W682" s="12" t="str">
        <f t="shared" si="4"/>
        <v>681ギルガルド</v>
      </c>
      <c r="X682" s="491" t="s">
        <v>3144</v>
      </c>
      <c r="Y682" s="491" t="s">
        <v>3145</v>
      </c>
      <c r="BT682" s="492"/>
    </row>
    <row r="683" spans="22:72">
      <c r="V683" s="370" t="s">
        <v>3146</v>
      </c>
      <c r="W683" s="12" t="str">
        <f t="shared" si="4"/>
        <v>682シュシュプ</v>
      </c>
      <c r="X683" s="491" t="s">
        <v>3147</v>
      </c>
      <c r="Y683" s="491" t="s">
        <v>3148</v>
      </c>
      <c r="BT683" s="492"/>
    </row>
    <row r="684" spans="22:72">
      <c r="V684" s="370" t="s">
        <v>3149</v>
      </c>
      <c r="W684" s="12" t="str">
        <f t="shared" si="4"/>
        <v>683フレフワン</v>
      </c>
      <c r="X684" s="491" t="s">
        <v>3150</v>
      </c>
      <c r="Y684" s="491" t="s">
        <v>3151</v>
      </c>
      <c r="BT684" s="492"/>
    </row>
    <row r="685" spans="22:72">
      <c r="V685" s="370" t="s">
        <v>3152</v>
      </c>
      <c r="W685" s="12" t="str">
        <f t="shared" ref="W685" si="5">V685&amp;X685</f>
        <v>684ペロッパフ</v>
      </c>
      <c r="X685" s="491" t="s">
        <v>3153</v>
      </c>
      <c r="Y685" s="491" t="s">
        <v>3154</v>
      </c>
      <c r="BT685" s="492"/>
    </row>
    <row r="686" spans="22:72">
      <c r="V686" s="370" t="s">
        <v>3155</v>
      </c>
      <c r="W686" s="12" t="str">
        <f t="shared" ref="W686" si="6">V686&amp;X686</f>
        <v>685ペロリーム</v>
      </c>
      <c r="X686" s="491" t="s">
        <v>3156</v>
      </c>
      <c r="Y686" s="491" t="s">
        <v>3157</v>
      </c>
      <c r="BT686" s="492"/>
    </row>
    <row r="687" spans="22:72">
      <c r="V687" s="370" t="s">
        <v>3158</v>
      </c>
      <c r="W687" s="12" t="str">
        <f t="shared" ref="W687" si="7">V687&amp;X687</f>
        <v>686マーイーカ</v>
      </c>
      <c r="X687" s="491" t="s">
        <v>3159</v>
      </c>
      <c r="Y687" s="491" t="s">
        <v>3160</v>
      </c>
      <c r="BT687" s="492"/>
    </row>
    <row r="688" spans="22:72">
      <c r="V688" s="370" t="s">
        <v>3161</v>
      </c>
      <c r="W688" s="12" t="str">
        <f t="shared" ref="W688:W715" si="8">V688&amp;X688</f>
        <v>687カラマネロ</v>
      </c>
      <c r="X688" s="491" t="s">
        <v>3162</v>
      </c>
      <c r="Y688" s="491" t="s">
        <v>3163</v>
      </c>
      <c r="BT688" s="492"/>
    </row>
    <row r="689" spans="22:72">
      <c r="V689" s="370" t="s">
        <v>3164</v>
      </c>
      <c r="W689" s="12" t="str">
        <f t="shared" si="8"/>
        <v>688カメテテ</v>
      </c>
      <c r="X689" s="491" t="s">
        <v>3165</v>
      </c>
      <c r="Y689" s="491" t="s">
        <v>3166</v>
      </c>
      <c r="BT689" s="492"/>
    </row>
    <row r="690" spans="22:72">
      <c r="V690" s="370" t="s">
        <v>3167</v>
      </c>
      <c r="W690" s="12" t="str">
        <f t="shared" si="8"/>
        <v>689ガメノデス</v>
      </c>
      <c r="X690" s="491" t="s">
        <v>3168</v>
      </c>
      <c r="Y690" s="491" t="s">
        <v>3169</v>
      </c>
      <c r="BT690" s="492"/>
    </row>
    <row r="691" spans="22:72">
      <c r="V691" s="370" t="s">
        <v>3170</v>
      </c>
      <c r="W691" s="12" t="str">
        <f t="shared" si="8"/>
        <v>690クズモー</v>
      </c>
      <c r="X691" s="491" t="s">
        <v>3171</v>
      </c>
      <c r="Y691" s="491" t="s">
        <v>3172</v>
      </c>
      <c r="BT691" s="492"/>
    </row>
    <row r="692" spans="22:72">
      <c r="V692" s="370" t="s">
        <v>3173</v>
      </c>
      <c r="W692" s="12" t="str">
        <f t="shared" si="8"/>
        <v>691ドラミドロ</v>
      </c>
      <c r="X692" s="491" t="s">
        <v>3174</v>
      </c>
      <c r="Y692" s="491" t="s">
        <v>3175</v>
      </c>
      <c r="BT692" s="492"/>
    </row>
    <row r="693" spans="22:72">
      <c r="V693" s="370" t="s">
        <v>3176</v>
      </c>
      <c r="W693" s="12" t="str">
        <f t="shared" si="8"/>
        <v>692ウデッポウ</v>
      </c>
      <c r="X693" s="491" t="s">
        <v>3177</v>
      </c>
      <c r="Y693" s="491" t="s">
        <v>3178</v>
      </c>
      <c r="BT693" s="492"/>
    </row>
    <row r="694" spans="22:72">
      <c r="V694" s="370" t="s">
        <v>3179</v>
      </c>
      <c r="W694" s="12" t="str">
        <f t="shared" si="8"/>
        <v>693ブロスター</v>
      </c>
      <c r="X694" s="491" t="s">
        <v>3180</v>
      </c>
      <c r="Y694" s="491" t="s">
        <v>3181</v>
      </c>
      <c r="BT694" s="492"/>
    </row>
    <row r="695" spans="22:72">
      <c r="V695" s="370" t="s">
        <v>3182</v>
      </c>
      <c r="W695" s="12" t="str">
        <f t="shared" si="8"/>
        <v>694エリキテル</v>
      </c>
      <c r="X695" s="491" t="s">
        <v>3183</v>
      </c>
      <c r="Y695" s="491" t="s">
        <v>3184</v>
      </c>
      <c r="BT695" s="492"/>
    </row>
    <row r="696" spans="22:72">
      <c r="V696" s="370" t="s">
        <v>3185</v>
      </c>
      <c r="W696" s="12" t="str">
        <f t="shared" si="8"/>
        <v>695エレザード</v>
      </c>
      <c r="X696" s="491" t="s">
        <v>3186</v>
      </c>
      <c r="Y696" s="491" t="s">
        <v>3187</v>
      </c>
      <c r="BT696" s="492"/>
    </row>
    <row r="697" spans="22:72">
      <c r="V697" s="370" t="s">
        <v>3188</v>
      </c>
      <c r="W697" s="12" t="str">
        <f t="shared" si="8"/>
        <v>696チゴラス</v>
      </c>
      <c r="X697" s="491" t="s">
        <v>3189</v>
      </c>
      <c r="Y697" s="491" t="s">
        <v>3190</v>
      </c>
      <c r="BT697" s="492"/>
    </row>
    <row r="698" spans="22:72">
      <c r="V698" s="370" t="s">
        <v>3191</v>
      </c>
      <c r="W698" s="12" t="str">
        <f t="shared" si="8"/>
        <v>697ガチゴラス</v>
      </c>
      <c r="X698" s="491" t="s">
        <v>3192</v>
      </c>
      <c r="Y698" s="491" t="s">
        <v>3193</v>
      </c>
      <c r="BT698" s="492"/>
    </row>
    <row r="699" spans="22:72">
      <c r="V699" s="370" t="s">
        <v>3194</v>
      </c>
      <c r="W699" s="12" t="str">
        <f t="shared" si="8"/>
        <v>698アマルス</v>
      </c>
      <c r="X699" s="491" t="s">
        <v>3195</v>
      </c>
      <c r="Y699" s="491" t="s">
        <v>3196</v>
      </c>
      <c r="BT699" s="492"/>
    </row>
    <row r="700" spans="22:72">
      <c r="V700" s="370" t="s">
        <v>3197</v>
      </c>
      <c r="W700" s="12" t="str">
        <f t="shared" si="8"/>
        <v>699アマルルガ</v>
      </c>
      <c r="X700" s="491" t="s">
        <v>3198</v>
      </c>
      <c r="Y700" s="491" t="s">
        <v>3199</v>
      </c>
      <c r="BT700" s="492"/>
    </row>
    <row r="701" spans="22:72">
      <c r="V701" s="370" t="s">
        <v>3200</v>
      </c>
      <c r="W701" s="12" t="str">
        <f t="shared" si="8"/>
        <v>700ニンフィア</v>
      </c>
      <c r="X701" s="491" t="s">
        <v>3201</v>
      </c>
      <c r="Y701" s="491" t="s">
        <v>3202</v>
      </c>
      <c r="BT701" s="492"/>
    </row>
    <row r="702" spans="22:72">
      <c r="V702" s="370" t="s">
        <v>3203</v>
      </c>
      <c r="W702" s="12" t="str">
        <f t="shared" si="8"/>
        <v>701ルチャブル</v>
      </c>
      <c r="X702" s="491" t="s">
        <v>3204</v>
      </c>
      <c r="Y702" s="491" t="s">
        <v>3205</v>
      </c>
      <c r="BT702" s="492"/>
    </row>
    <row r="703" spans="22:72">
      <c r="V703" s="370" t="s">
        <v>3206</v>
      </c>
      <c r="W703" s="12" t="str">
        <f t="shared" si="8"/>
        <v>702デデンネ</v>
      </c>
      <c r="X703" s="491" t="s">
        <v>3207</v>
      </c>
      <c r="Y703" s="491" t="s">
        <v>3208</v>
      </c>
      <c r="BT703" s="492"/>
    </row>
    <row r="704" spans="22:72">
      <c r="V704" s="370" t="s">
        <v>3209</v>
      </c>
      <c r="W704" s="12" t="str">
        <f t="shared" si="8"/>
        <v>703メレシー</v>
      </c>
      <c r="X704" s="491" t="s">
        <v>3210</v>
      </c>
      <c r="Y704" s="491" t="s">
        <v>3211</v>
      </c>
      <c r="BT704" s="492"/>
    </row>
    <row r="705" spans="22:72">
      <c r="V705" s="370" t="s">
        <v>3212</v>
      </c>
      <c r="W705" s="12" t="str">
        <f t="shared" si="8"/>
        <v>704ヌメラ</v>
      </c>
      <c r="X705" s="491" t="s">
        <v>3213</v>
      </c>
      <c r="Y705" s="491" t="s">
        <v>3214</v>
      </c>
      <c r="BT705" s="492"/>
    </row>
    <row r="706" spans="22:72">
      <c r="V706" s="370" t="s">
        <v>3215</v>
      </c>
      <c r="W706" s="12" t="str">
        <f t="shared" si="8"/>
        <v>705ヌメイル</v>
      </c>
      <c r="X706" s="491" t="s">
        <v>3216</v>
      </c>
      <c r="Y706" s="491" t="s">
        <v>3217</v>
      </c>
      <c r="BT706" s="492"/>
    </row>
    <row r="707" spans="22:72">
      <c r="V707" s="370" t="s">
        <v>3218</v>
      </c>
      <c r="W707" s="12" t="str">
        <f t="shared" si="8"/>
        <v>706ヌメルゴン</v>
      </c>
      <c r="X707" s="491" t="s">
        <v>3219</v>
      </c>
      <c r="Y707" s="491" t="s">
        <v>3220</v>
      </c>
      <c r="BT707" s="492"/>
    </row>
    <row r="708" spans="22:72">
      <c r="V708" s="370" t="s">
        <v>3221</v>
      </c>
      <c r="W708" s="12" t="str">
        <f t="shared" si="8"/>
        <v>707クレッフィ</v>
      </c>
      <c r="X708" s="491" t="s">
        <v>3222</v>
      </c>
      <c r="Y708" s="491" t="s">
        <v>3223</v>
      </c>
      <c r="BT708" s="492"/>
    </row>
    <row r="709" spans="22:72">
      <c r="V709" s="370" t="s">
        <v>3224</v>
      </c>
      <c r="W709" s="12" t="str">
        <f t="shared" si="8"/>
        <v>708ボクレー</v>
      </c>
      <c r="X709" s="491" t="s">
        <v>3225</v>
      </c>
      <c r="Y709" s="491" t="s">
        <v>3226</v>
      </c>
      <c r="BT709" s="492"/>
    </row>
    <row r="710" spans="22:72">
      <c r="V710" s="370" t="s">
        <v>3227</v>
      </c>
      <c r="W710" s="12" t="str">
        <f t="shared" si="8"/>
        <v>709オーロット</v>
      </c>
      <c r="X710" s="491" t="s">
        <v>3228</v>
      </c>
      <c r="Y710" s="491" t="s">
        <v>3229</v>
      </c>
      <c r="BT710" s="492"/>
    </row>
    <row r="711" spans="22:72">
      <c r="V711" s="370" t="s">
        <v>3230</v>
      </c>
      <c r="W711" s="12" t="str">
        <f t="shared" si="8"/>
        <v>710バケッチャ</v>
      </c>
      <c r="X711" s="491" t="s">
        <v>3231</v>
      </c>
      <c r="Y711" s="491" t="s">
        <v>3232</v>
      </c>
      <c r="BT711" s="492"/>
    </row>
    <row r="712" spans="22:72">
      <c r="V712" s="370" t="s">
        <v>3233</v>
      </c>
      <c r="W712" s="12" t="str">
        <f t="shared" si="8"/>
        <v>711パンプジン</v>
      </c>
      <c r="X712" s="491" t="s">
        <v>3234</v>
      </c>
      <c r="Y712" s="491" t="s">
        <v>3235</v>
      </c>
      <c r="BT712" s="492"/>
    </row>
    <row r="713" spans="22:72">
      <c r="V713" s="370" t="s">
        <v>3236</v>
      </c>
      <c r="W713" s="12" t="str">
        <f t="shared" si="8"/>
        <v>712カチコール</v>
      </c>
      <c r="X713" s="491" t="s">
        <v>3237</v>
      </c>
      <c r="Y713" s="491" t="s">
        <v>3238</v>
      </c>
      <c r="BT713" s="492"/>
    </row>
    <row r="714" spans="22:72">
      <c r="V714" s="370" t="s">
        <v>3239</v>
      </c>
      <c r="W714" s="12" t="str">
        <f t="shared" si="8"/>
        <v>713クレベース</v>
      </c>
      <c r="X714" s="491" t="s">
        <v>3240</v>
      </c>
      <c r="Y714" s="491" t="s">
        <v>3241</v>
      </c>
      <c r="BT714" s="492"/>
    </row>
    <row r="715" spans="22:72">
      <c r="V715" s="370" t="s">
        <v>3242</v>
      </c>
      <c r="W715" s="12" t="str">
        <f t="shared" si="8"/>
        <v>714オンバット</v>
      </c>
      <c r="X715" s="491" t="s">
        <v>3243</v>
      </c>
      <c r="Y715" s="491" t="s">
        <v>3244</v>
      </c>
      <c r="BT715" s="492"/>
    </row>
    <row r="716" spans="22:72">
      <c r="V716" s="370" t="s">
        <v>3245</v>
      </c>
      <c r="W716" s="12" t="str">
        <f t="shared" ref="W716:W720" si="9">V716&amp;X716</f>
        <v>715オンバーン</v>
      </c>
      <c r="X716" s="491" t="s">
        <v>3246</v>
      </c>
      <c r="Y716" s="491" t="s">
        <v>3247</v>
      </c>
      <c r="BT716" s="492"/>
    </row>
    <row r="717" spans="22:72">
      <c r="V717" s="370" t="s">
        <v>3248</v>
      </c>
      <c r="W717" s="12" t="str">
        <f t="shared" si="9"/>
        <v>716ゼルネアス</v>
      </c>
      <c r="X717" s="491" t="s">
        <v>3249</v>
      </c>
      <c r="Y717" s="491" t="s">
        <v>3250</v>
      </c>
      <c r="BT717" s="492"/>
    </row>
    <row r="718" spans="22:72">
      <c r="V718" s="370" t="s">
        <v>3251</v>
      </c>
      <c r="W718" s="12" t="str">
        <f t="shared" si="9"/>
        <v>717イベルタル</v>
      </c>
      <c r="X718" s="491" t="s">
        <v>3252</v>
      </c>
      <c r="Y718" s="491" t="s">
        <v>3253</v>
      </c>
      <c r="BT718" s="492"/>
    </row>
    <row r="719" spans="22:72">
      <c r="V719" s="370" t="s">
        <v>3254</v>
      </c>
      <c r="W719" s="12" t="str">
        <f t="shared" si="9"/>
        <v>718ジガルデ</v>
      </c>
      <c r="X719" s="491" t="s">
        <v>3255</v>
      </c>
      <c r="Y719" s="491" t="s">
        <v>3256</v>
      </c>
      <c r="BT719" s="492"/>
    </row>
    <row r="720" spans="22:72">
      <c r="V720" s="370" t="s">
        <v>3257</v>
      </c>
      <c r="W720" s="12" t="str">
        <f t="shared" si="9"/>
        <v>719ディアンシー</v>
      </c>
      <c r="X720" s="491" t="s">
        <v>3258</v>
      </c>
      <c r="Y720" s="491" t="s">
        <v>3259</v>
      </c>
      <c r="BT720" s="492"/>
    </row>
    <row r="721" spans="72:72">
      <c r="BT721" s="492"/>
    </row>
    <row r="722" spans="72:72">
      <c r="BT722" s="492"/>
    </row>
    <row r="723" spans="72:72">
      <c r="BT723" s="492"/>
    </row>
    <row r="724" spans="72:72">
      <c r="BT724" s="492"/>
    </row>
    <row r="725" spans="72:72">
      <c r="BT725" s="492"/>
    </row>
    <row r="726" spans="72:72">
      <c r="BT726" s="492"/>
    </row>
    <row r="727" spans="72:72">
      <c r="BT727" s="492"/>
    </row>
    <row r="728" spans="72:72">
      <c r="BT728" s="492"/>
    </row>
    <row r="729" spans="72:72">
      <c r="BT729" s="492"/>
    </row>
    <row r="730" spans="72:72">
      <c r="BT730" s="492"/>
    </row>
    <row r="731" spans="72:72">
      <c r="BT731" s="492"/>
    </row>
    <row r="732" spans="72:72">
      <c r="BT732" s="492"/>
    </row>
    <row r="733" spans="72:72">
      <c r="BT733" s="492"/>
    </row>
    <row r="734" spans="72:72">
      <c r="BT734" s="492"/>
    </row>
    <row r="735" spans="72:72">
      <c r="BT735" s="492"/>
    </row>
    <row r="736" spans="72:72">
      <c r="BT736" s="492"/>
    </row>
    <row r="737" spans="72:72">
      <c r="BT737" s="492"/>
    </row>
    <row r="738" spans="72:72">
      <c r="BT738" s="492"/>
    </row>
    <row r="739" spans="72:72">
      <c r="BT739" s="492"/>
    </row>
    <row r="740" spans="72:72">
      <c r="BT740" s="492"/>
    </row>
    <row r="741" spans="72:72">
      <c r="BT741" s="492"/>
    </row>
    <row r="742" spans="72:72">
      <c r="BT742" s="492"/>
    </row>
    <row r="743" spans="72:72">
      <c r="BT743" s="492"/>
    </row>
    <row r="744" spans="72:72">
      <c r="BT744" s="492"/>
    </row>
    <row r="745" spans="72:72">
      <c r="BT745" s="492"/>
    </row>
    <row r="746" spans="72:72">
      <c r="BT746" s="492"/>
    </row>
    <row r="747" spans="68:68">
      <c r="BP747" s="182"/>
    </row>
    <row r="748" spans="68:68">
      <c r="BP748" s="182"/>
    </row>
    <row r="749" spans="68:68">
      <c r="BP749" s="182"/>
    </row>
    <row r="750" spans="68:68">
      <c r="BP750" s="182"/>
    </row>
    <row r="751" spans="68:68">
      <c r="BP751" s="182"/>
    </row>
    <row r="752" spans="68:68">
      <c r="BP752" s="182"/>
    </row>
    <row r="753" spans="68:68">
      <c r="BP753" s="182"/>
    </row>
    <row r="754" spans="68:68">
      <c r="BP754" s="182"/>
    </row>
    <row r="755" spans="68:68">
      <c r="BP755" s="182"/>
    </row>
    <row r="756" spans="68:68">
      <c r="BP756" s="182"/>
    </row>
    <row r="757" spans="68:68">
      <c r="BP757" s="182"/>
    </row>
    <row r="758" spans="68:68">
      <c r="BP758" s="182"/>
    </row>
    <row r="759" spans="68:68">
      <c r="BP759" s="182"/>
    </row>
    <row r="760" spans="68:68">
      <c r="BP760" s="182"/>
    </row>
    <row r="761" spans="68:68">
      <c r="BP761" s="182"/>
    </row>
    <row r="762" spans="68:68">
      <c r="BP762" s="182"/>
    </row>
    <row r="763" spans="68:68">
      <c r="BP763" s="182"/>
    </row>
    <row r="764" spans="68:68">
      <c r="BP764" s="182"/>
    </row>
    <row r="765" spans="68:68">
      <c r="BP765" s="182"/>
    </row>
    <row r="766" spans="68:68">
      <c r="BP766" s="182"/>
    </row>
    <row r="767" spans="68:68">
      <c r="BP767" s="182"/>
    </row>
    <row r="768" spans="68:68">
      <c r="BP768" s="182"/>
    </row>
    <row r="769" spans="68:68">
      <c r="BP769" s="182"/>
    </row>
    <row r="770" spans="68:68">
      <c r="BP770" s="182"/>
    </row>
    <row r="771" spans="68:68">
      <c r="BP771" s="182"/>
    </row>
    <row r="772" spans="68:68">
      <c r="BP772" s="182"/>
    </row>
    <row r="773" spans="68:68">
      <c r="BP773" s="182"/>
    </row>
    <row r="774" spans="68:68">
      <c r="BP774" s="182"/>
    </row>
    <row r="775" spans="68:68">
      <c r="BP775" s="182"/>
    </row>
    <row r="776" spans="68:68">
      <c r="BP776" s="182"/>
    </row>
    <row r="777" spans="68:68">
      <c r="BP777" s="182"/>
    </row>
    <row r="778" spans="68:68">
      <c r="BP778" s="182"/>
    </row>
    <row r="779" spans="68:68">
      <c r="BP779" s="182"/>
    </row>
    <row r="780" spans="68:68">
      <c r="BP780" s="182"/>
    </row>
    <row r="781" spans="68:68">
      <c r="BP781" s="182"/>
    </row>
    <row r="782" spans="68:68">
      <c r="BP782" s="182"/>
    </row>
    <row r="783" spans="68:68">
      <c r="BP783" s="182"/>
    </row>
    <row r="784" spans="68:68">
      <c r="BP784" s="182"/>
    </row>
    <row r="785" spans="68:68">
      <c r="BP785" s="182"/>
    </row>
    <row r="786" spans="68:68">
      <c r="BP786" s="182"/>
    </row>
    <row r="787" spans="68:68">
      <c r="BP787" s="182"/>
    </row>
    <row r="788" spans="68:68">
      <c r="BP788" s="182"/>
    </row>
    <row r="789" spans="68:68">
      <c r="BP789" s="182"/>
    </row>
    <row r="790" spans="68:68">
      <c r="BP790" s="182"/>
    </row>
    <row r="791" spans="68:68">
      <c r="BP791" s="182"/>
    </row>
    <row r="792" spans="68:68">
      <c r="BP792" s="182"/>
    </row>
    <row r="793" spans="68:68">
      <c r="BP793" s="182"/>
    </row>
    <row r="794" spans="68:68">
      <c r="BP794" s="182"/>
    </row>
    <row r="795" spans="68:68">
      <c r="BP795" s="182"/>
    </row>
    <row r="796" spans="68:68">
      <c r="BP796" s="182"/>
    </row>
    <row r="797" spans="68:68">
      <c r="BP797" s="182"/>
    </row>
    <row r="798" spans="68:68">
      <c r="BP798" s="182"/>
    </row>
    <row r="799" spans="68:68">
      <c r="BP799" s="182"/>
    </row>
    <row r="800" spans="68:68">
      <c r="BP800" s="182"/>
    </row>
    <row r="801" spans="68:68">
      <c r="BP801" s="182"/>
    </row>
    <row r="802" spans="68:68">
      <c r="BP802" s="182"/>
    </row>
    <row r="803" spans="68:68">
      <c r="BP803" s="182"/>
    </row>
    <row r="804" spans="68:68">
      <c r="BP804" s="182"/>
    </row>
    <row r="805" spans="68:68">
      <c r="BP805" s="182"/>
    </row>
    <row r="806" spans="68:68">
      <c r="BP806" s="182"/>
    </row>
    <row r="807" spans="68:68">
      <c r="BP807" s="182"/>
    </row>
    <row r="808" spans="68:68">
      <c r="BP808" s="182"/>
    </row>
    <row r="809" spans="68:68">
      <c r="BP809" s="182"/>
    </row>
    <row r="810" spans="68:68">
      <c r="BP810" s="182"/>
    </row>
  </sheetData>
  <mergeCells count="136">
    <mergeCell ref="A1:S1"/>
    <mergeCell ref="A4:D4"/>
    <mergeCell ref="F4:G4"/>
    <mergeCell ref="L4:O4"/>
    <mergeCell ref="Q4:R4"/>
    <mergeCell ref="B5:C5"/>
    <mergeCell ref="F5:G5"/>
    <mergeCell ref="M5:N5"/>
    <mergeCell ref="Q5:R5"/>
    <mergeCell ref="F12:H12"/>
    <mergeCell ref="J12:K12"/>
    <mergeCell ref="Q12:S12"/>
    <mergeCell ref="E13:F13"/>
    <mergeCell ref="G13:H13"/>
    <mergeCell ref="P13:Q13"/>
    <mergeCell ref="R13:S13"/>
    <mergeCell ref="F14:G14"/>
    <mergeCell ref="J14:K14"/>
    <mergeCell ref="Q14:R14"/>
    <mergeCell ref="F15:G15"/>
    <mergeCell ref="Q15:R15"/>
    <mergeCell ref="F16:G16"/>
    <mergeCell ref="Q16:R16"/>
    <mergeCell ref="F17:G17"/>
    <mergeCell ref="Q17:R17"/>
    <mergeCell ref="F18:G18"/>
    <mergeCell ref="Q18:R18"/>
    <mergeCell ref="A19:B19"/>
    <mergeCell ref="F19:G19"/>
    <mergeCell ref="L19:M19"/>
    <mergeCell ref="Q19:R19"/>
    <mergeCell ref="F21:G21"/>
    <mergeCell ref="Q21:R21"/>
    <mergeCell ref="B22:C22"/>
    <mergeCell ref="F22:G22"/>
    <mergeCell ref="J22:K22"/>
    <mergeCell ref="M22:N22"/>
    <mergeCell ref="Q22:R22"/>
    <mergeCell ref="F23:G23"/>
    <mergeCell ref="J23:K23"/>
    <mergeCell ref="Q23:R23"/>
    <mergeCell ref="A24:C24"/>
    <mergeCell ref="D24:E24"/>
    <mergeCell ref="F24:G24"/>
    <mergeCell ref="J24:K24"/>
    <mergeCell ref="L24:N24"/>
    <mergeCell ref="O24:P24"/>
    <mergeCell ref="Q24:R24"/>
    <mergeCell ref="A25:C25"/>
    <mergeCell ref="D25:E25"/>
    <mergeCell ref="J25:K25"/>
    <mergeCell ref="L25:N25"/>
    <mergeCell ref="O25:P25"/>
    <mergeCell ref="A27:S27"/>
    <mergeCell ref="A28:B28"/>
    <mergeCell ref="D28:E28"/>
    <mergeCell ref="A29:B29"/>
    <mergeCell ref="D29:E29"/>
    <mergeCell ref="A30:S30"/>
    <mergeCell ref="A31:B31"/>
    <mergeCell ref="C31:E31"/>
    <mergeCell ref="H31:I31"/>
    <mergeCell ref="J31:L31"/>
    <mergeCell ref="N31:O31"/>
    <mergeCell ref="P31:Q31"/>
    <mergeCell ref="R31:S31"/>
    <mergeCell ref="A32:B32"/>
    <mergeCell ref="C32:D32"/>
    <mergeCell ref="H32:I32"/>
    <mergeCell ref="K32:L32"/>
    <mergeCell ref="N32:P32"/>
    <mergeCell ref="Q32:R32"/>
    <mergeCell ref="A33:B33"/>
    <mergeCell ref="C33:D33"/>
    <mergeCell ref="H33:I33"/>
    <mergeCell ref="K33:L33"/>
    <mergeCell ref="N33:P33"/>
    <mergeCell ref="Q33:R33"/>
    <mergeCell ref="A34:B34"/>
    <mergeCell ref="C34:D34"/>
    <mergeCell ref="H34:I34"/>
    <mergeCell ref="K34:L34"/>
    <mergeCell ref="N34:P34"/>
    <mergeCell ref="Q34:R34"/>
    <mergeCell ref="A35:B35"/>
    <mergeCell ref="C35:D35"/>
    <mergeCell ref="H35:I35"/>
    <mergeCell ref="K35:L35"/>
    <mergeCell ref="A36:B36"/>
    <mergeCell ref="C36:D36"/>
    <mergeCell ref="H36:I36"/>
    <mergeCell ref="K36:L36"/>
    <mergeCell ref="N36:P36"/>
    <mergeCell ref="Q36:R36"/>
    <mergeCell ref="A37:B37"/>
    <mergeCell ref="C37:D37"/>
    <mergeCell ref="H37:I37"/>
    <mergeCell ref="A39:C39"/>
    <mergeCell ref="D39:F39"/>
    <mergeCell ref="A40:C40"/>
    <mergeCell ref="D40:F40"/>
    <mergeCell ref="A41:C41"/>
    <mergeCell ref="D41:F41"/>
    <mergeCell ref="A42:C42"/>
    <mergeCell ref="D42:F42"/>
    <mergeCell ref="A43:C43"/>
    <mergeCell ref="D43:F43"/>
    <mergeCell ref="A44:C44"/>
    <mergeCell ref="D44:F44"/>
    <mergeCell ref="A45:C45"/>
    <mergeCell ref="D45:F45"/>
    <mergeCell ref="A46:C46"/>
    <mergeCell ref="D46:F46"/>
    <mergeCell ref="K47:L47"/>
    <mergeCell ref="A48:B48"/>
    <mergeCell ref="A49:C49"/>
    <mergeCell ref="D49:E49"/>
    <mergeCell ref="F49:G49"/>
    <mergeCell ref="H49:I49"/>
    <mergeCell ref="J49:L49"/>
    <mergeCell ref="A50:C50"/>
    <mergeCell ref="D50:E50"/>
    <mergeCell ref="F50:G50"/>
    <mergeCell ref="H50:I50"/>
    <mergeCell ref="J50:L50"/>
    <mergeCell ref="K58:Q58"/>
    <mergeCell ref="K59:Q59"/>
    <mergeCell ref="AV61:AW61"/>
    <mergeCell ref="A56:J57"/>
    <mergeCell ref="A60:J61"/>
    <mergeCell ref="A58:J59"/>
    <mergeCell ref="K56:Q57"/>
    <mergeCell ref="K60:Q61"/>
    <mergeCell ref="A2:H3"/>
    <mergeCell ref="L2:S3"/>
    <mergeCell ref="I6:K9"/>
  </mergeCells>
  <dataValidations count="20">
    <dataValidation type="list" showInputMessage="1" showErrorMessage="1" sqref="A4:D4">
      <formula1>Sheet3!#REF!</formula1>
    </dataValidation>
    <dataValidation type="list" allowBlank="1" showInputMessage="1" showErrorMessage="1" sqref="L4:O4">
      <formula1>Sheet3!#REF!</formula1>
    </dataValidation>
    <dataValidation allowBlank="1" showInputMessage="1" showErrorMessage="1" sqref="B12:C12 M12 T32:U32 C32:C33 J32:J33 Q32:Q33 F21:G22 Q21:R22 K34:L35"/>
    <dataValidation type="list" showInputMessage="1" showErrorMessage="1" sqref="J12:K12">
      <formula1>$AU$22:$BB$22</formula1>
    </dataValidation>
    <dataValidation type="list" allowBlank="1" showInputMessage="1" showErrorMessage="1" sqref="F14:G14 Q14:R14">
      <formula1>$AU$2:$AZ$2</formula1>
    </dataValidation>
    <dataValidation type="list" showInputMessage="1" showErrorMessage="1" sqref="H21 S21">
      <formula1>$BG$52:$BG$64</formula1>
    </dataValidation>
    <dataValidation type="list" showInputMessage="1" showErrorMessage="1" sqref="B22:C22 M22:N22">
      <formula1>$AV$17:$BR$17</formula1>
    </dataValidation>
    <dataValidation type="list" allowBlank="1" showInputMessage="1" showErrorMessage="1" sqref="D24:E24 O24:P24 E32 K32:L32 S32">
      <formula1>$AV$28:$BM$28</formula1>
    </dataValidation>
    <dataValidation type="list" allowBlank="1" showInputMessage="1" showErrorMessage="1" sqref="D25:E25">
      <formula1>Sheet1!$B$4:$B$87</formula1>
    </dataValidation>
    <dataValidation type="list" allowBlank="1" showInputMessage="1" showErrorMessage="1" sqref="O25:P25">
      <formula1>Sheet1!$T$4:$T$87</formula1>
    </dataValidation>
    <dataValidation type="list" showInputMessage="1" showErrorMessage="1" sqref="R32">
      <formula1>$AV$28:$BM$28</formula1>
    </dataValidation>
    <dataValidation type="list" allowBlank="1" showInputMessage="1" showErrorMessage="1" sqref="E33 K33:L33">
      <formula1>$AU$28:$BM$28</formula1>
    </dataValidation>
    <dataValidation type="list" showInputMessage="1" showErrorMessage="1" sqref="R33:S33">
      <formula1>$AU$1:$AV$1</formula1>
    </dataValidation>
    <dataValidation showInputMessage="1" sqref="C34 C36:D36 J36"/>
    <dataValidation showInputMessage="1" showErrorMessage="1" sqref="C35 K47 J34:J35"/>
    <dataValidation type="list" showInputMessage="1" sqref="E36">
      <formula1>$AV$5:$CT$5</formula1>
    </dataValidation>
    <dataValidation type="list" showInputMessage="1" sqref="K36:L36">
      <formula1>$AV$5:$CS$5</formula1>
    </dataValidation>
    <dataValidation type="list" showInputMessage="1" showErrorMessage="1" sqref="K48">
      <formula1>$BK$8:$BW$8</formula1>
    </dataValidation>
    <dataValidation type="whole" operator="between" allowBlank="1" showInputMessage="1" showErrorMessage="1" errorTitle="努力值范围0-252" error="努力值范围为0-252" sqref="E6:E11 P6:P11" errorStyle="information">
      <formula1>0</formula1>
      <formula2>252</formula2>
    </dataValidation>
    <dataValidation type="list" allowBlank="1" showInputMessage="1" showErrorMessage="1" sqref="E21:E22 H22:H23 P21:P22 S22:S23">
      <formula1>$BG$52:$BG$64</formula1>
    </dataValidation>
  </dataValidations>
  <hyperlinks>
    <hyperlink ref="BF103" r:id="rId83" display="钻石暴风" tooltip="http://wiki.52poke.com/wiki/%E9%92%BB%E7%9F%B3%E6%9A%B4%E9%A3%8E%EF%BC%88%E6%8A%80%E8%83%BD%EF%BC%89"/>
  </hyperlinks>
  <pageMargins left="0.75" right="0.75" top="1" bottom="1" header="0.510416666666667" footer="0.510416666666667"/>
  <pageSetup paperSize="9" orientation="portrait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name="选项按钮 798" r:id="rId4">
              <controlPr defaultSize="0">
                <anchor moveWithCells="1">
                  <from>
                    <xdr:col>2</xdr:col>
                    <xdr:colOff>38100</xdr:colOff>
                    <xdr:row>12</xdr:row>
                    <xdr:rowOff>66675</xdr:rowOff>
                  </from>
                  <to>
                    <xdr:col>2</xdr:col>
                    <xdr:colOff>219075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选项按钮 799" r:id="rId5">
              <controlPr defaultSize="0">
                <anchor moveWithCells="1">
                  <from>
                    <xdr:col>2</xdr:col>
                    <xdr:colOff>38100</xdr:colOff>
                    <xdr:row>13</xdr:row>
                    <xdr:rowOff>47625</xdr:rowOff>
                  </from>
                  <to>
                    <xdr:col>2</xdr:col>
                    <xdr:colOff>219075</xdr:colOff>
                    <xdr:row>13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选项按钮 800" r:id="rId6">
              <controlPr defaultSize="0">
                <anchor moveWithCells="1">
                  <from>
                    <xdr:col>2</xdr:col>
                    <xdr:colOff>38100</xdr:colOff>
                    <xdr:row>13</xdr:row>
                    <xdr:rowOff>200025</xdr:rowOff>
                  </from>
                  <to>
                    <xdr:col>2</xdr:col>
                    <xdr:colOff>257175</xdr:colOff>
                    <xdr:row>14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分组框 802" r:id="rId7">
              <controlPr defaultSize="0">
                <anchor moveWithCells="1">
                  <from>
                    <xdr:col>2</xdr:col>
                    <xdr:colOff>0</xdr:colOff>
                    <xdr:row>11</xdr:row>
                    <xdr:rowOff>171450</xdr:rowOff>
                  </from>
                  <to>
                    <xdr:col>3</xdr:col>
                    <xdr:colOff>19050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name="选项按钮 807" r:id="rId8">
              <controlPr defaultSize="0">
                <anchor moveWithCells="1">
                  <from>
                    <xdr:col>13</xdr:col>
                    <xdr:colOff>114300</xdr:colOff>
                    <xdr:row>12</xdr:row>
                    <xdr:rowOff>28575</xdr:rowOff>
                  </from>
                  <to>
                    <xdr:col>13</xdr:col>
                    <xdr:colOff>285750</xdr:colOff>
                    <xdr:row>12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name="选项按钮 808" r:id="rId9">
              <controlPr defaultSize="0">
                <anchor moveWithCells="1">
                  <from>
                    <xdr:col>13</xdr:col>
                    <xdr:colOff>114300</xdr:colOff>
                    <xdr:row>13</xdr:row>
                    <xdr:rowOff>28575</xdr:rowOff>
                  </from>
                  <to>
                    <xdr:col>13</xdr:col>
                    <xdr:colOff>361950</xdr:colOff>
                    <xdr:row>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name="选项按钮 809" r:id="rId10">
              <controlPr defaultSize="0">
                <anchor moveWithCells="1">
                  <from>
                    <xdr:col>13</xdr:col>
                    <xdr:colOff>104775</xdr:colOff>
                    <xdr:row>14</xdr:row>
                    <xdr:rowOff>0</xdr:rowOff>
                  </from>
                  <to>
                    <xdr:col>13</xdr:col>
                    <xdr:colOff>352425</xdr:colOff>
                    <xdr:row>14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name="分组框 822" r:id="rId11">
              <controlPr defaultSize="0">
                <anchor moveWithCells="1">
                  <from>
                    <xdr:col>12</xdr:col>
                    <xdr:colOff>647700</xdr:colOff>
                    <xdr:row>11</xdr:row>
                    <xdr:rowOff>142875</xdr:rowOff>
                  </from>
                  <to>
                    <xdr:col>14</xdr:col>
                    <xdr:colOff>85725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name="微调框 837" r:id="rId12">
              <controlPr defaultSize="0">
                <anchor moveWithCells="1" sizeWithCells="1">
                  <from>
                    <xdr:col>4</xdr:col>
                    <xdr:colOff>619125</xdr:colOff>
                    <xdr:row>5</xdr:row>
                    <xdr:rowOff>0</xdr:rowOff>
                  </from>
                  <to>
                    <xdr:col>5</xdr:col>
                    <xdr:colOff>9525</xdr:colOff>
                    <xdr:row>5</xdr:row>
                    <xdr:rowOff>221615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name="微调框 840" r:id="rId13">
              <controlPr defaultSize="0">
                <anchor moveWithCells="1" sizeWithCells="1">
                  <from>
                    <xdr:col>4</xdr:col>
                    <xdr:colOff>619125</xdr:colOff>
                    <xdr:row>6</xdr:row>
                    <xdr:rowOff>11430</xdr:rowOff>
                  </from>
                  <to>
                    <xdr:col>5</xdr:col>
                    <xdr:colOff>9525</xdr:colOff>
                    <xdr:row>6</xdr:row>
                    <xdr:rowOff>231140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name="微调框 846" r:id="rId14">
              <controlPr defaultSize="0">
                <anchor moveWithCells="1" sizeWithCells="1">
                  <from>
                    <xdr:col>4</xdr:col>
                    <xdr:colOff>619125</xdr:colOff>
                    <xdr:row>7</xdr:row>
                    <xdr:rowOff>22860</xdr:rowOff>
                  </from>
                  <to>
                    <xdr:col>5</xdr:col>
                    <xdr:colOff>9525</xdr:colOff>
                    <xdr:row>8</xdr:row>
                    <xdr:rowOff>1905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name="微调框 847" r:id="rId15">
              <controlPr defaultSize="0">
                <anchor moveWithCells="1" sizeWithCells="1">
                  <from>
                    <xdr:col>4</xdr:col>
                    <xdr:colOff>619125</xdr:colOff>
                    <xdr:row>8</xdr:row>
                    <xdr:rowOff>23495</xdr:rowOff>
                  </from>
                  <to>
                    <xdr:col>5</xdr:col>
                    <xdr:colOff>9525</xdr:colOff>
                    <xdr:row>9</xdr:row>
                    <xdr:rowOff>2540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name="微调框 848" r:id="rId16">
              <controlPr defaultSize="0">
                <anchor moveWithCells="1" sizeWithCells="1">
                  <from>
                    <xdr:col>4</xdr:col>
                    <xdr:colOff>619125</xdr:colOff>
                    <xdr:row>9</xdr:row>
                    <xdr:rowOff>25400</xdr:rowOff>
                  </from>
                  <to>
                    <xdr:col>5</xdr:col>
                    <xdr:colOff>9525</xdr:colOff>
                    <xdr:row>10</xdr:row>
                    <xdr:rowOff>4445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name="微调框 849" r:id="rId17">
              <controlPr defaultSize="0">
                <anchor moveWithCells="1" sizeWithCells="1">
                  <from>
                    <xdr:col>4</xdr:col>
                    <xdr:colOff>619125</xdr:colOff>
                    <xdr:row>10</xdr:row>
                    <xdr:rowOff>17780</xdr:rowOff>
                  </from>
                  <to>
                    <xdr:col>5</xdr:col>
                    <xdr:colOff>9525</xdr:colOff>
                    <xdr:row>10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name="微调框 850" r:id="rId18">
              <controlPr defaultSize="0">
                <anchor moveWithCells="1" sizeWithCells="1">
                  <from>
                    <xdr:col>15</xdr:col>
                    <xdr:colOff>571500</xdr:colOff>
                    <xdr:row>5</xdr:row>
                    <xdr:rowOff>0</xdr:rowOff>
                  </from>
                  <to>
                    <xdr:col>16</xdr:col>
                    <xdr:colOff>0</xdr:colOff>
                    <xdr:row>5</xdr:row>
                    <xdr:rowOff>218440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name="微调框 851" r:id="rId19">
              <controlPr defaultSize="0">
                <anchor moveWithCells="1" sizeWithCells="1">
                  <from>
                    <xdr:col>15</xdr:col>
                    <xdr:colOff>571500</xdr:colOff>
                    <xdr:row>6</xdr:row>
                    <xdr:rowOff>0</xdr:rowOff>
                  </from>
                  <to>
                    <xdr:col>16</xdr:col>
                    <xdr:colOff>0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name="微调框 852" r:id="rId20">
              <controlPr defaultSize="0">
                <anchor moveWithCells="1" sizeWithCells="1">
                  <from>
                    <xdr:col>15</xdr:col>
                    <xdr:colOff>571500</xdr:colOff>
                    <xdr:row>6</xdr:row>
                    <xdr:rowOff>241300</xdr:rowOff>
                  </from>
                  <to>
                    <xdr:col>16</xdr:col>
                    <xdr:colOff>0</xdr:colOff>
                    <xdr:row>7</xdr:row>
                    <xdr:rowOff>219710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name="微调框 853" r:id="rId21">
              <controlPr defaultSize="0">
                <anchor moveWithCells="1" sizeWithCells="1">
                  <from>
                    <xdr:col>15</xdr:col>
                    <xdr:colOff>571500</xdr:colOff>
                    <xdr:row>8</xdr:row>
                    <xdr:rowOff>8255</xdr:rowOff>
                  </from>
                  <to>
                    <xdr:col>16</xdr:col>
                    <xdr:colOff>0</xdr:colOff>
                    <xdr:row>8</xdr:row>
                    <xdr:rowOff>227330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name="微调框 854" r:id="rId22">
              <controlPr defaultSize="0">
                <anchor moveWithCells="1" sizeWithCells="1">
                  <from>
                    <xdr:col>15</xdr:col>
                    <xdr:colOff>571500</xdr:colOff>
                    <xdr:row>9</xdr:row>
                    <xdr:rowOff>10160</xdr:rowOff>
                  </from>
                  <to>
                    <xdr:col>16</xdr:col>
                    <xdr:colOff>0</xdr:colOff>
                    <xdr:row>9</xdr:row>
                    <xdr:rowOff>229235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name="微调框 855" r:id="rId23">
              <controlPr defaultSize="0">
                <anchor moveWithCells="1" sizeWithCells="1">
                  <from>
                    <xdr:col>15</xdr:col>
                    <xdr:colOff>571500</xdr:colOff>
                    <xdr:row>10</xdr:row>
                    <xdr:rowOff>9525</xdr:rowOff>
                  </from>
                  <to>
                    <xdr:col>16</xdr:col>
                    <xdr:colOff>0</xdr:colOff>
                    <xdr:row>10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name="选项按钮 901" r:id="rId24">
              <controlPr defaultSize="0">
                <anchor moveWithCells="1">
                  <from>
                    <xdr:col>5</xdr:col>
                    <xdr:colOff>85725</xdr:colOff>
                    <xdr:row>6</xdr:row>
                    <xdr:rowOff>57150</xdr:rowOff>
                  </from>
                  <to>
                    <xdr:col>5</xdr:col>
                    <xdr:colOff>266700</xdr:colOff>
                    <xdr:row>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name="选项按钮 902" r:id="rId25">
              <controlPr defaultSize="0">
                <anchor moveWithCells="1">
                  <from>
                    <xdr:col>5</xdr:col>
                    <xdr:colOff>85725</xdr:colOff>
                    <xdr:row>7</xdr:row>
                    <xdr:rowOff>66675</xdr:rowOff>
                  </from>
                  <to>
                    <xdr:col>5</xdr:col>
                    <xdr:colOff>266700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name="选项按钮 903" r:id="rId26">
              <controlPr defaultSize="0">
                <anchor moveWithCells="1">
                  <from>
                    <xdr:col>5</xdr:col>
                    <xdr:colOff>85725</xdr:colOff>
                    <xdr:row>8</xdr:row>
                    <xdr:rowOff>76200</xdr:rowOff>
                  </from>
                  <to>
                    <xdr:col>5</xdr:col>
                    <xdr:colOff>266700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name="选项按钮 904" r:id="rId27">
              <controlPr defaultSize="0">
                <anchor moveWithCells="1">
                  <from>
                    <xdr:col>5</xdr:col>
                    <xdr:colOff>85725</xdr:colOff>
                    <xdr:row>9</xdr:row>
                    <xdr:rowOff>66675</xdr:rowOff>
                  </from>
                  <to>
                    <xdr:col>5</xdr:col>
                    <xdr:colOff>266700</xdr:colOff>
                    <xdr:row>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name="选项按钮 905" r:id="rId28">
              <controlPr defaultSize="0">
                <anchor moveWithCells="1">
                  <from>
                    <xdr:col>5</xdr:col>
                    <xdr:colOff>85725</xdr:colOff>
                    <xdr:row>10</xdr:row>
                    <xdr:rowOff>66675</xdr:rowOff>
                  </from>
                  <to>
                    <xdr:col>5</xdr:col>
                    <xdr:colOff>266700</xdr:colOff>
                    <xdr:row>10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name="分组框 911" r:id="rId29">
              <controlPr defaultSize="0">
                <anchor moveWithCells="1">
                  <from>
                    <xdr:col>4</xdr:col>
                    <xdr:colOff>742950</xdr:colOff>
                    <xdr:row>5</xdr:row>
                    <xdr:rowOff>161925</xdr:rowOff>
                  </from>
                  <to>
                    <xdr:col>5</xdr:col>
                    <xdr:colOff>381000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name="选项按钮 932" r:id="rId30">
              <controlPr defaultSize="0">
                <anchor moveWithCells="1">
                  <from>
                    <xdr:col>6</xdr:col>
                    <xdr:colOff>66675</xdr:colOff>
                    <xdr:row>6</xdr:row>
                    <xdr:rowOff>57150</xdr:rowOff>
                  </from>
                  <to>
                    <xdr:col>6</xdr:col>
                    <xdr:colOff>247650</xdr:colOff>
                    <xdr:row>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name="选项按钮 933" r:id="rId31">
              <controlPr defaultSize="0">
                <anchor moveWithCells="1">
                  <from>
                    <xdr:col>6</xdr:col>
                    <xdr:colOff>66675</xdr:colOff>
                    <xdr:row>7</xdr:row>
                    <xdr:rowOff>66675</xdr:rowOff>
                  </from>
                  <to>
                    <xdr:col>6</xdr:col>
                    <xdr:colOff>247650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name="选项按钮 934" r:id="rId32">
              <controlPr defaultSize="0">
                <anchor moveWithCells="1">
                  <from>
                    <xdr:col>6</xdr:col>
                    <xdr:colOff>66675</xdr:colOff>
                    <xdr:row>8</xdr:row>
                    <xdr:rowOff>76200</xdr:rowOff>
                  </from>
                  <to>
                    <xdr:col>6</xdr:col>
                    <xdr:colOff>247650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name="选项按钮 935" r:id="rId33">
              <controlPr defaultSize="0">
                <anchor moveWithCells="1">
                  <from>
                    <xdr:col>6</xdr:col>
                    <xdr:colOff>66675</xdr:colOff>
                    <xdr:row>9</xdr:row>
                    <xdr:rowOff>66675</xdr:rowOff>
                  </from>
                  <to>
                    <xdr:col>6</xdr:col>
                    <xdr:colOff>247650</xdr:colOff>
                    <xdr:row>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name="选项按钮 936" r:id="rId34">
              <controlPr defaultSize="0">
                <anchor moveWithCells="1">
                  <from>
                    <xdr:col>6</xdr:col>
                    <xdr:colOff>66675</xdr:colOff>
                    <xdr:row>10</xdr:row>
                    <xdr:rowOff>66675</xdr:rowOff>
                  </from>
                  <to>
                    <xdr:col>6</xdr:col>
                    <xdr:colOff>247650</xdr:colOff>
                    <xdr:row>10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name="分组框 942" r:id="rId35">
              <controlPr defaultSize="0">
                <anchor moveWithCells="1">
                  <from>
                    <xdr:col>5</xdr:col>
                    <xdr:colOff>333375</xdr:colOff>
                    <xdr:row>5</xdr:row>
                    <xdr:rowOff>152400</xdr:rowOff>
                  </from>
                  <to>
                    <xdr:col>6</xdr:col>
                    <xdr:colOff>295275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name="选项按钮 828" r:id="rId36">
              <controlPr defaultSize="0">
                <anchor moveWithCells="1">
                  <from>
                    <xdr:col>16</xdr:col>
                    <xdr:colOff>76200</xdr:colOff>
                    <xdr:row>6</xdr:row>
                    <xdr:rowOff>47625</xdr:rowOff>
                  </from>
                  <to>
                    <xdr:col>16</xdr:col>
                    <xdr:colOff>257175</xdr:colOff>
                    <xdr:row>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name="选项按钮 829" r:id="rId37">
              <controlPr defaultSize="0">
                <anchor moveWithCells="1">
                  <from>
                    <xdr:col>16</xdr:col>
                    <xdr:colOff>76200</xdr:colOff>
                    <xdr:row>7</xdr:row>
                    <xdr:rowOff>66675</xdr:rowOff>
                  </from>
                  <to>
                    <xdr:col>16</xdr:col>
                    <xdr:colOff>257175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name="选项按钮 830" r:id="rId38">
              <controlPr defaultSize="0">
                <anchor moveWithCells="1">
                  <from>
                    <xdr:col>16</xdr:col>
                    <xdr:colOff>76200</xdr:colOff>
                    <xdr:row>8</xdr:row>
                    <xdr:rowOff>76200</xdr:rowOff>
                  </from>
                  <to>
                    <xdr:col>16</xdr:col>
                    <xdr:colOff>257175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name="选项按钮 831" r:id="rId39">
              <controlPr defaultSize="0">
                <anchor moveWithCells="1">
                  <from>
                    <xdr:col>16</xdr:col>
                    <xdr:colOff>76200</xdr:colOff>
                    <xdr:row>9</xdr:row>
                    <xdr:rowOff>66675</xdr:rowOff>
                  </from>
                  <to>
                    <xdr:col>16</xdr:col>
                    <xdr:colOff>257175</xdr:colOff>
                    <xdr:row>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name="选项按钮 832" r:id="rId40">
              <controlPr defaultSize="0">
                <anchor moveWithCells="1">
                  <from>
                    <xdr:col>16</xdr:col>
                    <xdr:colOff>76200</xdr:colOff>
                    <xdr:row>10</xdr:row>
                    <xdr:rowOff>66675</xdr:rowOff>
                  </from>
                  <to>
                    <xdr:col>16</xdr:col>
                    <xdr:colOff>257175</xdr:colOff>
                    <xdr:row>10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name="分组框 838" r:id="rId41">
              <controlPr defaultSize="0">
                <anchor moveWithCells="1">
                  <from>
                    <xdr:col>15</xdr:col>
                    <xdr:colOff>695325</xdr:colOff>
                    <xdr:row>5</xdr:row>
                    <xdr:rowOff>142875</xdr:rowOff>
                  </from>
                  <to>
                    <xdr:col>17</xdr:col>
                    <xdr:colOff>85725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name="选项按钮 817" r:id="rId42">
              <controlPr defaultSize="0">
                <anchor moveWithCells="1">
                  <from>
                    <xdr:col>17</xdr:col>
                    <xdr:colOff>66675</xdr:colOff>
                    <xdr:row>6</xdr:row>
                    <xdr:rowOff>47625</xdr:rowOff>
                  </from>
                  <to>
                    <xdr:col>17</xdr:col>
                    <xdr:colOff>247650</xdr:colOff>
                    <xdr:row>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name="选项按钮 818" r:id="rId43">
              <controlPr defaultSize="0">
                <anchor moveWithCells="1">
                  <from>
                    <xdr:col>17</xdr:col>
                    <xdr:colOff>66675</xdr:colOff>
                    <xdr:row>7</xdr:row>
                    <xdr:rowOff>66675</xdr:rowOff>
                  </from>
                  <to>
                    <xdr:col>17</xdr:col>
                    <xdr:colOff>247650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name="选项按钮 819" r:id="rId44">
              <controlPr defaultSize="0">
                <anchor moveWithCells="1">
                  <from>
                    <xdr:col>17</xdr:col>
                    <xdr:colOff>66675</xdr:colOff>
                    <xdr:row>8</xdr:row>
                    <xdr:rowOff>76200</xdr:rowOff>
                  </from>
                  <to>
                    <xdr:col>17</xdr:col>
                    <xdr:colOff>247650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name="选项按钮 820" r:id="rId45">
              <controlPr defaultSize="0">
                <anchor moveWithCells="1">
                  <from>
                    <xdr:col>17</xdr:col>
                    <xdr:colOff>66675</xdr:colOff>
                    <xdr:row>9</xdr:row>
                    <xdr:rowOff>66675</xdr:rowOff>
                  </from>
                  <to>
                    <xdr:col>17</xdr:col>
                    <xdr:colOff>247650</xdr:colOff>
                    <xdr:row>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name="选项按钮 821" r:id="rId46">
              <controlPr defaultSize="0">
                <anchor moveWithCells="1">
                  <from>
                    <xdr:col>17</xdr:col>
                    <xdr:colOff>66675</xdr:colOff>
                    <xdr:row>10</xdr:row>
                    <xdr:rowOff>66675</xdr:rowOff>
                  </from>
                  <to>
                    <xdr:col>17</xdr:col>
                    <xdr:colOff>247650</xdr:colOff>
                    <xdr:row>10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name="分组框 827" r:id="rId47">
              <controlPr defaultSize="0">
                <anchor moveWithCells="1">
                  <from>
                    <xdr:col>17</xdr:col>
                    <xdr:colOff>0</xdr:colOff>
                    <xdr:row>5</xdr:row>
                    <xdr:rowOff>142875</xdr:rowOff>
                  </from>
                  <to>
                    <xdr:col>18</xdr:col>
                    <xdr:colOff>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name="复选框 832" r:id="rId48">
              <controlPr defaultSize="0">
                <anchor moveWithCells="1">
                  <from>
                    <xdr:col>4</xdr:col>
                    <xdr:colOff>123825</xdr:colOff>
                    <xdr:row>15</xdr:row>
                    <xdr:rowOff>57150</xdr:rowOff>
                  </from>
                  <to>
                    <xdr:col>4</xdr:col>
                    <xdr:colOff>523875</xdr:colOff>
                    <xdr:row>15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name="复选框 834" r:id="rId49">
              <controlPr defaultSize="0">
                <anchor moveWithCells="1">
                  <from>
                    <xdr:col>4</xdr:col>
                    <xdr:colOff>123825</xdr:colOff>
                    <xdr:row>16</xdr:row>
                    <xdr:rowOff>76200</xdr:rowOff>
                  </from>
                  <to>
                    <xdr:col>4</xdr:col>
                    <xdr:colOff>523875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name="复选框 836" r:id="rId50">
              <controlPr defaultSize="0">
                <anchor moveWithCells="1">
                  <from>
                    <xdr:col>4</xdr:col>
                    <xdr:colOff>123825</xdr:colOff>
                    <xdr:row>17</xdr:row>
                    <xdr:rowOff>57150</xdr:rowOff>
                  </from>
                  <to>
                    <xdr:col>4</xdr:col>
                    <xdr:colOff>523875</xdr:colOff>
                    <xdr:row>17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name="复选框 841" r:id="rId51">
              <controlPr defaultSize="0">
                <anchor moveWithCells="1">
                  <from>
                    <xdr:col>4</xdr:col>
                    <xdr:colOff>123825</xdr:colOff>
                    <xdr:row>18</xdr:row>
                    <xdr:rowOff>57150</xdr:rowOff>
                  </from>
                  <to>
                    <xdr:col>4</xdr:col>
                    <xdr:colOff>523875</xdr:colOff>
                    <xdr:row>18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name="复选框 850" r:id="rId52">
              <controlPr defaultSize="0">
                <anchor moveWithCells="1">
                  <from>
                    <xdr:col>4</xdr:col>
                    <xdr:colOff>123825</xdr:colOff>
                    <xdr:row>14</xdr:row>
                    <xdr:rowOff>57150</xdr:rowOff>
                  </from>
                  <to>
                    <xdr:col>4</xdr:col>
                    <xdr:colOff>523875</xdr:colOff>
                    <xdr:row>14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name="复选框 852" r:id="rId53">
              <controlPr defaultSize="0">
                <anchor moveWithCells="1">
                  <from>
                    <xdr:col>9</xdr:col>
                    <xdr:colOff>180975</xdr:colOff>
                    <xdr:row>14</xdr:row>
                    <xdr:rowOff>66675</xdr:rowOff>
                  </from>
                  <to>
                    <xdr:col>9</xdr:col>
                    <xdr:colOff>361950</xdr:colOff>
                    <xdr:row>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name="复选框 854" r:id="rId54">
              <controlPr defaultSize="0">
                <anchor moveWithCells="1">
                  <from>
                    <xdr:col>9</xdr:col>
                    <xdr:colOff>180975</xdr:colOff>
                    <xdr:row>15</xdr:row>
                    <xdr:rowOff>57150</xdr:rowOff>
                  </from>
                  <to>
                    <xdr:col>9</xdr:col>
                    <xdr:colOff>361950</xdr:colOff>
                    <xdr:row>15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name="Check Box 55" r:id="rId55">
              <controlPr defaultSize="0">
                <anchor moveWithCells="1">
                  <from>
                    <xdr:col>9</xdr:col>
                    <xdr:colOff>180975</xdr:colOff>
                    <xdr:row>13</xdr:row>
                    <xdr:rowOff>66675</xdr:rowOff>
                  </from>
                  <to>
                    <xdr:col>9</xdr:col>
                    <xdr:colOff>352425</xdr:colOff>
                    <xdr:row>13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name="Check Box 56" r:id="rId56">
              <controlPr defaultSize="0">
                <anchor moveWithCells="1">
                  <from>
                    <xdr:col>15</xdr:col>
                    <xdr:colOff>133350</xdr:colOff>
                    <xdr:row>15</xdr:row>
                    <xdr:rowOff>76200</xdr:rowOff>
                  </from>
                  <to>
                    <xdr:col>15</xdr:col>
                    <xdr:colOff>314325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name="Check Box 57" r:id="rId57">
              <controlPr defaultSize="0">
                <anchor moveWithCells="1">
                  <from>
                    <xdr:col>15</xdr:col>
                    <xdr:colOff>133350</xdr:colOff>
                    <xdr:row>16</xdr:row>
                    <xdr:rowOff>76200</xdr:rowOff>
                  </from>
                  <to>
                    <xdr:col>15</xdr:col>
                    <xdr:colOff>314325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name="Check Box 58" r:id="rId58">
              <controlPr defaultSize="0">
                <anchor moveWithCells="1">
                  <from>
                    <xdr:col>15</xdr:col>
                    <xdr:colOff>133350</xdr:colOff>
                    <xdr:row>17</xdr:row>
                    <xdr:rowOff>57150</xdr:rowOff>
                  </from>
                  <to>
                    <xdr:col>15</xdr:col>
                    <xdr:colOff>314325</xdr:colOff>
                    <xdr:row>17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name="Check Box 59" r:id="rId59">
              <controlPr defaultSize="0">
                <anchor moveWithCells="1">
                  <from>
                    <xdr:col>15</xdr:col>
                    <xdr:colOff>133350</xdr:colOff>
                    <xdr:row>18</xdr:row>
                    <xdr:rowOff>66675</xdr:rowOff>
                  </from>
                  <to>
                    <xdr:col>15</xdr:col>
                    <xdr:colOff>314325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name="Check Box 60" r:id="rId60">
              <controlPr defaultSize="0">
                <anchor moveWithCells="1">
                  <from>
                    <xdr:col>15</xdr:col>
                    <xdr:colOff>133350</xdr:colOff>
                    <xdr:row>14</xdr:row>
                    <xdr:rowOff>57150</xdr:rowOff>
                  </from>
                  <to>
                    <xdr:col>15</xdr:col>
                    <xdr:colOff>314325</xdr:colOff>
                    <xdr:row>14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name="Option Button 68" r:id="rId61">
              <controlPr defaultSize="0">
                <anchor moveWithCells="1">
                  <from>
                    <xdr:col>5</xdr:col>
                    <xdr:colOff>123825</xdr:colOff>
                    <xdr:row>27</xdr:row>
                    <xdr:rowOff>9525</xdr:rowOff>
                  </from>
                  <to>
                    <xdr:col>6</xdr:col>
                    <xdr:colOff>161925</xdr:colOff>
                    <xdr:row>27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name="Option Button 69" r:id="rId62">
              <controlPr defaultSize="0">
                <anchor moveWithCells="1">
                  <from>
                    <xdr:col>5</xdr:col>
                    <xdr:colOff>123825</xdr:colOff>
                    <xdr:row>27</xdr:row>
                    <xdr:rowOff>238125</xdr:rowOff>
                  </from>
                  <to>
                    <xdr:col>6</xdr:col>
                    <xdr:colOff>161925</xdr:colOff>
                    <xdr:row>28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name="Group Box 74" r:id="rId63">
              <controlPr defaultSize="0">
                <anchor moveWithCells="1">
                  <from>
                    <xdr:col>8</xdr:col>
                    <xdr:colOff>771525</xdr:colOff>
                    <xdr:row>16</xdr:row>
                    <xdr:rowOff>85725</xdr:rowOff>
                  </from>
                  <to>
                    <xdr:col>9</xdr:col>
                    <xdr:colOff>438150</xdr:colOff>
                    <xdr:row>19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name="Option Button 76" r:id="rId64">
              <controlPr defaultSize="0">
                <anchor moveWithCells="1">
                  <from>
                    <xdr:col>9</xdr:col>
                    <xdr:colOff>95250</xdr:colOff>
                    <xdr:row>16</xdr:row>
                    <xdr:rowOff>200025</xdr:rowOff>
                  </from>
                  <to>
                    <xdr:col>9</xdr:col>
                    <xdr:colOff>400050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name="Option Button 77" r:id="rId65">
              <controlPr defaultSize="0">
                <anchor moveWithCells="1">
                  <from>
                    <xdr:col>9</xdr:col>
                    <xdr:colOff>95250</xdr:colOff>
                    <xdr:row>17</xdr:row>
                    <xdr:rowOff>200025</xdr:rowOff>
                  </from>
                  <to>
                    <xdr:col>9</xdr:col>
                    <xdr:colOff>400050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name="复选框 21" r:id="rId66">
              <controlPr defaultSize="0">
                <anchor moveWithCells="1">
                  <from>
                    <xdr:col>9</xdr:col>
                    <xdr:colOff>85725</xdr:colOff>
                    <xdr:row>28</xdr:row>
                    <xdr:rowOff>57150</xdr:rowOff>
                  </from>
                  <to>
                    <xdr:col>9</xdr:col>
                    <xdr:colOff>228600</xdr:colOff>
                    <xdr:row>28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name="Check Box 2064" r:id="rId67">
              <controlPr defaultSize="0">
                <anchor moveWithCells="1">
                  <from>
                    <xdr:col>7</xdr:col>
                    <xdr:colOff>95250</xdr:colOff>
                    <xdr:row>14</xdr:row>
                    <xdr:rowOff>0</xdr:rowOff>
                  </from>
                  <to>
                    <xdr:col>7</xdr:col>
                    <xdr:colOff>523875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name="Check Box 2071" r:id="rId68">
              <controlPr defaultSize="0">
                <anchor moveWithCells="1">
                  <from>
                    <xdr:col>7</xdr:col>
                    <xdr:colOff>95250</xdr:colOff>
                    <xdr:row>15</xdr:row>
                    <xdr:rowOff>19050</xdr:rowOff>
                  </from>
                  <to>
                    <xdr:col>7</xdr:col>
                    <xdr:colOff>523875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name="Check Box 2073" r:id="rId69">
              <controlPr defaultSize="0">
                <anchor moveWithCells="1">
                  <from>
                    <xdr:col>7</xdr:col>
                    <xdr:colOff>95250</xdr:colOff>
                    <xdr:row>16</xdr:row>
                    <xdr:rowOff>47625</xdr:rowOff>
                  </from>
                  <to>
                    <xdr:col>7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name="Check Box 2075" r:id="rId70">
              <controlPr defaultSize="0">
                <anchor moveWithCells="1">
                  <from>
                    <xdr:col>7</xdr:col>
                    <xdr:colOff>95250</xdr:colOff>
                    <xdr:row>17</xdr:row>
                    <xdr:rowOff>38100</xdr:rowOff>
                  </from>
                  <to>
                    <xdr:col>7</xdr:col>
                    <xdr:colOff>523875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name="Check Box 2077" r:id="rId71">
              <controlPr defaultSize="0">
                <anchor moveWithCells="1">
                  <from>
                    <xdr:col>18</xdr:col>
                    <xdr:colOff>95250</xdr:colOff>
                    <xdr:row>14</xdr:row>
                    <xdr:rowOff>0</xdr:rowOff>
                  </from>
                  <to>
                    <xdr:col>18</xdr:col>
                    <xdr:colOff>523875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name="Check Box 2078" r:id="rId72">
              <controlPr defaultSize="0">
                <anchor moveWithCells="1">
                  <from>
                    <xdr:col>18</xdr:col>
                    <xdr:colOff>95250</xdr:colOff>
                    <xdr:row>15</xdr:row>
                    <xdr:rowOff>19050</xdr:rowOff>
                  </from>
                  <to>
                    <xdr:col>18</xdr:col>
                    <xdr:colOff>523875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name="Check Box 2079" r:id="rId73">
              <controlPr defaultSize="0">
                <anchor moveWithCells="1">
                  <from>
                    <xdr:col>18</xdr:col>
                    <xdr:colOff>95250</xdr:colOff>
                    <xdr:row>16</xdr:row>
                    <xdr:rowOff>47625</xdr:rowOff>
                  </from>
                  <to>
                    <xdr:col>18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name="Check Box 2080" r:id="rId74">
              <controlPr defaultSize="0">
                <anchor moveWithCells="1">
                  <from>
                    <xdr:col>18</xdr:col>
                    <xdr:colOff>95250</xdr:colOff>
                    <xdr:row>14</xdr:row>
                    <xdr:rowOff>0</xdr:rowOff>
                  </from>
                  <to>
                    <xdr:col>18</xdr:col>
                    <xdr:colOff>523875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name="Check Box 2081" r:id="rId75">
              <controlPr defaultSize="0">
                <anchor moveWithCells="1">
                  <from>
                    <xdr:col>18</xdr:col>
                    <xdr:colOff>95250</xdr:colOff>
                    <xdr:row>15</xdr:row>
                    <xdr:rowOff>19050</xdr:rowOff>
                  </from>
                  <to>
                    <xdr:col>18</xdr:col>
                    <xdr:colOff>523875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name="Check Box 2082" r:id="rId76">
              <controlPr defaultSize="0">
                <anchor moveWithCells="1">
                  <from>
                    <xdr:col>18</xdr:col>
                    <xdr:colOff>95250</xdr:colOff>
                    <xdr:row>16</xdr:row>
                    <xdr:rowOff>47625</xdr:rowOff>
                  </from>
                  <to>
                    <xdr:col>18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name="Check Box 2083" r:id="rId77">
              <controlPr defaultSize="0">
                <anchor moveWithCells="1">
                  <from>
                    <xdr:col>18</xdr:col>
                    <xdr:colOff>95250</xdr:colOff>
                    <xdr:row>17</xdr:row>
                    <xdr:rowOff>38100</xdr:rowOff>
                  </from>
                  <to>
                    <xdr:col>18</xdr:col>
                    <xdr:colOff>523875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name="Option Button 2084" r:id="rId78">
              <controlPr defaultSize="0">
                <anchor moveWithCells="1">
                  <from>
                    <xdr:col>9</xdr:col>
                    <xdr:colOff>104775</xdr:colOff>
                    <xdr:row>22</xdr:row>
                    <xdr:rowOff>57150</xdr:rowOff>
                  </from>
                  <to>
                    <xdr:col>9</xdr:col>
                    <xdr:colOff>581025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name="Option Button 2086" r:id="rId79">
              <controlPr defaultSize="0">
                <anchor moveWithCells="1">
                  <from>
                    <xdr:col>9</xdr:col>
                    <xdr:colOff>104775</xdr:colOff>
                    <xdr:row>23</xdr:row>
                    <xdr:rowOff>57150</xdr:rowOff>
                  </from>
                  <to>
                    <xdr:col>9</xdr:col>
                    <xdr:colOff>695325</xdr:colOff>
                    <xdr:row>23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name="Option Button 2089" r:id="rId80">
              <controlPr defaultSize="0">
                <anchor moveWithCells="1">
                  <from>
                    <xdr:col>9</xdr:col>
                    <xdr:colOff>104775</xdr:colOff>
                    <xdr:row>24</xdr:row>
                    <xdr:rowOff>57150</xdr:rowOff>
                  </from>
                  <to>
                    <xdr:col>9</xdr:col>
                    <xdr:colOff>609600</xdr:colOff>
                    <xdr:row>24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name="Group Box 2091" r:id="rId81">
              <controlPr defaultSize="0">
                <anchor moveWithCells="1">
                  <from>
                    <xdr:col>8</xdr:col>
                    <xdr:colOff>561975</xdr:colOff>
                    <xdr:row>20</xdr:row>
                    <xdr:rowOff>104775</xdr:rowOff>
                  </from>
                  <to>
                    <xdr:col>10</xdr:col>
                    <xdr:colOff>133350</xdr:colOff>
                    <xdr:row>25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name="Option Button 2100" r:id="rId82">
              <controlPr defaultSize="0">
                <anchor moveWithCells="1">
                  <from>
                    <xdr:col>9</xdr:col>
                    <xdr:colOff>104775</xdr:colOff>
                    <xdr:row>21</xdr:row>
                    <xdr:rowOff>47625</xdr:rowOff>
                  </from>
                  <to>
                    <xdr:col>9</xdr:col>
                    <xdr:colOff>647700</xdr:colOff>
                    <xdr:row>21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"/>
  <sheetViews>
    <sheetView workbookViewId="0">
      <selection activeCell="A4" sqref="A4:D4"/>
    </sheetView>
  </sheetViews>
  <sheetFormatPr defaultColWidth="9" defaultRowHeight="14.25"/>
  <cols>
    <col min="3" max="3" width="5" customWidth="1"/>
    <col min="4" max="4" width="12.25" customWidth="1"/>
    <col min="5" max="5" width="10.25" customWidth="1"/>
    <col min="6" max="6" width="6" customWidth="1"/>
    <col min="7" max="7" width="5.875" customWidth="1"/>
    <col min="8" max="8" width="10.5" customWidth="1"/>
    <col min="9" max="9" width="3" customWidth="1"/>
    <col min="10" max="10" width="6.25" customWidth="1"/>
    <col min="14" max="14" width="12.625"/>
  </cols>
  <sheetData>
    <row r="1" spans="2:5">
      <c r="B1" s="161" t="s">
        <v>3260</v>
      </c>
      <c r="C1" s="161"/>
      <c r="D1" s="161"/>
      <c r="E1" s="161"/>
    </row>
    <row r="2" spans="2:20">
      <c r="B2" s="161"/>
      <c r="C2" s="161"/>
      <c r="D2" s="161"/>
      <c r="E2" s="161"/>
      <c r="M2" s="174"/>
      <c r="N2" s="174"/>
      <c r="O2" s="174"/>
      <c r="P2" s="174"/>
      <c r="Q2" s="174"/>
      <c r="R2" s="174"/>
      <c r="S2" s="174"/>
      <c r="T2" s="174"/>
    </row>
    <row r="3" spans="13:20">
      <c r="M3" s="174"/>
      <c r="N3" s="174"/>
      <c r="O3" s="174"/>
      <c r="P3" s="174"/>
      <c r="Q3" s="174"/>
      <c r="R3" s="174"/>
      <c r="S3" s="174"/>
      <c r="T3" s="174"/>
    </row>
    <row r="4" ht="22.5" spans="1:20">
      <c r="A4" s="162" t="s">
        <v>3261</v>
      </c>
      <c r="B4" s="162"/>
      <c r="C4" s="162"/>
      <c r="D4" s="162"/>
      <c r="E4" s="163" t="s">
        <v>20</v>
      </c>
      <c r="F4" s="164">
        <v>45</v>
      </c>
      <c r="G4" s="164"/>
      <c r="H4" s="12"/>
      <c r="M4" s="174"/>
      <c r="N4" s="175" t="e">
        <f>INT((D6-F4-10)*100/F4-E6/4-2*B6-0.01)+1</f>
        <v>#VALUE!</v>
      </c>
      <c r="O4" s="175" t="e">
        <f>INT((D6+0.99-F4-10)*100/F4-E6/4-2*B6)</f>
        <v>#VALUE!</v>
      </c>
      <c r="P4" s="174"/>
      <c r="Q4" s="174"/>
      <c r="R4" s="174"/>
      <c r="S4" s="174"/>
      <c r="T4" s="174"/>
    </row>
    <row r="5" ht="21" customHeight="1" spans="1:20">
      <c r="A5" s="165"/>
      <c r="B5" s="166" t="s">
        <v>26</v>
      </c>
      <c r="C5" s="166"/>
      <c r="D5" s="166" t="s">
        <v>30</v>
      </c>
      <c r="E5" s="167" t="s">
        <v>28</v>
      </c>
      <c r="F5" s="167" t="s">
        <v>29</v>
      </c>
      <c r="G5" s="167"/>
      <c r="H5" s="167" t="s">
        <v>27</v>
      </c>
      <c r="I5" s="176"/>
      <c r="J5" s="176"/>
      <c r="M5" s="174"/>
      <c r="N5" s="175" t="e">
        <f>INT((INT(D7/(1+IF($F$7=1,0.1,0)+IF($G$7=1,-0.1,0))-0.01)+1-5)*100/$F$4-2*B7-E7/4-0.01)+1</f>
        <v>#VALUE!</v>
      </c>
      <c r="O5" s="175" t="e">
        <f>INT((INT((D7+0.99)/(1+IF($F$7=1,0.1,0)+IF($G$7=1,-0.1,0)))+0.99-5)*100/$F$4-2*B7-E7/4)</f>
        <v>#VALUE!</v>
      </c>
      <c r="P5" s="174"/>
      <c r="Q5" s="174"/>
      <c r="R5" s="174"/>
      <c r="S5" s="174"/>
      <c r="T5" s="174"/>
    </row>
    <row r="6" ht="21" customHeight="1" spans="1:20">
      <c r="A6" s="167" t="s">
        <v>84</v>
      </c>
      <c r="B6" s="168" t="str">
        <f>IF(ISBLANK(C6),IFERROR(VLOOKUP(A4,Sheet3!$C$3:$M$784,8,FALSE)," "),C6)</f>
        <v> </v>
      </c>
      <c r="C6" s="169"/>
      <c r="D6" s="169">
        <v>158</v>
      </c>
      <c r="E6" s="169">
        <v>0</v>
      </c>
      <c r="F6" s="170" t="s">
        <v>85</v>
      </c>
      <c r="G6" s="170" t="s">
        <v>86</v>
      </c>
      <c r="H6" s="171" t="str">
        <f t="shared" ref="H6:H11" si="0">IFERROR(IF(OR(AND(N4&lt;0,O4&lt;0),AND(N4&gt;31,O4&gt;31)),"??",IF(AND(N4&lt;0,O4&lt;=31),"0-"&amp;O4,IF(AND(N4&gt;=0,O4&gt;31),N4&amp;"-31",IF(AND(N4&lt;=0,O4&gt;=31),"0-31",IF(N4=O4,N4,N4&amp;"-"&amp;O4))))),"")</f>
        <v/>
      </c>
      <c r="I6" s="177"/>
      <c r="J6" s="178"/>
      <c r="M6" s="174"/>
      <c r="N6" s="175" t="e">
        <f>INT((INT(D8/(1+IF($F$7=2,0.1,0)+IF($G$7=2,-0.1,0))-0.01)+1-5)*100/$F$4-2*B8-E8/4-0.01)+1</f>
        <v>#VALUE!</v>
      </c>
      <c r="O6" s="175" t="e">
        <f>INT((INT((D8+0.99)/(1+IF($F$7=2,0.1,0)+IF($G$7=2,-0.1,0)))+0.99-5)*100/$F$4-2*B8-E8/4)</f>
        <v>#VALUE!</v>
      </c>
      <c r="P6" s="174"/>
      <c r="Q6" s="174"/>
      <c r="R6" s="174"/>
      <c r="S6" s="174"/>
      <c r="T6" s="174"/>
    </row>
    <row r="7" ht="21" customHeight="1" spans="1:20">
      <c r="A7" s="167" t="s">
        <v>93</v>
      </c>
      <c r="B7" s="168" t="str">
        <f>IF(ISBLANK(C7),IFERROR(VLOOKUP(A4,Sheet3!$C$3:$M$784,9,FALSE)," "),C7)</f>
        <v> </v>
      </c>
      <c r="C7" s="169"/>
      <c r="D7" s="169">
        <v>168</v>
      </c>
      <c r="E7" s="169">
        <v>0</v>
      </c>
      <c r="F7" s="172">
        <v>1</v>
      </c>
      <c r="G7" s="172">
        <v>3</v>
      </c>
      <c r="H7" s="171" t="str">
        <f t="shared" si="0"/>
        <v/>
      </c>
      <c r="I7" s="179"/>
      <c r="J7" s="180"/>
      <c r="M7" s="174"/>
      <c r="N7" s="175" t="e">
        <f>INT((INT(D9/(1+IF($F$7=3,0.1,0)+IF($G$7=3,-0.1,0))-0.01)+1-5)*100/$F$4-2*B9-E9/4-0.01)+1</f>
        <v>#VALUE!</v>
      </c>
      <c r="O7" s="175" t="e">
        <f>INT((INT((D9+0.99)/(1+IF($F$7=3,0.1,0)+IF($G$7=3,-0.1,0)))+0.99-5)*100/$F$4-2*B9-E9/4)</f>
        <v>#VALUE!</v>
      </c>
      <c r="P7" s="174"/>
      <c r="Q7" s="174"/>
      <c r="R7" s="174"/>
      <c r="S7" s="174"/>
      <c r="T7" s="174"/>
    </row>
    <row r="8" ht="21" customHeight="1" spans="1:20">
      <c r="A8" s="167" t="s">
        <v>101</v>
      </c>
      <c r="B8" s="168" t="str">
        <f>IF(ISBLANK(C8),IFERROR(VLOOKUP(A4,Sheet3!$C$3:$M$784,10,FALSE)," "),C8)</f>
        <v> </v>
      </c>
      <c r="C8" s="169"/>
      <c r="D8" s="169">
        <v>144</v>
      </c>
      <c r="E8" s="169">
        <v>0</v>
      </c>
      <c r="F8" s="173"/>
      <c r="G8" s="173"/>
      <c r="H8" s="171" t="str">
        <f t="shared" si="0"/>
        <v/>
      </c>
      <c r="I8" s="179"/>
      <c r="J8" s="180"/>
      <c r="M8" s="174"/>
      <c r="N8" s="175" t="e">
        <f>INT((INT(D10/(1+IF($F$7=4,0.1,0)+IF($G$7=4,-0.1,0))-0.01)+1-5)*100/$F$4-2*B10-E10/4-0.01)+1</f>
        <v>#VALUE!</v>
      </c>
      <c r="O8" s="175" t="e">
        <f>INT((INT((D10+0.99)/(1+IF($F$7=4,0.1,0)+IF($G$7=4,-0.1,0))+0.99-5)*100/$F$4-2*B10-E10/4))</f>
        <v>#VALUE!</v>
      </c>
      <c r="P8" s="174"/>
      <c r="Q8" s="174"/>
      <c r="R8" s="174"/>
      <c r="S8" s="174"/>
      <c r="T8" s="174"/>
    </row>
    <row r="9" ht="21" customHeight="1" spans="1:20">
      <c r="A9" s="167" t="s">
        <v>106</v>
      </c>
      <c r="B9" s="168" t="str">
        <f>IF(ISBLANK(C9),IFERROR(VLOOKUP(A4,Sheet3!$C$3:$M$784,11,FALSE)," "),C9)</f>
        <v> </v>
      </c>
      <c r="C9" s="169"/>
      <c r="D9" s="169">
        <v>90</v>
      </c>
      <c r="E9" s="169">
        <v>0</v>
      </c>
      <c r="F9" s="173"/>
      <c r="G9" s="173"/>
      <c r="H9" s="171" t="str">
        <f t="shared" si="0"/>
        <v/>
      </c>
      <c r="I9" s="179"/>
      <c r="J9" s="180"/>
      <c r="M9" s="174"/>
      <c r="N9" s="175" t="e">
        <f>INT((INT(D11/(1+IF($F$7=5,0.1,0)+IF($G$7=5,-0.1,0))-0.01)+1-5)*100/$F$4-2*B11-E11/4-0.01)+1</f>
        <v>#VALUE!</v>
      </c>
      <c r="O9" s="175" t="e">
        <f>INT((INT((D11+0.99)/(1+IF($F$7=5,0.1,0)+IF($G$7=5,-0.1,0)))+0.99-5)*100/$F$4-2*B11-E11/4)</f>
        <v>#VALUE!</v>
      </c>
      <c r="P9" s="174"/>
      <c r="Q9" s="174"/>
      <c r="R9" s="174"/>
      <c r="S9" s="174"/>
      <c r="T9" s="174"/>
    </row>
    <row r="10" ht="21" customHeight="1" spans="1:20">
      <c r="A10" s="167" t="s">
        <v>111</v>
      </c>
      <c r="B10" s="168" t="str">
        <f>IF(ISBLANK(C10),IFERROR(VLOOKUP(A4,Sheet3!$C$3:$M$784,12,FALSE)," "),C10)</f>
        <v> </v>
      </c>
      <c r="C10" s="169"/>
      <c r="D10" s="169">
        <v>96</v>
      </c>
      <c r="E10" s="169">
        <v>0</v>
      </c>
      <c r="F10" s="173">
        <v>4</v>
      </c>
      <c r="G10" s="173">
        <v>3</v>
      </c>
      <c r="H10" s="171" t="str">
        <f t="shared" si="0"/>
        <v/>
      </c>
      <c r="I10" s="179"/>
      <c r="J10" s="180"/>
      <c r="M10" s="174"/>
      <c r="N10" s="174"/>
      <c r="O10" s="174"/>
      <c r="P10" s="174"/>
      <c r="Q10" s="174"/>
      <c r="R10" s="174"/>
      <c r="S10" s="174"/>
      <c r="T10" s="174"/>
    </row>
    <row r="11" ht="21" customHeight="1" spans="1:20">
      <c r="A11" s="167" t="s">
        <v>116</v>
      </c>
      <c r="B11" s="168" t="str">
        <f>IF(ISBLANK(C11),IFERROR(VLOOKUP(A4,Sheet3!$C$3:$M$784,13,FALSE)," "),C11)</f>
        <v> </v>
      </c>
      <c r="C11" s="169"/>
      <c r="D11" s="169">
        <v>97</v>
      </c>
      <c r="E11" s="169">
        <v>0</v>
      </c>
      <c r="F11" s="173"/>
      <c r="G11" s="173"/>
      <c r="H11" s="171" t="str">
        <f t="shared" si="0"/>
        <v/>
      </c>
      <c r="I11" s="179"/>
      <c r="J11" s="180"/>
      <c r="M11" s="174"/>
      <c r="N11" s="174"/>
      <c r="O11" s="174"/>
      <c r="P11" s="174"/>
      <c r="Q11" s="174"/>
      <c r="R11" s="174"/>
      <c r="S11" s="174"/>
      <c r="T11" s="174"/>
    </row>
    <row r="12" spans="13:20">
      <c r="M12" s="174"/>
      <c r="N12" s="174"/>
      <c r="O12" s="174"/>
      <c r="P12" s="174"/>
      <c r="Q12" s="174"/>
      <c r="R12" s="174"/>
      <c r="S12" s="174"/>
      <c r="T12" s="174"/>
    </row>
    <row r="13" spans="13:20">
      <c r="M13" s="174"/>
      <c r="N13" s="174"/>
      <c r="O13" s="174"/>
      <c r="P13" s="174"/>
      <c r="Q13" s="174"/>
      <c r="R13" s="174"/>
      <c r="S13" s="174"/>
      <c r="T13" s="174"/>
    </row>
    <row r="14" spans="13:20">
      <c r="M14" s="174"/>
      <c r="N14" s="174"/>
      <c r="O14" s="174"/>
      <c r="P14" s="174"/>
      <c r="Q14" s="174"/>
      <c r="R14" s="174"/>
      <c r="S14" s="174"/>
      <c r="T14" s="174"/>
    </row>
    <row r="15" spans="13:20">
      <c r="M15" s="174"/>
      <c r="N15" s="174"/>
      <c r="O15" s="174"/>
      <c r="P15" s="174"/>
      <c r="Q15" s="174"/>
      <c r="R15" s="174"/>
      <c r="S15" s="174"/>
      <c r="T15" s="174"/>
    </row>
  </sheetData>
  <mergeCells count="5">
    <mergeCell ref="A4:D4"/>
    <mergeCell ref="F4:G4"/>
    <mergeCell ref="B5:C5"/>
    <mergeCell ref="F5:G5"/>
    <mergeCell ref="B1:E2"/>
  </mergeCells>
  <dataValidations count="2">
    <dataValidation type="list" allowBlank="1" showInputMessage="1" showErrorMessage="1" sqref="A4:D4">
      <formula1>Sheet3!#REF!</formula1>
    </dataValidation>
    <dataValidation type="whole" operator="between" allowBlank="1" showInputMessage="1" showErrorMessage="1" errorTitle="努力值范围0-252" error="努力值范围为0-252" sqref="E6:E11" errorStyle="information">
      <formula1>0</formula1>
      <formula2>252</formula2>
    </dataValidation>
  </dataValidations>
  <pageMargins left="0.75" right="0.75" top="1" bottom="1" header="0.511805555555556" footer="0.511805555555556"/>
  <pageSetup paperSize="9" orientation="portrait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15" name="微调框 837" r:id="rId3">
              <controlPr defaultSize="0">
                <anchor moveWithCells="1" sizeWithCells="1">
                  <from>
                    <xdr:col>4</xdr:col>
                    <xdr:colOff>628650</xdr:colOff>
                    <xdr:row>5</xdr:row>
                    <xdr:rowOff>0</xdr:rowOff>
                  </from>
                  <to>
                    <xdr:col>4</xdr:col>
                    <xdr:colOff>752475</xdr:colOff>
                    <xdr:row>5</xdr:row>
                    <xdr:rowOff>245745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name="微调框 840" r:id="rId4">
              <controlPr defaultSize="0">
                <anchor moveWithCells="1" sizeWithCells="1">
                  <from>
                    <xdr:col>4</xdr:col>
                    <xdr:colOff>628650</xdr:colOff>
                    <xdr:row>6</xdr:row>
                    <xdr:rowOff>12700</xdr:rowOff>
                  </from>
                  <to>
                    <xdr:col>4</xdr:col>
                    <xdr:colOff>752475</xdr:colOff>
                    <xdr:row>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name="微调框 846" r:id="rId5">
              <controlPr defaultSize="0">
                <anchor moveWithCells="1" sizeWithCells="1">
                  <from>
                    <xdr:col>4</xdr:col>
                    <xdr:colOff>628650</xdr:colOff>
                    <xdr:row>7</xdr:row>
                    <xdr:rowOff>26035</xdr:rowOff>
                  </from>
                  <to>
                    <xdr:col>4</xdr:col>
                    <xdr:colOff>752475</xdr:colOff>
                    <xdr:row>8</xdr:row>
                    <xdr:rowOff>3810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name="微调框 847" r:id="rId6">
              <controlPr defaultSize="0">
                <anchor moveWithCells="1" sizeWithCells="1">
                  <from>
                    <xdr:col>4</xdr:col>
                    <xdr:colOff>628650</xdr:colOff>
                    <xdr:row>8</xdr:row>
                    <xdr:rowOff>27305</xdr:rowOff>
                  </from>
                  <to>
                    <xdr:col>4</xdr:col>
                    <xdr:colOff>752475</xdr:colOff>
                    <xdr:row>9</xdr:row>
                    <xdr:rowOff>5080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name="微调框 848" r:id="rId7">
              <controlPr defaultSize="0">
                <anchor moveWithCells="1" sizeWithCells="1">
                  <from>
                    <xdr:col>4</xdr:col>
                    <xdr:colOff>628650</xdr:colOff>
                    <xdr:row>9</xdr:row>
                    <xdr:rowOff>30480</xdr:rowOff>
                  </from>
                  <to>
                    <xdr:col>4</xdr:col>
                    <xdr:colOff>752475</xdr:colOff>
                    <xdr:row>10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name="微调框 849" r:id="rId8">
              <controlPr defaultSize="0">
                <anchor moveWithCells="1" sizeWithCells="1">
                  <from>
                    <xdr:col>4</xdr:col>
                    <xdr:colOff>628650</xdr:colOff>
                    <xdr:row>10</xdr:row>
                    <xdr:rowOff>22225</xdr:rowOff>
                  </from>
                  <to>
                    <xdr:col>4</xdr:col>
                    <xdr:colOff>752475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name="选项按钮 901" r:id="rId9">
              <controlPr defaultSize="0">
                <anchor moveWithCells="1">
                  <from>
                    <xdr:col>5</xdr:col>
                    <xdr:colOff>104775</xdr:colOff>
                    <xdr:row>6</xdr:row>
                    <xdr:rowOff>66675</xdr:rowOff>
                  </from>
                  <to>
                    <xdr:col>5</xdr:col>
                    <xdr:colOff>285750</xdr:colOff>
                    <xdr:row>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name="选项按钮 902" r:id="rId10">
              <controlPr defaultSize="0">
                <anchor moveWithCells="1">
                  <from>
                    <xdr:col>5</xdr:col>
                    <xdr:colOff>104775</xdr:colOff>
                    <xdr:row>7</xdr:row>
                    <xdr:rowOff>76200</xdr:rowOff>
                  </from>
                  <to>
                    <xdr:col>5</xdr:col>
                    <xdr:colOff>285750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name="选项按钮 903" r:id="rId11">
              <controlPr defaultSize="0">
                <anchor moveWithCells="1">
                  <from>
                    <xdr:col>5</xdr:col>
                    <xdr:colOff>104775</xdr:colOff>
                    <xdr:row>8</xdr:row>
                    <xdr:rowOff>85725</xdr:rowOff>
                  </from>
                  <to>
                    <xdr:col>5</xdr:col>
                    <xdr:colOff>285750</xdr:colOff>
                    <xdr:row>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name="选项按钮 904" r:id="rId12">
              <controlPr defaultSize="0">
                <anchor moveWithCells="1">
                  <from>
                    <xdr:col>5</xdr:col>
                    <xdr:colOff>104775</xdr:colOff>
                    <xdr:row>9</xdr:row>
                    <xdr:rowOff>76200</xdr:rowOff>
                  </from>
                  <to>
                    <xdr:col>5</xdr:col>
                    <xdr:colOff>285750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name="选项按钮 905" r:id="rId13">
              <controlPr defaultSize="0">
                <anchor moveWithCells="1">
                  <from>
                    <xdr:col>5</xdr:col>
                    <xdr:colOff>104775</xdr:colOff>
                    <xdr:row>10</xdr:row>
                    <xdr:rowOff>76200</xdr:rowOff>
                  </from>
                  <to>
                    <xdr:col>5</xdr:col>
                    <xdr:colOff>285750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name="选项按钮 932" r:id="rId14">
              <controlPr defaultSize="0">
                <anchor moveWithCells="1">
                  <from>
                    <xdr:col>6</xdr:col>
                    <xdr:colOff>85725</xdr:colOff>
                    <xdr:row>6</xdr:row>
                    <xdr:rowOff>57150</xdr:rowOff>
                  </from>
                  <to>
                    <xdr:col>6</xdr:col>
                    <xdr:colOff>266700</xdr:colOff>
                    <xdr:row>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name="选项按钮 933" r:id="rId15">
              <controlPr defaultSize="0">
                <anchor moveWithCells="1">
                  <from>
                    <xdr:col>6</xdr:col>
                    <xdr:colOff>85725</xdr:colOff>
                    <xdr:row>7</xdr:row>
                    <xdr:rowOff>66675</xdr:rowOff>
                  </from>
                  <to>
                    <xdr:col>6</xdr:col>
                    <xdr:colOff>266700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name="选项按钮 934" r:id="rId16">
              <controlPr defaultSize="0">
                <anchor moveWithCells="1">
                  <from>
                    <xdr:col>6</xdr:col>
                    <xdr:colOff>85725</xdr:colOff>
                    <xdr:row>8</xdr:row>
                    <xdr:rowOff>76200</xdr:rowOff>
                  </from>
                  <to>
                    <xdr:col>6</xdr:col>
                    <xdr:colOff>266700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name="选项按钮 935" r:id="rId17">
              <controlPr defaultSize="0">
                <anchor moveWithCells="1">
                  <from>
                    <xdr:col>6</xdr:col>
                    <xdr:colOff>85725</xdr:colOff>
                    <xdr:row>9</xdr:row>
                    <xdr:rowOff>66675</xdr:rowOff>
                  </from>
                  <to>
                    <xdr:col>6</xdr:col>
                    <xdr:colOff>266700</xdr:colOff>
                    <xdr:row>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name="选项按钮 936" r:id="rId18">
              <controlPr defaultSize="0">
                <anchor moveWithCells="1">
                  <from>
                    <xdr:col>6</xdr:col>
                    <xdr:colOff>85725</xdr:colOff>
                    <xdr:row>10</xdr:row>
                    <xdr:rowOff>85725</xdr:rowOff>
                  </from>
                  <to>
                    <xdr:col>6</xdr:col>
                    <xdr:colOff>266700</xdr:colOff>
                    <xdr:row>10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name="分组框 942" r:id="rId19">
              <controlPr defaultSize="0">
                <anchor moveWithCells="1">
                  <from>
                    <xdr:col>5</xdr:col>
                    <xdr:colOff>333375</xdr:colOff>
                    <xdr:row>5</xdr:row>
                    <xdr:rowOff>152400</xdr:rowOff>
                  </from>
                  <to>
                    <xdr:col>6</xdr:col>
                    <xdr:colOff>228600</xdr:colOff>
                    <xdr:row>10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name="Group Box 26" r:id="rId20">
              <controlPr defaultSize="0">
                <anchor moveWithCells="1">
                  <from>
                    <xdr:col>5</xdr:col>
                    <xdr:colOff>9525</xdr:colOff>
                    <xdr:row>5</xdr:row>
                    <xdr:rowOff>171450</xdr:rowOff>
                  </from>
                  <to>
                    <xdr:col>5</xdr:col>
                    <xdr:colOff>438150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" name="Group Box 27" r:id="rId21">
              <controlPr defaultSize="0">
                <anchor moveWithCells="1">
                  <from>
                    <xdr:col>6</xdr:col>
                    <xdr:colOff>9525</xdr:colOff>
                    <xdr:row>5</xdr:row>
                    <xdr:rowOff>171450</xdr:rowOff>
                  </from>
                  <to>
                    <xdr:col>6</xdr:col>
                    <xdr:colOff>438150</xdr:colOff>
                    <xdr:row>10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613"/>
  <sheetViews>
    <sheetView tabSelected="1" zoomScale="85" zoomScaleNormal="85" topLeftCell="E1" workbookViewId="0">
      <pane ySplit="2" topLeftCell="A66" activePane="bottomLeft" state="frozen"/>
      <selection/>
      <selection pane="bottomLeft" activeCell="V80" sqref="V80"/>
    </sheetView>
  </sheetViews>
  <sheetFormatPr defaultColWidth="9" defaultRowHeight="15" customHeight="1"/>
  <cols>
    <col min="1" max="1" width="9" style="131"/>
    <col min="2" max="2" width="12.875" style="131" customWidth="1"/>
    <col min="3" max="3" width="15.25" style="131" customWidth="1"/>
    <col min="4" max="4" width="14.375" style="131" customWidth="1"/>
    <col min="5" max="14" width="9" style="131"/>
    <col min="15" max="15" width="9" style="132"/>
    <col min="16" max="17" width="9" style="133"/>
    <col min="18" max="19" width="9" style="134"/>
    <col min="20" max="20" width="14" style="131" customWidth="1"/>
    <col min="21" max="21" width="9" style="131"/>
    <col min="22" max="22" width="10.625" style="131" customWidth="1"/>
    <col min="23" max="16384" width="9" style="131"/>
  </cols>
  <sheetData>
    <row r="1" customHeight="1" spans="1:23">
      <c r="A1" s="131" t="s">
        <v>3262</v>
      </c>
      <c r="B1" s="131" t="s">
        <v>3263</v>
      </c>
      <c r="C1" s="131" t="s">
        <v>3264</v>
      </c>
      <c r="D1" s="131" t="s">
        <v>3265</v>
      </c>
      <c r="E1" s="131" t="s">
        <v>3266</v>
      </c>
      <c r="F1" s="131" t="s">
        <v>3267</v>
      </c>
      <c r="G1" s="131" t="s">
        <v>3268</v>
      </c>
      <c r="H1" s="131" t="s">
        <v>3269</v>
      </c>
      <c r="I1" s="131" t="s">
        <v>3270</v>
      </c>
      <c r="J1" s="131" t="s">
        <v>3271</v>
      </c>
      <c r="K1" s="131" t="s">
        <v>3272</v>
      </c>
      <c r="L1" s="131" t="s">
        <v>3273</v>
      </c>
      <c r="M1" s="131" t="s">
        <v>3274</v>
      </c>
      <c r="N1" s="131" t="s">
        <v>3275</v>
      </c>
      <c r="O1" s="132" t="s">
        <v>3276</v>
      </c>
      <c r="P1" s="133" t="s">
        <v>3277</v>
      </c>
      <c r="Q1" s="133" t="s">
        <v>3278</v>
      </c>
      <c r="R1" s="146" t="s">
        <v>3279</v>
      </c>
      <c r="S1" s="146" t="s">
        <v>3280</v>
      </c>
      <c r="T1" s="146" t="s">
        <v>3281</v>
      </c>
      <c r="U1" s="146" t="s">
        <v>3282</v>
      </c>
      <c r="V1" s="146" t="s">
        <v>3283</v>
      </c>
      <c r="W1" s="131" t="s">
        <v>3284</v>
      </c>
    </row>
    <row r="2" ht="21.75" customHeight="1" spans="1:23">
      <c r="A2" s="131" t="s">
        <v>3285</v>
      </c>
      <c r="B2" s="131" t="s">
        <v>3286</v>
      </c>
      <c r="E2" s="131" t="s">
        <v>128</v>
      </c>
      <c r="F2" s="131" t="s">
        <v>134</v>
      </c>
      <c r="G2" s="131" t="s">
        <v>141</v>
      </c>
      <c r="H2" s="131" t="s">
        <v>84</v>
      </c>
      <c r="I2" s="131" t="s">
        <v>93</v>
      </c>
      <c r="J2" s="131" t="s">
        <v>101</v>
      </c>
      <c r="K2" s="131" t="s">
        <v>106</v>
      </c>
      <c r="L2" s="131" t="s">
        <v>111</v>
      </c>
      <c r="M2" s="131" t="s">
        <v>116</v>
      </c>
      <c r="N2" s="131" t="s">
        <v>121</v>
      </c>
      <c r="O2" s="132" t="s">
        <v>148</v>
      </c>
      <c r="P2" s="133" t="s">
        <v>156</v>
      </c>
      <c r="Q2" s="133" t="s">
        <v>201</v>
      </c>
      <c r="R2" s="133" t="s">
        <v>3287</v>
      </c>
      <c r="S2" s="133" t="s">
        <v>3288</v>
      </c>
      <c r="T2" s="133" t="s">
        <v>3289</v>
      </c>
      <c r="U2" s="133" t="s">
        <v>3290</v>
      </c>
      <c r="V2" s="133" t="s">
        <v>3291</v>
      </c>
      <c r="W2" s="133" t="s">
        <v>3292</v>
      </c>
    </row>
    <row r="3" ht="31.35" customHeight="1" spans="1:23">
      <c r="A3" s="135" t="s">
        <v>3293</v>
      </c>
      <c r="B3" s="131" t="s">
        <v>3294</v>
      </c>
      <c r="C3" s="136" t="str">
        <f>VLOOKUP(A3,伤害计算器!$V$2:$Y$720,3,FALSE)</f>
        <v>フシギダネ</v>
      </c>
      <c r="D3" s="136" t="str">
        <f>VLOOKUP(A3,伤害计算器!$V$2:$Y$720,4,FALSE)</f>
        <v>Bulbasaur</v>
      </c>
      <c r="E3" s="131" t="s">
        <v>53</v>
      </c>
      <c r="F3" s="137" t="s">
        <v>3295</v>
      </c>
      <c r="G3" s="131" t="s">
        <v>3296</v>
      </c>
      <c r="H3" s="138">
        <v>45</v>
      </c>
      <c r="I3" s="139">
        <v>49</v>
      </c>
      <c r="J3" s="140">
        <v>49</v>
      </c>
      <c r="K3" s="141">
        <v>65</v>
      </c>
      <c r="L3" s="142">
        <v>65</v>
      </c>
      <c r="M3" s="143">
        <v>45</v>
      </c>
      <c r="N3" s="144">
        <v>318</v>
      </c>
      <c r="O3" s="145" t="s">
        <v>235</v>
      </c>
      <c r="P3" s="133" t="s">
        <v>270</v>
      </c>
      <c r="Q3" s="147">
        <v>6.9</v>
      </c>
      <c r="R3" s="133">
        <v>87.5</v>
      </c>
      <c r="S3" s="148">
        <v>45</v>
      </c>
      <c r="T3" s="133" t="s">
        <v>3297</v>
      </c>
      <c r="U3" s="133" t="s">
        <v>3298</v>
      </c>
      <c r="V3" s="133">
        <v>5120</v>
      </c>
      <c r="W3" s="133">
        <v>64</v>
      </c>
    </row>
    <row r="4" ht="26.85" customHeight="1" spans="1:23">
      <c r="A4" s="135" t="s">
        <v>3299</v>
      </c>
      <c r="B4" s="131" t="s">
        <v>3300</v>
      </c>
      <c r="C4" s="136" t="str">
        <f>VLOOKUP(A4,伤害计算器!$V$2:$Y$720,3,FALSE)</f>
        <v>フシギソウ</v>
      </c>
      <c r="D4" s="136" t="str">
        <f>VLOOKUP(A4,伤害计算器!$V$2:$Y$720,4,FALSE)</f>
        <v>Ivysaur</v>
      </c>
      <c r="E4" s="131" t="s">
        <v>53</v>
      </c>
      <c r="F4" s="137" t="s">
        <v>3295</v>
      </c>
      <c r="G4" s="131" t="s">
        <v>3296</v>
      </c>
      <c r="H4" s="138">
        <v>60</v>
      </c>
      <c r="I4" s="139">
        <v>62</v>
      </c>
      <c r="J4" s="140">
        <v>63</v>
      </c>
      <c r="K4" s="141">
        <v>80</v>
      </c>
      <c r="L4" s="142">
        <v>80</v>
      </c>
      <c r="M4" s="143">
        <v>60</v>
      </c>
      <c r="N4" s="144">
        <v>405</v>
      </c>
      <c r="O4" s="145" t="s">
        <v>235</v>
      </c>
      <c r="P4" s="133" t="s">
        <v>270</v>
      </c>
      <c r="Q4" s="147">
        <v>13</v>
      </c>
      <c r="R4" s="133">
        <v>87.5</v>
      </c>
      <c r="S4" s="148">
        <v>45</v>
      </c>
      <c r="T4" s="133" t="s">
        <v>3297</v>
      </c>
      <c r="U4" s="133" t="s">
        <v>3298</v>
      </c>
      <c r="V4" s="133">
        <v>5120</v>
      </c>
      <c r="W4" s="133">
        <v>142</v>
      </c>
    </row>
    <row r="5" ht="28.35" customHeight="1" spans="1:23">
      <c r="A5" s="135" t="s">
        <v>3301</v>
      </c>
      <c r="B5" s="131" t="s">
        <v>3302</v>
      </c>
      <c r="C5" s="136" t="str">
        <f>VLOOKUP(A5,伤害计算器!$V$2:$Y$720,3,FALSE)</f>
        <v>フシギバナ</v>
      </c>
      <c r="D5" s="136" t="str">
        <f>VLOOKUP(A5,伤害计算器!$V$2:$Y$720,4,FALSE)</f>
        <v>Venusaur</v>
      </c>
      <c r="E5" s="131" t="s">
        <v>53</v>
      </c>
      <c r="F5" s="137" t="s">
        <v>3295</v>
      </c>
      <c r="G5" s="131" t="s">
        <v>3296</v>
      </c>
      <c r="H5" s="138">
        <v>80</v>
      </c>
      <c r="I5" s="139">
        <v>82</v>
      </c>
      <c r="J5" s="140">
        <v>83</v>
      </c>
      <c r="K5" s="141">
        <v>100</v>
      </c>
      <c r="L5" s="142">
        <v>100</v>
      </c>
      <c r="M5" s="143">
        <v>80</v>
      </c>
      <c r="N5" s="144">
        <v>525</v>
      </c>
      <c r="O5" s="145" t="s">
        <v>235</v>
      </c>
      <c r="P5" s="133" t="s">
        <v>270</v>
      </c>
      <c r="Q5" s="147">
        <v>100</v>
      </c>
      <c r="R5" s="133">
        <v>87.5</v>
      </c>
      <c r="S5" s="148">
        <v>45</v>
      </c>
      <c r="T5" s="133" t="s">
        <v>3297</v>
      </c>
      <c r="U5" s="133" t="s">
        <v>3298</v>
      </c>
      <c r="V5" s="133">
        <v>5120</v>
      </c>
      <c r="W5" s="133">
        <v>236</v>
      </c>
    </row>
    <row r="6" ht="31.35" customHeight="1" spans="1:23">
      <c r="A6" s="135" t="s">
        <v>3303</v>
      </c>
      <c r="B6" s="131" t="s">
        <v>3304</v>
      </c>
      <c r="C6" s="136" t="str">
        <f>VLOOKUP(A6,伤害计算器!$V$2:$Y$720,3,FALSE)</f>
        <v>ヒトカゲ</v>
      </c>
      <c r="D6" s="136" t="str">
        <f>VLOOKUP(A6,伤害计算器!$V$2:$Y$720,4,FALSE)</f>
        <v>Charmander</v>
      </c>
      <c r="E6" s="131" t="s">
        <v>54</v>
      </c>
      <c r="F6" s="137" t="s">
        <v>3295</v>
      </c>
      <c r="G6" s="131" t="s">
        <v>60</v>
      </c>
      <c r="H6" s="138">
        <v>39</v>
      </c>
      <c r="I6" s="139">
        <v>52</v>
      </c>
      <c r="J6" s="140">
        <v>43</v>
      </c>
      <c r="K6" s="141">
        <v>60</v>
      </c>
      <c r="L6" s="142">
        <v>50</v>
      </c>
      <c r="M6" s="143">
        <v>65</v>
      </c>
      <c r="N6" s="144">
        <v>309</v>
      </c>
      <c r="O6" s="145" t="s">
        <v>250</v>
      </c>
      <c r="P6" s="133" t="s">
        <v>3295</v>
      </c>
      <c r="Q6" s="147">
        <v>8.5</v>
      </c>
      <c r="R6" s="133">
        <v>87.5</v>
      </c>
      <c r="S6" s="148">
        <v>45</v>
      </c>
      <c r="T6" s="133" t="s">
        <v>3297</v>
      </c>
      <c r="U6" s="133" t="s">
        <v>274</v>
      </c>
      <c r="V6" s="133">
        <v>5120</v>
      </c>
      <c r="W6" s="133">
        <v>62</v>
      </c>
    </row>
    <row r="7" ht="31.35" customHeight="1" spans="1:23">
      <c r="A7" s="135" t="s">
        <v>3305</v>
      </c>
      <c r="B7" s="131" t="s">
        <v>3306</v>
      </c>
      <c r="C7" s="136" t="str">
        <f>VLOOKUP(A7,伤害计算器!$V$2:$Y$720,3,FALSE)</f>
        <v>リザード</v>
      </c>
      <c r="D7" s="136" t="str">
        <f>VLOOKUP(A7,伤害计算器!$V$2:$Y$720,4,FALSE)</f>
        <v>Charmeleon</v>
      </c>
      <c r="E7" s="131" t="s">
        <v>54</v>
      </c>
      <c r="F7" s="137" t="s">
        <v>3295</v>
      </c>
      <c r="G7" s="131" t="s">
        <v>60</v>
      </c>
      <c r="H7" s="138">
        <v>58</v>
      </c>
      <c r="I7" s="139">
        <v>64</v>
      </c>
      <c r="J7" s="140">
        <v>58</v>
      </c>
      <c r="K7" s="141">
        <v>80</v>
      </c>
      <c r="L7" s="142">
        <v>65</v>
      </c>
      <c r="M7" s="143">
        <v>80</v>
      </c>
      <c r="N7" s="144">
        <v>405</v>
      </c>
      <c r="O7" s="145" t="s">
        <v>250</v>
      </c>
      <c r="P7" s="133" t="s">
        <v>3295</v>
      </c>
      <c r="Q7" s="147">
        <v>19</v>
      </c>
      <c r="R7" s="133">
        <v>87.5</v>
      </c>
      <c r="S7" s="148">
        <v>45</v>
      </c>
      <c r="T7" s="133" t="s">
        <v>3297</v>
      </c>
      <c r="U7" s="133" t="s">
        <v>274</v>
      </c>
      <c r="V7" s="133">
        <v>5120</v>
      </c>
      <c r="W7" s="133">
        <v>142</v>
      </c>
    </row>
    <row r="8" ht="26.85" customHeight="1" spans="1:23">
      <c r="A8" s="135" t="s">
        <v>3307</v>
      </c>
      <c r="B8" s="131" t="s">
        <v>3308</v>
      </c>
      <c r="C8" s="136" t="str">
        <f>VLOOKUP(A8,伤害计算器!$V$2:$Y$720,3,FALSE)</f>
        <v>リザードン</v>
      </c>
      <c r="D8" s="136" t="str">
        <f>VLOOKUP(A8,伤害计算器!$V$2:$Y$720,4,FALSE)</f>
        <v>Charizard</v>
      </c>
      <c r="E8" s="131" t="s">
        <v>54</v>
      </c>
      <c r="F8" s="137" t="s">
        <v>3295</v>
      </c>
      <c r="G8" s="131" t="s">
        <v>60</v>
      </c>
      <c r="H8" s="138">
        <v>78</v>
      </c>
      <c r="I8" s="139">
        <v>84</v>
      </c>
      <c r="J8" s="140">
        <v>78</v>
      </c>
      <c r="K8" s="141">
        <v>109</v>
      </c>
      <c r="L8" s="142">
        <v>85</v>
      </c>
      <c r="M8" s="143">
        <v>100</v>
      </c>
      <c r="N8" s="144">
        <v>534</v>
      </c>
      <c r="O8" s="145" t="s">
        <v>250</v>
      </c>
      <c r="P8" s="133" t="s">
        <v>99</v>
      </c>
      <c r="Q8" s="147">
        <v>90.5</v>
      </c>
      <c r="R8" s="133">
        <v>87.5</v>
      </c>
      <c r="S8" s="148">
        <v>45</v>
      </c>
      <c r="T8" s="133" t="s">
        <v>3297</v>
      </c>
      <c r="U8" s="133" t="s">
        <v>274</v>
      </c>
      <c r="V8" s="133">
        <v>5120</v>
      </c>
      <c r="W8" s="133">
        <v>240</v>
      </c>
    </row>
    <row r="9" ht="27.6" customHeight="1" spans="1:23">
      <c r="A9" s="135" t="s">
        <v>3309</v>
      </c>
      <c r="B9" s="131" t="s">
        <v>3310</v>
      </c>
      <c r="C9" s="136" t="str">
        <f>VLOOKUP(A9,伤害计算器!$V$2:$Y$720,3,FALSE)</f>
        <v>ゼニガメ</v>
      </c>
      <c r="D9" s="136" t="str">
        <f>VLOOKUP(A9,伤害计算器!$V$2:$Y$720,4,FALSE)</f>
        <v>Squirtle</v>
      </c>
      <c r="E9" s="131" t="s">
        <v>55</v>
      </c>
      <c r="F9" s="137" t="s">
        <v>3295</v>
      </c>
      <c r="G9" s="131" t="s">
        <v>3311</v>
      </c>
      <c r="H9" s="138">
        <v>44</v>
      </c>
      <c r="I9" s="139">
        <v>48</v>
      </c>
      <c r="J9" s="140">
        <v>65</v>
      </c>
      <c r="K9" s="141">
        <v>50</v>
      </c>
      <c r="L9" s="142">
        <v>64</v>
      </c>
      <c r="M9" s="143">
        <v>43</v>
      </c>
      <c r="N9" s="144">
        <v>314</v>
      </c>
      <c r="O9" s="145" t="s">
        <v>251</v>
      </c>
      <c r="P9" s="133" t="s">
        <v>3295</v>
      </c>
      <c r="Q9" s="147">
        <v>9</v>
      </c>
      <c r="R9" s="133">
        <v>87.5</v>
      </c>
      <c r="S9" s="148">
        <v>45</v>
      </c>
      <c r="T9" s="133" t="s">
        <v>3297</v>
      </c>
      <c r="U9" s="133" t="s">
        <v>251</v>
      </c>
      <c r="V9" s="133">
        <v>5120</v>
      </c>
      <c r="W9" s="133">
        <v>63</v>
      </c>
    </row>
    <row r="10" ht="28.35" customHeight="1" spans="1:23">
      <c r="A10" s="135" t="s">
        <v>3312</v>
      </c>
      <c r="B10" s="131" t="s">
        <v>3313</v>
      </c>
      <c r="C10" s="136" t="str">
        <f>VLOOKUP(A10,伤害计算器!$V$2:$Y$720,3,FALSE)</f>
        <v>カメール</v>
      </c>
      <c r="D10" s="136" t="str">
        <f>VLOOKUP(A10,伤害计算器!$V$2:$Y$720,4,FALSE)</f>
        <v>Wartortle</v>
      </c>
      <c r="E10" s="131" t="s">
        <v>55</v>
      </c>
      <c r="F10" s="137" t="s">
        <v>3295</v>
      </c>
      <c r="G10" s="131" t="s">
        <v>3311</v>
      </c>
      <c r="H10" s="138">
        <v>59</v>
      </c>
      <c r="I10" s="139">
        <v>63</v>
      </c>
      <c r="J10" s="140">
        <v>80</v>
      </c>
      <c r="K10" s="141">
        <v>65</v>
      </c>
      <c r="L10" s="142">
        <v>80</v>
      </c>
      <c r="M10" s="143">
        <v>58</v>
      </c>
      <c r="N10" s="144">
        <v>405</v>
      </c>
      <c r="O10" s="145" t="s">
        <v>251</v>
      </c>
      <c r="P10" s="133" t="s">
        <v>3295</v>
      </c>
      <c r="Q10" s="147">
        <v>22.5</v>
      </c>
      <c r="R10" s="133">
        <v>87.5</v>
      </c>
      <c r="S10" s="148">
        <v>45</v>
      </c>
      <c r="T10" s="133" t="s">
        <v>3297</v>
      </c>
      <c r="U10" s="133" t="s">
        <v>251</v>
      </c>
      <c r="V10" s="133">
        <v>5120</v>
      </c>
      <c r="W10" s="133">
        <v>142</v>
      </c>
    </row>
    <row r="11" ht="29.85" customHeight="1" spans="1:23">
      <c r="A11" s="135" t="s">
        <v>3314</v>
      </c>
      <c r="B11" s="131" t="s">
        <v>3315</v>
      </c>
      <c r="C11" s="136" t="str">
        <f>VLOOKUP(A11,伤害计算器!$V$2:$Y$720,3,FALSE)</f>
        <v>カメックス</v>
      </c>
      <c r="D11" s="136" t="str">
        <f>VLOOKUP(A11,伤害计算器!$V$2:$Y$720,4,FALSE)</f>
        <v>Blastoise</v>
      </c>
      <c r="E11" s="131" t="s">
        <v>55</v>
      </c>
      <c r="F11" s="137" t="s">
        <v>3295</v>
      </c>
      <c r="G11" s="131" t="s">
        <v>3311</v>
      </c>
      <c r="H11" s="138">
        <v>79</v>
      </c>
      <c r="I11" s="139">
        <v>83</v>
      </c>
      <c r="J11" s="140">
        <v>100</v>
      </c>
      <c r="K11" s="141">
        <v>85</v>
      </c>
      <c r="L11" s="142">
        <v>105</v>
      </c>
      <c r="M11" s="143">
        <v>78</v>
      </c>
      <c r="N11" s="144">
        <v>530</v>
      </c>
      <c r="O11" s="145" t="s">
        <v>251</v>
      </c>
      <c r="P11" s="133" t="s">
        <v>3295</v>
      </c>
      <c r="Q11" s="147">
        <v>85.5</v>
      </c>
      <c r="R11" s="133">
        <v>87.5</v>
      </c>
      <c r="S11" s="148">
        <v>45</v>
      </c>
      <c r="T11" s="133" t="s">
        <v>3297</v>
      </c>
      <c r="U11" s="133" t="s">
        <v>251</v>
      </c>
      <c r="V11" s="133">
        <v>5120</v>
      </c>
      <c r="W11" s="133">
        <v>239</v>
      </c>
    </row>
    <row r="12" ht="29.1" customHeight="1" spans="1:23">
      <c r="A12" s="135" t="s">
        <v>3316</v>
      </c>
      <c r="B12" s="131" t="s">
        <v>3317</v>
      </c>
      <c r="C12" s="136" t="str">
        <f>VLOOKUP(A12,伤害计算器!$V$2:$Y$720,3,FALSE)</f>
        <v>キャタピー</v>
      </c>
      <c r="D12" s="136" t="str">
        <f>VLOOKUP(A12,伤害计算器!$V$2:$Y$720,4,FALSE)</f>
        <v>Caterpie</v>
      </c>
      <c r="E12" s="131" t="s">
        <v>3318</v>
      </c>
      <c r="F12" s="137" t="s">
        <v>3295</v>
      </c>
      <c r="G12" s="131" t="s">
        <v>3319</v>
      </c>
      <c r="H12" s="138">
        <v>45</v>
      </c>
      <c r="I12" s="139">
        <v>30</v>
      </c>
      <c r="J12" s="140">
        <v>35</v>
      </c>
      <c r="K12" s="141">
        <v>20</v>
      </c>
      <c r="L12" s="142">
        <v>20</v>
      </c>
      <c r="M12" s="143">
        <v>45</v>
      </c>
      <c r="N12" s="144">
        <v>195</v>
      </c>
      <c r="O12" s="145" t="s">
        <v>272</v>
      </c>
      <c r="P12" s="133" t="s">
        <v>3295</v>
      </c>
      <c r="Q12" s="147">
        <v>2.9</v>
      </c>
      <c r="R12" s="133">
        <v>50</v>
      </c>
      <c r="S12" s="148">
        <v>255</v>
      </c>
      <c r="T12" s="133" t="s">
        <v>272</v>
      </c>
      <c r="U12" s="133" t="s">
        <v>3320</v>
      </c>
      <c r="V12" s="133">
        <v>3840</v>
      </c>
      <c r="W12" s="133">
        <v>39</v>
      </c>
    </row>
    <row r="13" ht="29.1" customHeight="1" spans="1:23">
      <c r="A13" s="135" t="s">
        <v>3321</v>
      </c>
      <c r="B13" s="131" t="s">
        <v>3322</v>
      </c>
      <c r="C13" s="136" t="str">
        <f>VLOOKUP(A13,伤害计算器!$V$2:$Y$720,3,FALSE)</f>
        <v>トランセル</v>
      </c>
      <c r="D13" s="136" t="str">
        <f>VLOOKUP(A13,伤害计算器!$V$2:$Y$720,4,FALSE)</f>
        <v>Metapod</v>
      </c>
      <c r="E13" s="131" t="s">
        <v>3323</v>
      </c>
      <c r="F13" s="137" t="s">
        <v>3295</v>
      </c>
      <c r="G13" s="131" t="s">
        <v>3324</v>
      </c>
      <c r="H13" s="138">
        <v>50</v>
      </c>
      <c r="I13" s="139">
        <v>20</v>
      </c>
      <c r="J13" s="140">
        <v>55</v>
      </c>
      <c r="K13" s="141">
        <v>25</v>
      </c>
      <c r="L13" s="142">
        <v>25</v>
      </c>
      <c r="M13" s="143">
        <v>30</v>
      </c>
      <c r="N13" s="144">
        <v>205</v>
      </c>
      <c r="O13" s="145" t="s">
        <v>272</v>
      </c>
      <c r="P13" s="133" t="s">
        <v>3295</v>
      </c>
      <c r="Q13" s="147">
        <v>9.9</v>
      </c>
      <c r="R13" s="133">
        <v>50</v>
      </c>
      <c r="S13" s="148">
        <v>120</v>
      </c>
      <c r="T13" s="133" t="s">
        <v>272</v>
      </c>
      <c r="U13" s="133" t="s">
        <v>3320</v>
      </c>
      <c r="V13" s="133">
        <v>3840</v>
      </c>
      <c r="W13" s="133">
        <v>72</v>
      </c>
    </row>
    <row r="14" ht="27.6" customHeight="1" spans="1:23">
      <c r="A14" s="135" t="s">
        <v>3325</v>
      </c>
      <c r="B14" s="131" t="s">
        <v>3326</v>
      </c>
      <c r="C14" s="136" t="str">
        <f>VLOOKUP(A14,伤害计算器!$V$2:$Y$720,3,FALSE)</f>
        <v>バタフリー</v>
      </c>
      <c r="D14" s="136" t="str">
        <f>VLOOKUP(A14,伤害计算器!$V$2:$Y$720,4,FALSE)</f>
        <v>Butterfree</v>
      </c>
      <c r="E14" s="131" t="s">
        <v>67</v>
      </c>
      <c r="F14" s="137" t="s">
        <v>3295</v>
      </c>
      <c r="G14" s="131" t="s">
        <v>64</v>
      </c>
      <c r="H14" s="138">
        <v>60</v>
      </c>
      <c r="I14" s="139">
        <v>45</v>
      </c>
      <c r="J14" s="140">
        <v>50</v>
      </c>
      <c r="K14" s="141">
        <v>90</v>
      </c>
      <c r="L14" s="142">
        <v>80</v>
      </c>
      <c r="M14" s="143">
        <v>70</v>
      </c>
      <c r="N14" s="144">
        <v>395</v>
      </c>
      <c r="O14" s="145" t="s">
        <v>272</v>
      </c>
      <c r="P14" s="133" t="s">
        <v>99</v>
      </c>
      <c r="Q14" s="147">
        <v>32</v>
      </c>
      <c r="R14" s="133">
        <v>50</v>
      </c>
      <c r="S14" s="148">
        <v>45</v>
      </c>
      <c r="T14" s="133" t="s">
        <v>272</v>
      </c>
      <c r="U14" s="133" t="s">
        <v>3320</v>
      </c>
      <c r="V14" s="133">
        <v>3840</v>
      </c>
      <c r="W14" s="133">
        <v>173</v>
      </c>
    </row>
    <row r="15" ht="24.6" customHeight="1" spans="1:23">
      <c r="A15" s="135" t="s">
        <v>3327</v>
      </c>
      <c r="B15" s="131" t="s">
        <v>3328</v>
      </c>
      <c r="C15" s="136" t="str">
        <f>VLOOKUP(A15,伤害计算器!$V$2:$Y$720,3,FALSE)</f>
        <v>ビードル</v>
      </c>
      <c r="D15" s="136" t="str">
        <f>VLOOKUP(A15,伤害计算器!$V$2:$Y$720,4,FALSE)</f>
        <v>Weedle</v>
      </c>
      <c r="E15" s="131" t="s">
        <v>3318</v>
      </c>
      <c r="F15" s="137" t="s">
        <v>3295</v>
      </c>
      <c r="G15" s="131" t="s">
        <v>3319</v>
      </c>
      <c r="H15" s="138">
        <v>40</v>
      </c>
      <c r="I15" s="139">
        <v>35</v>
      </c>
      <c r="J15" s="140">
        <v>30</v>
      </c>
      <c r="K15" s="141">
        <v>20</v>
      </c>
      <c r="L15" s="142">
        <v>20</v>
      </c>
      <c r="M15" s="143">
        <v>50</v>
      </c>
      <c r="N15" s="144">
        <v>195</v>
      </c>
      <c r="O15" s="145" t="s">
        <v>272</v>
      </c>
      <c r="P15" s="133" t="s">
        <v>270</v>
      </c>
      <c r="Q15" s="147">
        <v>3.2</v>
      </c>
      <c r="R15" s="133">
        <v>50</v>
      </c>
      <c r="S15" s="148">
        <v>255</v>
      </c>
      <c r="T15" s="133" t="s">
        <v>272</v>
      </c>
      <c r="U15" s="133" t="s">
        <v>3320</v>
      </c>
      <c r="V15" s="133">
        <v>3840</v>
      </c>
      <c r="W15" s="133">
        <v>39</v>
      </c>
    </row>
    <row r="16" ht="26.85" customHeight="1" spans="1:23">
      <c r="A16" s="135" t="s">
        <v>3329</v>
      </c>
      <c r="B16" s="131" t="s">
        <v>3330</v>
      </c>
      <c r="C16" s="136" t="str">
        <f>VLOOKUP(A16,伤害计算器!$V$2:$Y$720,3,FALSE)</f>
        <v>コクーン</v>
      </c>
      <c r="D16" s="136" t="str">
        <f>VLOOKUP(A16,伤害计算器!$V$2:$Y$720,4,FALSE)</f>
        <v>Kakuna</v>
      </c>
      <c r="E16" s="131" t="s">
        <v>3323</v>
      </c>
      <c r="F16" s="137" t="s">
        <v>3295</v>
      </c>
      <c r="G16" s="131" t="s">
        <v>3323</v>
      </c>
      <c r="H16" s="138">
        <v>45</v>
      </c>
      <c r="I16" s="139">
        <v>25</v>
      </c>
      <c r="J16" s="140">
        <v>50</v>
      </c>
      <c r="K16" s="141">
        <v>25</v>
      </c>
      <c r="L16" s="142">
        <v>25</v>
      </c>
      <c r="M16" s="143">
        <v>35</v>
      </c>
      <c r="N16" s="144">
        <v>205</v>
      </c>
      <c r="O16" s="145" t="s">
        <v>272</v>
      </c>
      <c r="P16" s="133" t="s">
        <v>270</v>
      </c>
      <c r="Q16" s="147">
        <v>10</v>
      </c>
      <c r="R16" s="133">
        <v>50</v>
      </c>
      <c r="S16" s="148">
        <v>120</v>
      </c>
      <c r="T16" s="133" t="s">
        <v>272</v>
      </c>
      <c r="U16" s="133" t="s">
        <v>3320</v>
      </c>
      <c r="V16" s="133">
        <v>3840</v>
      </c>
      <c r="W16" s="133">
        <v>72</v>
      </c>
    </row>
    <row r="17" ht="28.35" customHeight="1" spans="1:23">
      <c r="A17" s="135" t="s">
        <v>3331</v>
      </c>
      <c r="B17" s="131" t="s">
        <v>3332</v>
      </c>
      <c r="C17" s="136" t="str">
        <f>VLOOKUP(A17,伤害计算器!$V$2:$Y$720,3,FALSE)</f>
        <v>スピアー</v>
      </c>
      <c r="D17" s="136" t="str">
        <f>VLOOKUP(A17,伤害计算器!$V$2:$Y$720,4,FALSE)</f>
        <v>Beedrill</v>
      </c>
      <c r="E17" s="131" t="s">
        <v>3333</v>
      </c>
      <c r="F17" s="137" t="s">
        <v>3295</v>
      </c>
      <c r="G17" s="131" t="s">
        <v>65</v>
      </c>
      <c r="H17" s="138">
        <v>65</v>
      </c>
      <c r="I17" s="139">
        <v>90</v>
      </c>
      <c r="J17" s="140">
        <v>40</v>
      </c>
      <c r="K17" s="141">
        <v>45</v>
      </c>
      <c r="L17" s="142">
        <v>80</v>
      </c>
      <c r="M17" s="143">
        <v>75</v>
      </c>
      <c r="N17" s="144">
        <v>395</v>
      </c>
      <c r="O17" s="145" t="s">
        <v>272</v>
      </c>
      <c r="P17" s="133" t="s">
        <v>270</v>
      </c>
      <c r="Q17" s="147">
        <v>29.5</v>
      </c>
      <c r="R17" s="133">
        <v>50</v>
      </c>
      <c r="S17" s="148">
        <v>45</v>
      </c>
      <c r="T17" s="133" t="s">
        <v>272</v>
      </c>
      <c r="U17" s="133" t="s">
        <v>3320</v>
      </c>
      <c r="V17" s="133">
        <v>3840</v>
      </c>
      <c r="W17" s="133">
        <v>173</v>
      </c>
    </row>
    <row r="18" ht="25.35" customHeight="1" spans="1:23">
      <c r="A18" s="135" t="s">
        <v>3334</v>
      </c>
      <c r="B18" s="131" t="s">
        <v>3335</v>
      </c>
      <c r="C18" s="136" t="str">
        <f>VLOOKUP(A18,伤害计算器!$V$2:$Y$720,3,FALSE)</f>
        <v>ポッポ</v>
      </c>
      <c r="D18" s="136" t="str">
        <f>VLOOKUP(A18,伤害计算器!$V$2:$Y$720,4,FALSE)</f>
        <v>Pidgey</v>
      </c>
      <c r="E18" s="131" t="s">
        <v>3336</v>
      </c>
      <c r="F18" s="131" t="s">
        <v>79</v>
      </c>
      <c r="G18" s="131" t="s">
        <v>3337</v>
      </c>
      <c r="H18" s="138">
        <v>40</v>
      </c>
      <c r="I18" s="139">
        <v>45</v>
      </c>
      <c r="J18" s="140">
        <v>40</v>
      </c>
      <c r="K18" s="141">
        <v>35</v>
      </c>
      <c r="L18" s="142">
        <v>35</v>
      </c>
      <c r="M18" s="143">
        <v>56</v>
      </c>
      <c r="N18" s="144">
        <v>251</v>
      </c>
      <c r="O18" s="145" t="s">
        <v>267</v>
      </c>
      <c r="P18" s="133" t="s">
        <v>99</v>
      </c>
      <c r="Q18" s="147">
        <v>1.8</v>
      </c>
      <c r="R18" s="133">
        <v>50</v>
      </c>
      <c r="S18" s="148">
        <v>255</v>
      </c>
      <c r="T18" s="133" t="s">
        <v>3338</v>
      </c>
      <c r="U18" s="133" t="s">
        <v>3320</v>
      </c>
      <c r="V18" s="133">
        <v>3840</v>
      </c>
      <c r="W18" s="133">
        <v>50</v>
      </c>
    </row>
    <row r="19" ht="29.1" customHeight="1" spans="1:23">
      <c r="A19" s="135" t="s">
        <v>3339</v>
      </c>
      <c r="B19" s="131" t="s">
        <v>3340</v>
      </c>
      <c r="C19" s="136" t="str">
        <f>VLOOKUP(A19,伤害计算器!$V$2:$Y$720,3,FALSE)</f>
        <v>ピジョン</v>
      </c>
      <c r="D19" s="136" t="str">
        <f>VLOOKUP(A19,伤害计算器!$V$2:$Y$720,4,FALSE)</f>
        <v>Pidgeotto</v>
      </c>
      <c r="E19" s="131" t="s">
        <v>3336</v>
      </c>
      <c r="F19" s="131" t="s">
        <v>79</v>
      </c>
      <c r="G19" s="131" t="s">
        <v>3337</v>
      </c>
      <c r="H19" s="138">
        <v>63</v>
      </c>
      <c r="I19" s="139">
        <v>60</v>
      </c>
      <c r="J19" s="140">
        <v>55</v>
      </c>
      <c r="K19" s="141">
        <v>50</v>
      </c>
      <c r="L19" s="142">
        <v>50</v>
      </c>
      <c r="M19" s="143">
        <v>71</v>
      </c>
      <c r="N19" s="144">
        <v>349</v>
      </c>
      <c r="O19" s="145" t="s">
        <v>267</v>
      </c>
      <c r="P19" s="133" t="s">
        <v>99</v>
      </c>
      <c r="Q19" s="147">
        <v>30</v>
      </c>
      <c r="R19" s="133">
        <v>50</v>
      </c>
      <c r="S19" s="148">
        <v>120</v>
      </c>
      <c r="T19" s="133" t="s">
        <v>3338</v>
      </c>
      <c r="U19" s="133" t="s">
        <v>3320</v>
      </c>
      <c r="V19" s="133">
        <v>3840</v>
      </c>
      <c r="W19" s="133">
        <v>122</v>
      </c>
    </row>
    <row r="20" ht="32.85" customHeight="1" spans="1:23">
      <c r="A20" s="135" t="s">
        <v>3341</v>
      </c>
      <c r="B20" s="131" t="s">
        <v>3342</v>
      </c>
      <c r="C20" s="136" t="str">
        <f>VLOOKUP(A20,伤害计算器!$V$2:$Y$720,3,FALSE)</f>
        <v>ピジョット</v>
      </c>
      <c r="D20" s="136" t="str">
        <f>VLOOKUP(A20,伤害计算器!$V$2:$Y$720,4,FALSE)</f>
        <v>Pidgeot</v>
      </c>
      <c r="E20" s="131" t="s">
        <v>3336</v>
      </c>
      <c r="F20" s="131" t="s">
        <v>79</v>
      </c>
      <c r="G20" s="131" t="s">
        <v>3337</v>
      </c>
      <c r="H20" s="138">
        <v>83</v>
      </c>
      <c r="I20" s="139">
        <v>80</v>
      </c>
      <c r="J20" s="140">
        <v>75</v>
      </c>
      <c r="K20" s="141">
        <v>70</v>
      </c>
      <c r="L20" s="142">
        <v>70</v>
      </c>
      <c r="M20" s="143">
        <v>101</v>
      </c>
      <c r="N20" s="144">
        <v>479</v>
      </c>
      <c r="O20" s="145" t="s">
        <v>267</v>
      </c>
      <c r="P20" s="133" t="s">
        <v>99</v>
      </c>
      <c r="Q20" s="147">
        <v>39.5</v>
      </c>
      <c r="R20" s="133">
        <v>50</v>
      </c>
      <c r="S20" s="148">
        <v>45</v>
      </c>
      <c r="T20" s="133" t="s">
        <v>3338</v>
      </c>
      <c r="U20" s="133" t="s">
        <v>3320</v>
      </c>
      <c r="V20" s="133">
        <v>3840</v>
      </c>
      <c r="W20" s="133">
        <v>211</v>
      </c>
    </row>
    <row r="21" ht="39" customHeight="1" spans="1:23">
      <c r="A21" s="135" t="s">
        <v>3343</v>
      </c>
      <c r="B21" s="131" t="s">
        <v>3344</v>
      </c>
      <c r="C21" s="136" t="str">
        <f>VLOOKUP(A21,伤害计算器!$V$2:$Y$720,3,FALSE)</f>
        <v>コラッタ</v>
      </c>
      <c r="D21" s="136" t="str">
        <f>VLOOKUP(A21,伤害计算器!$V$2:$Y$720,4,FALSE)</f>
        <v>Rattata</v>
      </c>
      <c r="E21" s="131" t="s">
        <v>3319</v>
      </c>
      <c r="F21" s="131" t="s">
        <v>57</v>
      </c>
      <c r="G21" s="131" t="s">
        <v>61</v>
      </c>
      <c r="H21" s="138">
        <v>30</v>
      </c>
      <c r="I21" s="139">
        <v>56</v>
      </c>
      <c r="J21" s="140">
        <v>35</v>
      </c>
      <c r="K21" s="141">
        <v>25</v>
      </c>
      <c r="L21" s="142">
        <v>35</v>
      </c>
      <c r="M21" s="143">
        <v>72</v>
      </c>
      <c r="N21" s="144">
        <v>253</v>
      </c>
      <c r="O21" s="145" t="s">
        <v>267</v>
      </c>
      <c r="P21" s="133" t="s">
        <v>3295</v>
      </c>
      <c r="Q21" s="147">
        <v>3.5</v>
      </c>
      <c r="R21" s="133">
        <v>50</v>
      </c>
      <c r="S21" s="148">
        <v>255</v>
      </c>
      <c r="T21" s="133" t="s">
        <v>3345</v>
      </c>
      <c r="U21" s="133" t="s">
        <v>3320</v>
      </c>
      <c r="V21" s="133">
        <v>3840</v>
      </c>
      <c r="W21" s="133">
        <v>51</v>
      </c>
    </row>
    <row r="22" ht="26.85" customHeight="1" spans="1:23">
      <c r="A22" s="135" t="s">
        <v>3346</v>
      </c>
      <c r="B22" s="131" t="s">
        <v>3347</v>
      </c>
      <c r="C22" s="136" t="str">
        <f>VLOOKUP(A22,伤害计算器!$V$2:$Y$720,3,FALSE)</f>
        <v>ラッタ</v>
      </c>
      <c r="D22" s="136" t="str">
        <f>VLOOKUP(A22,伤害计算器!$V$2:$Y$720,4,FALSE)</f>
        <v>Raticate</v>
      </c>
      <c r="E22" s="131" t="s">
        <v>3319</v>
      </c>
      <c r="F22" s="131" t="s">
        <v>57</v>
      </c>
      <c r="G22" s="131" t="s">
        <v>61</v>
      </c>
      <c r="H22" s="138">
        <v>55</v>
      </c>
      <c r="I22" s="139">
        <v>81</v>
      </c>
      <c r="J22" s="140">
        <v>60</v>
      </c>
      <c r="K22" s="141">
        <v>50</v>
      </c>
      <c r="L22" s="142">
        <v>70</v>
      </c>
      <c r="M22" s="143">
        <v>97</v>
      </c>
      <c r="N22" s="144">
        <v>413</v>
      </c>
      <c r="O22" s="145" t="s">
        <v>267</v>
      </c>
      <c r="P22" s="133" t="s">
        <v>3295</v>
      </c>
      <c r="Q22" s="147">
        <v>18.5</v>
      </c>
      <c r="R22" s="133">
        <v>50</v>
      </c>
      <c r="S22" s="148">
        <v>127</v>
      </c>
      <c r="T22" s="133" t="s">
        <v>3345</v>
      </c>
      <c r="U22" s="133" t="s">
        <v>3320</v>
      </c>
      <c r="V22" s="133">
        <v>3840</v>
      </c>
      <c r="W22" s="133">
        <v>145</v>
      </c>
    </row>
    <row r="23" ht="26.85" customHeight="1" spans="1:23">
      <c r="A23" s="135" t="s">
        <v>3348</v>
      </c>
      <c r="B23" s="131" t="s">
        <v>3349</v>
      </c>
      <c r="C23" s="136" t="str">
        <f>VLOOKUP(A23,伤害计算器!$V$2:$Y$720,3,FALSE)</f>
        <v>オニスズメ</v>
      </c>
      <c r="D23" s="136" t="str">
        <f>VLOOKUP(A23,伤害计算器!$V$2:$Y$720,4,FALSE)</f>
        <v>Spearow</v>
      </c>
      <c r="E23" s="131" t="s">
        <v>3336</v>
      </c>
      <c r="F23" s="137" t="s">
        <v>3295</v>
      </c>
      <c r="G23" s="131" t="s">
        <v>65</v>
      </c>
      <c r="H23" s="138">
        <v>40</v>
      </c>
      <c r="I23" s="139">
        <v>60</v>
      </c>
      <c r="J23" s="140">
        <v>30</v>
      </c>
      <c r="K23" s="141">
        <v>31</v>
      </c>
      <c r="L23" s="142">
        <v>31</v>
      </c>
      <c r="M23" s="143">
        <v>70</v>
      </c>
      <c r="N23" s="144">
        <v>262</v>
      </c>
      <c r="O23" s="145" t="s">
        <v>267</v>
      </c>
      <c r="P23" s="133" t="s">
        <v>99</v>
      </c>
      <c r="Q23" s="147">
        <v>2</v>
      </c>
      <c r="R23" s="133">
        <v>50</v>
      </c>
      <c r="S23" s="148">
        <v>255</v>
      </c>
      <c r="T23" s="133" t="s">
        <v>3338</v>
      </c>
      <c r="U23" s="133" t="s">
        <v>3320</v>
      </c>
      <c r="V23" s="133">
        <v>3840</v>
      </c>
      <c r="W23" s="133">
        <v>52</v>
      </c>
    </row>
    <row r="24" ht="26.1" customHeight="1" spans="1:23">
      <c r="A24" s="135" t="s">
        <v>3350</v>
      </c>
      <c r="B24" s="131" t="s">
        <v>3351</v>
      </c>
      <c r="C24" s="136" t="str">
        <f>VLOOKUP(A24,伤害计算器!$V$2:$Y$720,3,FALSE)</f>
        <v>オニドリル</v>
      </c>
      <c r="D24" s="136" t="str">
        <f>VLOOKUP(A24,伤害计算器!$V$2:$Y$720,4,FALSE)</f>
        <v>Fearow</v>
      </c>
      <c r="E24" s="131" t="s">
        <v>3336</v>
      </c>
      <c r="F24" s="137" t="s">
        <v>3295</v>
      </c>
      <c r="G24" s="131" t="s">
        <v>65</v>
      </c>
      <c r="H24" s="138">
        <v>65</v>
      </c>
      <c r="I24" s="139">
        <v>90</v>
      </c>
      <c r="J24" s="140">
        <v>65</v>
      </c>
      <c r="K24" s="141">
        <v>61</v>
      </c>
      <c r="L24" s="142">
        <v>61</v>
      </c>
      <c r="M24" s="143">
        <v>100</v>
      </c>
      <c r="N24" s="144">
        <v>442</v>
      </c>
      <c r="O24" s="145" t="s">
        <v>267</v>
      </c>
      <c r="P24" s="133" t="s">
        <v>99</v>
      </c>
      <c r="Q24" s="147">
        <v>38</v>
      </c>
      <c r="R24" s="133">
        <v>50</v>
      </c>
      <c r="S24" s="148">
        <v>90</v>
      </c>
      <c r="T24" s="133" t="s">
        <v>3338</v>
      </c>
      <c r="U24" s="133" t="s">
        <v>3320</v>
      </c>
      <c r="V24" s="133">
        <v>3840</v>
      </c>
      <c r="W24" s="133">
        <v>155</v>
      </c>
    </row>
    <row r="25" ht="23.85" customHeight="1" spans="1:23">
      <c r="A25" s="135" t="s">
        <v>3352</v>
      </c>
      <c r="B25" s="131" t="s">
        <v>3353</v>
      </c>
      <c r="C25" s="136" t="str">
        <f>VLOOKUP(A25,伤害计算器!$V$2:$Y$720,3,FALSE)</f>
        <v>アーボ</v>
      </c>
      <c r="D25" s="136" t="str">
        <f>VLOOKUP(A25,伤害计算器!$V$2:$Y$720,4,FALSE)</f>
        <v>Ekans</v>
      </c>
      <c r="E25" s="131" t="s">
        <v>3354</v>
      </c>
      <c r="F25" s="131" t="s">
        <v>3323</v>
      </c>
      <c r="G25" s="131" t="s">
        <v>3355</v>
      </c>
      <c r="H25" s="138">
        <v>35</v>
      </c>
      <c r="I25" s="139">
        <v>60</v>
      </c>
      <c r="J25" s="140">
        <v>44</v>
      </c>
      <c r="K25" s="141">
        <v>40</v>
      </c>
      <c r="L25" s="142">
        <v>54</v>
      </c>
      <c r="M25" s="143">
        <v>55</v>
      </c>
      <c r="N25" s="144">
        <v>288</v>
      </c>
      <c r="O25" s="145" t="s">
        <v>270</v>
      </c>
      <c r="P25" s="133" t="s">
        <v>3295</v>
      </c>
      <c r="Q25" s="147">
        <v>6.9</v>
      </c>
      <c r="R25" s="133">
        <v>50</v>
      </c>
      <c r="S25" s="148">
        <v>255</v>
      </c>
      <c r="T25" s="133" t="s">
        <v>3345</v>
      </c>
      <c r="U25" s="133" t="s">
        <v>274</v>
      </c>
      <c r="V25" s="133">
        <v>5120</v>
      </c>
      <c r="W25" s="133">
        <v>58</v>
      </c>
    </row>
    <row r="26" ht="26.85" customHeight="1" spans="1:23">
      <c r="A26" s="135" t="s">
        <v>3356</v>
      </c>
      <c r="B26" s="131" t="s">
        <v>3357</v>
      </c>
      <c r="C26" s="136" t="str">
        <f>VLOOKUP(A26,伤害计算器!$V$2:$Y$720,3,FALSE)</f>
        <v>アーボック</v>
      </c>
      <c r="D26" s="136" t="str">
        <f>VLOOKUP(A26,伤害计算器!$V$2:$Y$720,4,FALSE)</f>
        <v>Arbok</v>
      </c>
      <c r="E26" s="131" t="s">
        <v>3354</v>
      </c>
      <c r="F26" s="131" t="s">
        <v>3324</v>
      </c>
      <c r="G26" s="131" t="s">
        <v>3358</v>
      </c>
      <c r="H26" s="138">
        <v>60</v>
      </c>
      <c r="I26" s="139">
        <v>85</v>
      </c>
      <c r="J26" s="140">
        <v>69</v>
      </c>
      <c r="K26" s="141">
        <v>65</v>
      </c>
      <c r="L26" s="142">
        <v>79</v>
      </c>
      <c r="M26" s="143">
        <v>80</v>
      </c>
      <c r="N26" s="144">
        <v>438</v>
      </c>
      <c r="O26" s="145" t="s">
        <v>270</v>
      </c>
      <c r="P26" s="133" t="s">
        <v>3295</v>
      </c>
      <c r="Q26" s="147">
        <v>65</v>
      </c>
      <c r="R26" s="133">
        <v>50</v>
      </c>
      <c r="S26" s="148">
        <v>90</v>
      </c>
      <c r="T26" s="133" t="s">
        <v>3345</v>
      </c>
      <c r="U26" s="133" t="s">
        <v>274</v>
      </c>
      <c r="V26" s="133">
        <v>5120</v>
      </c>
      <c r="W26" s="133">
        <v>153</v>
      </c>
    </row>
    <row r="27" ht="27.6" customHeight="1" spans="1:23">
      <c r="A27" s="135" t="s">
        <v>3359</v>
      </c>
      <c r="B27" s="131" t="s">
        <v>3360</v>
      </c>
      <c r="C27" s="136" t="str">
        <f>VLOOKUP(A27,伤害计算器!$V$2:$Y$720,3,FALSE)</f>
        <v>ピカチュウ</v>
      </c>
      <c r="D27" s="136" t="str">
        <f>VLOOKUP(A27,伤害计算器!$V$2:$Y$720,4,FALSE)</f>
        <v>Pikachu</v>
      </c>
      <c r="E27" s="131" t="s">
        <v>3361</v>
      </c>
      <c r="F27" s="137" t="s">
        <v>3295</v>
      </c>
      <c r="G27" s="131" t="s">
        <v>562</v>
      </c>
      <c r="H27" s="138">
        <v>35</v>
      </c>
      <c r="I27" s="139">
        <v>55</v>
      </c>
      <c r="J27" s="140">
        <v>40</v>
      </c>
      <c r="K27" s="141">
        <v>50</v>
      </c>
      <c r="L27" s="142">
        <v>50</v>
      </c>
      <c r="M27" s="143">
        <v>90</v>
      </c>
      <c r="N27" s="144">
        <v>320</v>
      </c>
      <c r="O27" s="145" t="s">
        <v>268</v>
      </c>
      <c r="P27" s="133" t="s">
        <v>3295</v>
      </c>
      <c r="Q27" s="147">
        <v>6</v>
      </c>
      <c r="R27" s="133">
        <v>50</v>
      </c>
      <c r="S27" s="148">
        <v>190</v>
      </c>
      <c r="T27" s="133" t="s">
        <v>3345</v>
      </c>
      <c r="U27" s="133" t="s">
        <v>3362</v>
      </c>
      <c r="V27" s="133">
        <v>2560</v>
      </c>
      <c r="W27" s="133">
        <v>105</v>
      </c>
    </row>
    <row r="28" ht="27.6" customHeight="1" spans="1:23">
      <c r="A28" s="135" t="s">
        <v>3363</v>
      </c>
      <c r="B28" s="131" t="s">
        <v>3364</v>
      </c>
      <c r="C28" s="136" t="str">
        <f>VLOOKUP(A28,伤害计算器!$V$2:$Y$720,3,FALSE)</f>
        <v>ライチュウ</v>
      </c>
      <c r="D28" s="136" t="str">
        <f>VLOOKUP(A28,伤害计算器!$V$2:$Y$720,4,FALSE)</f>
        <v>Raichu</v>
      </c>
      <c r="E28" s="131" t="s">
        <v>3361</v>
      </c>
      <c r="F28" s="137" t="s">
        <v>3295</v>
      </c>
      <c r="G28" s="131" t="s">
        <v>3365</v>
      </c>
      <c r="H28" s="138">
        <v>60</v>
      </c>
      <c r="I28" s="139">
        <v>90</v>
      </c>
      <c r="J28" s="140">
        <v>55</v>
      </c>
      <c r="K28" s="141">
        <v>90</v>
      </c>
      <c r="L28" s="142">
        <v>80</v>
      </c>
      <c r="M28" s="143">
        <v>110</v>
      </c>
      <c r="N28" s="144">
        <v>485</v>
      </c>
      <c r="O28" s="145" t="s">
        <v>268</v>
      </c>
      <c r="P28" s="133" t="s">
        <v>3295</v>
      </c>
      <c r="Q28" s="147">
        <v>30</v>
      </c>
      <c r="R28" s="133">
        <v>50</v>
      </c>
      <c r="S28" s="148">
        <v>75</v>
      </c>
      <c r="T28" s="133" t="s">
        <v>3345</v>
      </c>
      <c r="U28" s="133" t="s">
        <v>3362</v>
      </c>
      <c r="V28" s="133">
        <v>2560</v>
      </c>
      <c r="W28" s="133">
        <v>214</v>
      </c>
    </row>
    <row r="29" ht="28.35" customHeight="1" spans="1:23">
      <c r="A29" s="135" t="s">
        <v>3366</v>
      </c>
      <c r="B29" s="131" t="s">
        <v>3367</v>
      </c>
      <c r="C29" s="136" t="str">
        <f>VLOOKUP(A29,伤害计算器!$V$2:$Y$720,3,FALSE)</f>
        <v>サンド</v>
      </c>
      <c r="D29" s="136" t="str">
        <f>VLOOKUP(A29,伤害计算器!$V$2:$Y$720,4,FALSE)</f>
        <v>Sandshrew</v>
      </c>
      <c r="E29" s="131" t="s">
        <v>80</v>
      </c>
      <c r="F29" s="137" t="s">
        <v>3295</v>
      </c>
      <c r="G29" s="131" t="s">
        <v>3368</v>
      </c>
      <c r="H29" s="138">
        <v>50</v>
      </c>
      <c r="I29" s="139">
        <v>75</v>
      </c>
      <c r="J29" s="140">
        <v>85</v>
      </c>
      <c r="K29" s="141">
        <v>20</v>
      </c>
      <c r="L29" s="142">
        <v>30</v>
      </c>
      <c r="M29" s="143">
        <v>40</v>
      </c>
      <c r="N29" s="144">
        <v>300</v>
      </c>
      <c r="O29" s="145" t="s">
        <v>237</v>
      </c>
      <c r="P29" s="133" t="s">
        <v>3295</v>
      </c>
      <c r="Q29" s="147">
        <v>12</v>
      </c>
      <c r="R29" s="133">
        <v>50</v>
      </c>
      <c r="S29" s="148">
        <v>255</v>
      </c>
      <c r="T29" s="133" t="s">
        <v>3345</v>
      </c>
      <c r="U29" s="133" t="s">
        <v>3320</v>
      </c>
      <c r="V29" s="133">
        <v>5120</v>
      </c>
      <c r="W29" s="133">
        <v>60</v>
      </c>
    </row>
    <row r="30" ht="24.6" customHeight="1" spans="1:23">
      <c r="A30" s="135" t="s">
        <v>3369</v>
      </c>
      <c r="B30" s="131" t="s">
        <v>3370</v>
      </c>
      <c r="C30" s="136" t="str">
        <f>VLOOKUP(A30,伤害计算器!$V$2:$Y$720,3,FALSE)</f>
        <v>サンドパン</v>
      </c>
      <c r="D30" s="136" t="str">
        <f>VLOOKUP(A30,伤害计算器!$V$2:$Y$720,4,FALSE)</f>
        <v>Sandslash</v>
      </c>
      <c r="E30" s="131" t="s">
        <v>80</v>
      </c>
      <c r="F30" s="137" t="s">
        <v>3295</v>
      </c>
      <c r="G30" s="131" t="s">
        <v>3368</v>
      </c>
      <c r="H30" s="138">
        <v>75</v>
      </c>
      <c r="I30" s="139">
        <v>100</v>
      </c>
      <c r="J30" s="140">
        <v>110</v>
      </c>
      <c r="K30" s="141">
        <v>45</v>
      </c>
      <c r="L30" s="142">
        <v>55</v>
      </c>
      <c r="M30" s="143">
        <v>65</v>
      </c>
      <c r="N30" s="144">
        <v>450</v>
      </c>
      <c r="O30" s="145" t="s">
        <v>237</v>
      </c>
      <c r="P30" s="133" t="s">
        <v>3295</v>
      </c>
      <c r="Q30" s="147">
        <v>29.5</v>
      </c>
      <c r="R30" s="133">
        <v>50</v>
      </c>
      <c r="S30" s="148">
        <v>90</v>
      </c>
      <c r="T30" s="133" t="s">
        <v>3345</v>
      </c>
      <c r="U30" s="133" t="s">
        <v>3320</v>
      </c>
      <c r="V30" s="133">
        <v>5120</v>
      </c>
      <c r="W30" s="133">
        <v>158</v>
      </c>
    </row>
    <row r="31" ht="26.1" customHeight="1" spans="1:23">
      <c r="A31" s="135" t="s">
        <v>3371</v>
      </c>
      <c r="B31" s="131" t="s">
        <v>3372</v>
      </c>
      <c r="C31" s="136" t="str">
        <f>VLOOKUP(A31,伤害计算器!$V$2:$Y$720,3,FALSE)</f>
        <v>ニドラン♀</v>
      </c>
      <c r="D31" s="136" t="str">
        <f>VLOOKUP(A31,伤害计算器!$V$2:$Y$720,4,FALSE)</f>
        <v>Nidoran♀</v>
      </c>
      <c r="E31" s="131" t="s">
        <v>3373</v>
      </c>
      <c r="F31" s="131" t="s">
        <v>3374</v>
      </c>
      <c r="G31" s="131" t="s">
        <v>3375</v>
      </c>
      <c r="H31" s="138">
        <v>55</v>
      </c>
      <c r="I31" s="139">
        <v>47</v>
      </c>
      <c r="J31" s="140">
        <v>52</v>
      </c>
      <c r="K31" s="141">
        <v>40</v>
      </c>
      <c r="L31" s="142">
        <v>40</v>
      </c>
      <c r="M31" s="143">
        <v>41</v>
      </c>
      <c r="N31" s="144">
        <v>275</v>
      </c>
      <c r="O31" s="145" t="s">
        <v>270</v>
      </c>
      <c r="P31" s="133" t="s">
        <v>3295</v>
      </c>
      <c r="Q31" s="147">
        <v>7</v>
      </c>
      <c r="R31" s="133">
        <v>0</v>
      </c>
      <c r="S31" s="148">
        <v>235</v>
      </c>
      <c r="T31" s="133" t="s">
        <v>3297</v>
      </c>
      <c r="U31" s="133" t="s">
        <v>3345</v>
      </c>
      <c r="V31" s="133">
        <v>5120</v>
      </c>
      <c r="W31" s="133">
        <v>55</v>
      </c>
    </row>
    <row r="32" ht="27.6" customHeight="1" spans="1:23">
      <c r="A32" s="135" t="s">
        <v>3376</v>
      </c>
      <c r="B32" s="131" t="s">
        <v>3377</v>
      </c>
      <c r="C32" s="136" t="str">
        <f>VLOOKUP(A32,伤害计算器!$V$2:$Y$720,3,FALSE)</f>
        <v>ニドリーナ</v>
      </c>
      <c r="D32" s="136" t="str">
        <f>VLOOKUP(A32,伤害计算器!$V$2:$Y$720,4,FALSE)</f>
        <v>Nidorina</v>
      </c>
      <c r="E32" s="131" t="s">
        <v>3373</v>
      </c>
      <c r="F32" s="131" t="s">
        <v>3374</v>
      </c>
      <c r="G32" s="131" t="s">
        <v>3375</v>
      </c>
      <c r="H32" s="138">
        <v>70</v>
      </c>
      <c r="I32" s="139">
        <v>62</v>
      </c>
      <c r="J32" s="140">
        <v>67</v>
      </c>
      <c r="K32" s="141">
        <v>55</v>
      </c>
      <c r="L32" s="142">
        <v>55</v>
      </c>
      <c r="M32" s="143">
        <v>56</v>
      </c>
      <c r="N32" s="144">
        <v>365</v>
      </c>
      <c r="O32" s="145" t="s">
        <v>270</v>
      </c>
      <c r="P32" s="133" t="s">
        <v>3295</v>
      </c>
      <c r="Q32" s="147">
        <v>20</v>
      </c>
      <c r="R32" s="133">
        <v>0</v>
      </c>
      <c r="S32" s="148">
        <v>120</v>
      </c>
      <c r="T32" s="133" t="s">
        <v>3378</v>
      </c>
      <c r="U32" s="133" t="s">
        <v>3320</v>
      </c>
      <c r="V32" s="133">
        <v>5120</v>
      </c>
      <c r="W32" s="133">
        <v>128</v>
      </c>
    </row>
    <row r="33" ht="25.35" customHeight="1" spans="1:23">
      <c r="A33" s="135" t="s">
        <v>3379</v>
      </c>
      <c r="B33" s="131" t="s">
        <v>3380</v>
      </c>
      <c r="C33" s="136" t="str">
        <f>VLOOKUP(A33,伤害计算器!$V$2:$Y$720,3,FALSE)</f>
        <v>ニドクイン</v>
      </c>
      <c r="D33" s="136" t="str">
        <f>VLOOKUP(A33,伤害计算器!$V$2:$Y$720,4,FALSE)</f>
        <v>Nidoqueen</v>
      </c>
      <c r="E33" s="131" t="s">
        <v>3373</v>
      </c>
      <c r="F33" s="131" t="s">
        <v>3381</v>
      </c>
      <c r="G33" s="131" t="s">
        <v>41</v>
      </c>
      <c r="H33" s="138">
        <v>90</v>
      </c>
      <c r="I33" s="139">
        <v>92</v>
      </c>
      <c r="J33" s="140">
        <v>87</v>
      </c>
      <c r="K33" s="141">
        <v>75</v>
      </c>
      <c r="L33" s="142">
        <v>85</v>
      </c>
      <c r="M33" s="143">
        <v>76</v>
      </c>
      <c r="N33" s="144">
        <v>505</v>
      </c>
      <c r="O33" s="145" t="s">
        <v>270</v>
      </c>
      <c r="P33" s="133" t="s">
        <v>237</v>
      </c>
      <c r="Q33" s="147">
        <v>60</v>
      </c>
      <c r="R33" s="133">
        <v>0</v>
      </c>
      <c r="S33" s="148">
        <v>45</v>
      </c>
      <c r="T33" s="133" t="s">
        <v>3378</v>
      </c>
      <c r="U33" s="133" t="s">
        <v>3320</v>
      </c>
      <c r="V33" s="133">
        <v>5120</v>
      </c>
      <c r="W33" s="133">
        <v>223</v>
      </c>
    </row>
    <row r="34" ht="28.35" customHeight="1" spans="1:23">
      <c r="A34" s="135" t="s">
        <v>3382</v>
      </c>
      <c r="B34" s="131" t="s">
        <v>3383</v>
      </c>
      <c r="C34" s="136" t="str">
        <f>VLOOKUP(A34,伤害计算器!$V$2:$Y$720,3,FALSE)</f>
        <v>ニドラン♂</v>
      </c>
      <c r="D34" s="136" t="str">
        <f>VLOOKUP(A34,伤害计算器!$V$2:$Y$720,4,FALSE)</f>
        <v>Nidoran♂</v>
      </c>
      <c r="E34" s="131" t="s">
        <v>3373</v>
      </c>
      <c r="F34" s="131" t="s">
        <v>3381</v>
      </c>
      <c r="G34" s="131" t="s">
        <v>61</v>
      </c>
      <c r="H34" s="138">
        <v>46</v>
      </c>
      <c r="I34" s="139">
        <v>57</v>
      </c>
      <c r="J34" s="140">
        <v>40</v>
      </c>
      <c r="K34" s="141">
        <v>40</v>
      </c>
      <c r="L34" s="142">
        <v>40</v>
      </c>
      <c r="M34" s="143">
        <v>50</v>
      </c>
      <c r="N34" s="144">
        <v>273</v>
      </c>
      <c r="O34" s="145" t="s">
        <v>270</v>
      </c>
      <c r="P34" s="133" t="s">
        <v>3295</v>
      </c>
      <c r="Q34" s="147">
        <v>9</v>
      </c>
      <c r="R34" s="133">
        <v>100</v>
      </c>
      <c r="S34" s="148">
        <v>235</v>
      </c>
      <c r="T34" s="133" t="s">
        <v>3297</v>
      </c>
      <c r="U34" s="133" t="s">
        <v>3345</v>
      </c>
      <c r="V34" s="133">
        <v>5120</v>
      </c>
      <c r="W34" s="133">
        <v>55</v>
      </c>
    </row>
    <row r="35" ht="26.1" customHeight="1" spans="1:23">
      <c r="A35" s="135" t="s">
        <v>3384</v>
      </c>
      <c r="B35" s="131" t="s">
        <v>3385</v>
      </c>
      <c r="C35" s="136" t="str">
        <f>VLOOKUP(A35,伤害计算器!$V$2:$Y$720,3,FALSE)</f>
        <v>ニドリーノ</v>
      </c>
      <c r="D35" s="136" t="str">
        <f>VLOOKUP(A35,伤害计算器!$V$2:$Y$720,4,FALSE)</f>
        <v>Nidorino</v>
      </c>
      <c r="E35" s="131" t="s">
        <v>3373</v>
      </c>
      <c r="F35" s="131" t="s">
        <v>3381</v>
      </c>
      <c r="G35" s="131" t="s">
        <v>61</v>
      </c>
      <c r="H35" s="138">
        <v>61</v>
      </c>
      <c r="I35" s="139">
        <v>72</v>
      </c>
      <c r="J35" s="140">
        <v>57</v>
      </c>
      <c r="K35" s="141">
        <v>55</v>
      </c>
      <c r="L35" s="142">
        <v>55</v>
      </c>
      <c r="M35" s="143">
        <v>65</v>
      </c>
      <c r="N35" s="144">
        <v>365</v>
      </c>
      <c r="O35" s="145" t="s">
        <v>270</v>
      </c>
      <c r="P35" s="133" t="s">
        <v>3295</v>
      </c>
      <c r="Q35" s="147">
        <v>19.5</v>
      </c>
      <c r="R35" s="133">
        <v>100</v>
      </c>
      <c r="S35" s="148">
        <v>120</v>
      </c>
      <c r="T35" s="133" t="s">
        <v>3297</v>
      </c>
      <c r="U35" s="133" t="s">
        <v>3345</v>
      </c>
      <c r="V35" s="133">
        <v>5120</v>
      </c>
      <c r="W35" s="133">
        <v>128</v>
      </c>
    </row>
    <row r="36" ht="28.35" customHeight="1" spans="1:23">
      <c r="A36" s="135" t="s">
        <v>3386</v>
      </c>
      <c r="B36" s="131" t="s">
        <v>3387</v>
      </c>
      <c r="C36" s="136" t="str">
        <f>VLOOKUP(A36,伤害计算器!$V$2:$Y$720,3,FALSE)</f>
        <v>ニドキング</v>
      </c>
      <c r="D36" s="136" t="str">
        <f>VLOOKUP(A36,伤害计算器!$V$2:$Y$720,4,FALSE)</f>
        <v>Nidoking</v>
      </c>
      <c r="E36" s="131" t="s">
        <v>3373</v>
      </c>
      <c r="F36" s="131" t="s">
        <v>3381</v>
      </c>
      <c r="G36" s="131" t="s">
        <v>41</v>
      </c>
      <c r="H36" s="138">
        <v>81</v>
      </c>
      <c r="I36" s="139">
        <v>102</v>
      </c>
      <c r="J36" s="140">
        <v>77</v>
      </c>
      <c r="K36" s="141">
        <v>85</v>
      </c>
      <c r="L36" s="142">
        <v>75</v>
      </c>
      <c r="M36" s="143">
        <v>85</v>
      </c>
      <c r="N36" s="144">
        <v>505</v>
      </c>
      <c r="O36" s="145" t="s">
        <v>270</v>
      </c>
      <c r="P36" s="133" t="s">
        <v>237</v>
      </c>
      <c r="Q36" s="147">
        <v>62</v>
      </c>
      <c r="R36" s="133">
        <v>100</v>
      </c>
      <c r="S36" s="148">
        <v>45</v>
      </c>
      <c r="T36" s="133" t="s">
        <v>3297</v>
      </c>
      <c r="U36" s="133" t="s">
        <v>3345</v>
      </c>
      <c r="V36" s="133">
        <v>5120</v>
      </c>
      <c r="W36" s="133">
        <v>223</v>
      </c>
    </row>
    <row r="37" ht="26.1" customHeight="1" spans="1:23">
      <c r="A37" s="135" t="s">
        <v>3388</v>
      </c>
      <c r="B37" s="131" t="s">
        <v>3389</v>
      </c>
      <c r="C37" s="136" t="str">
        <f>VLOOKUP(A37,伤害计算器!$V$2:$Y$720,3,FALSE)</f>
        <v>ピッピ</v>
      </c>
      <c r="D37" s="136" t="str">
        <f>VLOOKUP(A37,伤害计算器!$V$2:$Y$720,4,FALSE)</f>
        <v>Clefairy</v>
      </c>
      <c r="E37" s="131" t="s">
        <v>3390</v>
      </c>
      <c r="F37" s="131" t="s">
        <v>3391</v>
      </c>
      <c r="G37" s="131" t="s">
        <v>3392</v>
      </c>
      <c r="H37" s="138">
        <v>70</v>
      </c>
      <c r="I37" s="139">
        <v>45</v>
      </c>
      <c r="J37" s="140">
        <v>48</v>
      </c>
      <c r="K37" s="141">
        <v>60</v>
      </c>
      <c r="L37" s="142">
        <v>65</v>
      </c>
      <c r="M37" s="143">
        <v>35</v>
      </c>
      <c r="N37" s="144">
        <v>323</v>
      </c>
      <c r="O37" s="145" t="s">
        <v>98</v>
      </c>
      <c r="P37" s="133" t="s">
        <v>3295</v>
      </c>
      <c r="Q37" s="147">
        <v>7.5</v>
      </c>
      <c r="R37" s="133">
        <v>25</v>
      </c>
      <c r="S37" s="148">
        <v>150</v>
      </c>
      <c r="T37" s="133" t="s">
        <v>3362</v>
      </c>
      <c r="U37" s="133" t="s">
        <v>3320</v>
      </c>
      <c r="V37" s="133">
        <v>2560</v>
      </c>
      <c r="W37" s="133">
        <v>113</v>
      </c>
    </row>
    <row r="38" ht="28.35" customHeight="1" spans="1:23">
      <c r="A38" s="135" t="s">
        <v>3393</v>
      </c>
      <c r="B38" s="131" t="s">
        <v>3394</v>
      </c>
      <c r="C38" s="136" t="str">
        <f>VLOOKUP(A38,伤害计算器!$V$2:$Y$720,3,FALSE)</f>
        <v>ピクシー</v>
      </c>
      <c r="D38" s="136" t="str">
        <f>VLOOKUP(A38,伤害计算器!$V$2:$Y$720,4,FALSE)</f>
        <v>Clefable</v>
      </c>
      <c r="E38" s="131" t="s">
        <v>3390</v>
      </c>
      <c r="F38" s="131" t="s">
        <v>3391</v>
      </c>
      <c r="G38" s="131" t="s">
        <v>3395</v>
      </c>
      <c r="H38" s="138">
        <v>95</v>
      </c>
      <c r="I38" s="139">
        <v>70</v>
      </c>
      <c r="J38" s="140">
        <v>73</v>
      </c>
      <c r="K38" s="141">
        <v>95</v>
      </c>
      <c r="L38" s="142">
        <v>90</v>
      </c>
      <c r="M38" s="143">
        <v>60</v>
      </c>
      <c r="N38" s="144">
        <v>483</v>
      </c>
      <c r="O38" s="145" t="s">
        <v>98</v>
      </c>
      <c r="P38" s="133" t="s">
        <v>3295</v>
      </c>
      <c r="Q38" s="147">
        <v>40</v>
      </c>
      <c r="R38" s="133">
        <v>25</v>
      </c>
      <c r="S38" s="148">
        <v>25</v>
      </c>
      <c r="T38" s="133" t="s">
        <v>3362</v>
      </c>
      <c r="U38" s="133" t="s">
        <v>3320</v>
      </c>
      <c r="V38" s="133">
        <v>2560</v>
      </c>
      <c r="W38" s="133">
        <v>213</v>
      </c>
    </row>
    <row r="39" ht="26.85" customHeight="1" spans="1:23">
      <c r="A39" s="135" t="s">
        <v>3396</v>
      </c>
      <c r="B39" s="131" t="s">
        <v>3397</v>
      </c>
      <c r="C39" s="136" t="str">
        <f>VLOOKUP(A39,伤害计算器!$V$2:$Y$720,3,FALSE)</f>
        <v>ロコン</v>
      </c>
      <c r="D39" s="136" t="str">
        <f>VLOOKUP(A39,伤害计算器!$V$2:$Y$720,4,FALSE)</f>
        <v>Vulpix</v>
      </c>
      <c r="E39" s="131" t="s">
        <v>542</v>
      </c>
      <c r="F39" s="137" t="s">
        <v>3295</v>
      </c>
      <c r="G39" s="131" t="s">
        <v>3398</v>
      </c>
      <c r="H39" s="138">
        <v>38</v>
      </c>
      <c r="I39" s="139">
        <v>41</v>
      </c>
      <c r="J39" s="140">
        <v>40</v>
      </c>
      <c r="K39" s="141">
        <v>50</v>
      </c>
      <c r="L39" s="142">
        <v>65</v>
      </c>
      <c r="M39" s="143">
        <v>65</v>
      </c>
      <c r="N39" s="144">
        <v>299</v>
      </c>
      <c r="O39" s="145" t="s">
        <v>250</v>
      </c>
      <c r="P39" s="133" t="s">
        <v>3295</v>
      </c>
      <c r="Q39" s="147">
        <v>9.9</v>
      </c>
      <c r="R39" s="133">
        <v>25</v>
      </c>
      <c r="S39" s="148">
        <v>190</v>
      </c>
      <c r="T39" s="133" t="s">
        <v>3345</v>
      </c>
      <c r="U39" s="133" t="s">
        <v>3320</v>
      </c>
      <c r="V39" s="133">
        <v>5120</v>
      </c>
      <c r="W39" s="133">
        <v>60</v>
      </c>
    </row>
    <row r="40" ht="27.6" customHeight="1" spans="1:23">
      <c r="A40" s="135" t="s">
        <v>3399</v>
      </c>
      <c r="B40" s="131" t="s">
        <v>3400</v>
      </c>
      <c r="C40" s="136" t="str">
        <f>VLOOKUP(A40,伤害计算器!$V$2:$Y$720,3,FALSE)</f>
        <v>キュウコン</v>
      </c>
      <c r="D40" s="136" t="str">
        <f>VLOOKUP(A40,伤害计算器!$V$2:$Y$720,4,FALSE)</f>
        <v>Ninetales</v>
      </c>
      <c r="E40" s="131" t="s">
        <v>542</v>
      </c>
      <c r="F40" s="137" t="s">
        <v>3295</v>
      </c>
      <c r="G40" s="131" t="s">
        <v>3398</v>
      </c>
      <c r="H40" s="138">
        <v>73</v>
      </c>
      <c r="I40" s="139">
        <v>76</v>
      </c>
      <c r="J40" s="140">
        <v>75</v>
      </c>
      <c r="K40" s="141">
        <v>81</v>
      </c>
      <c r="L40" s="142">
        <v>100</v>
      </c>
      <c r="M40" s="143">
        <v>100</v>
      </c>
      <c r="N40" s="144">
        <v>505</v>
      </c>
      <c r="O40" s="145" t="s">
        <v>250</v>
      </c>
      <c r="P40" s="133" t="s">
        <v>3295</v>
      </c>
      <c r="Q40" s="147">
        <v>19.9</v>
      </c>
      <c r="R40" s="133">
        <v>25</v>
      </c>
      <c r="S40" s="148">
        <v>75</v>
      </c>
      <c r="T40" s="133" t="s">
        <v>3345</v>
      </c>
      <c r="U40" s="133" t="s">
        <v>3320</v>
      </c>
      <c r="V40" s="133">
        <v>5120</v>
      </c>
      <c r="W40" s="133">
        <v>177</v>
      </c>
    </row>
    <row r="41" ht="25.35" customHeight="1" spans="1:23">
      <c r="A41" s="135" t="s">
        <v>3401</v>
      </c>
      <c r="B41" s="131" t="s">
        <v>3402</v>
      </c>
      <c r="C41" s="136" t="str">
        <f>VLOOKUP(A41,伤害计算器!$V$2:$Y$720,3,FALSE)</f>
        <v>プリン</v>
      </c>
      <c r="D41" s="136" t="str">
        <f>VLOOKUP(A41,伤害计算器!$V$2:$Y$720,4,FALSE)</f>
        <v>Jigglypuff</v>
      </c>
      <c r="E41" s="131" t="s">
        <v>3390</v>
      </c>
      <c r="F41" s="131" t="s">
        <v>3403</v>
      </c>
      <c r="G41" s="131" t="s">
        <v>3392</v>
      </c>
      <c r="H41" s="138">
        <v>115</v>
      </c>
      <c r="I41" s="139">
        <v>45</v>
      </c>
      <c r="J41" s="140">
        <v>20</v>
      </c>
      <c r="K41" s="141">
        <v>45</v>
      </c>
      <c r="L41" s="142">
        <v>25</v>
      </c>
      <c r="M41" s="143">
        <v>20</v>
      </c>
      <c r="N41" s="144">
        <v>270</v>
      </c>
      <c r="O41" s="145" t="s">
        <v>267</v>
      </c>
      <c r="P41" s="133" t="s">
        <v>98</v>
      </c>
      <c r="Q41" s="147">
        <v>5.5</v>
      </c>
      <c r="R41" s="133">
        <v>25</v>
      </c>
      <c r="S41" s="148">
        <v>170</v>
      </c>
      <c r="T41" s="133" t="s">
        <v>3362</v>
      </c>
      <c r="U41" s="133" t="s">
        <v>3320</v>
      </c>
      <c r="V41" s="133">
        <v>2560</v>
      </c>
      <c r="W41" s="133">
        <v>95</v>
      </c>
    </row>
    <row r="42" ht="26" customHeight="1" spans="1:23">
      <c r="A42" s="135" t="s">
        <v>3404</v>
      </c>
      <c r="B42" s="131" t="s">
        <v>3405</v>
      </c>
      <c r="C42" s="136" t="str">
        <f>VLOOKUP(A42,伤害计算器!$V$2:$Y$720,3,FALSE)</f>
        <v>プクリン</v>
      </c>
      <c r="D42" s="136" t="str">
        <f>VLOOKUP(A42,伤害计算器!$V$2:$Y$720,4,FALSE)</f>
        <v>Wigglytuff</v>
      </c>
      <c r="E42" s="131" t="s">
        <v>3390</v>
      </c>
      <c r="F42" s="131" t="s">
        <v>3403</v>
      </c>
      <c r="G42" s="131" t="s">
        <v>3406</v>
      </c>
      <c r="H42" s="138">
        <v>140</v>
      </c>
      <c r="I42" s="139">
        <v>70</v>
      </c>
      <c r="J42" s="140">
        <v>45</v>
      </c>
      <c r="K42" s="141">
        <v>85</v>
      </c>
      <c r="L42" s="142">
        <v>50</v>
      </c>
      <c r="M42" s="143">
        <v>45</v>
      </c>
      <c r="N42" s="144">
        <v>435</v>
      </c>
      <c r="O42" s="145" t="s">
        <v>267</v>
      </c>
      <c r="P42" s="133" t="s">
        <v>98</v>
      </c>
      <c r="Q42" s="147">
        <v>12</v>
      </c>
      <c r="R42" s="133">
        <v>25</v>
      </c>
      <c r="S42" s="148">
        <v>50</v>
      </c>
      <c r="T42" s="133" t="s">
        <v>3362</v>
      </c>
      <c r="U42" s="133" t="s">
        <v>3320</v>
      </c>
      <c r="V42" s="133">
        <v>2560</v>
      </c>
      <c r="W42" s="133">
        <v>191</v>
      </c>
    </row>
    <row r="43" ht="27.6" customHeight="1" spans="1:23">
      <c r="A43" s="135" t="s">
        <v>3407</v>
      </c>
      <c r="B43" s="131" t="s">
        <v>3408</v>
      </c>
      <c r="C43" s="136" t="str">
        <f>VLOOKUP(A43,伤害计算器!$V$2:$Y$720,3,FALSE)</f>
        <v>ズバット</v>
      </c>
      <c r="D43" s="136" t="str">
        <f>VLOOKUP(A43,伤害计算器!$V$2:$Y$720,4,FALSE)</f>
        <v>Zubat</v>
      </c>
      <c r="E43" s="131" t="s">
        <v>3409</v>
      </c>
      <c r="F43" s="137" t="s">
        <v>3295</v>
      </c>
      <c r="G43" s="131" t="s">
        <v>3410</v>
      </c>
      <c r="H43" s="138">
        <v>40</v>
      </c>
      <c r="I43" s="139">
        <v>45</v>
      </c>
      <c r="J43" s="140">
        <v>35</v>
      </c>
      <c r="K43" s="141">
        <v>30</v>
      </c>
      <c r="L43" s="142">
        <v>40</v>
      </c>
      <c r="M43" s="143">
        <v>55</v>
      </c>
      <c r="N43" s="144">
        <v>245</v>
      </c>
      <c r="O43" s="145" t="s">
        <v>270</v>
      </c>
      <c r="P43" s="133" t="s">
        <v>99</v>
      </c>
      <c r="Q43" s="147">
        <v>7.5</v>
      </c>
      <c r="R43" s="133">
        <v>50</v>
      </c>
      <c r="S43" s="148">
        <v>255</v>
      </c>
      <c r="T43" s="133" t="s">
        <v>3338</v>
      </c>
      <c r="U43" s="133" t="s">
        <v>3320</v>
      </c>
      <c r="V43" s="133">
        <v>3840</v>
      </c>
      <c r="W43" s="133">
        <v>49</v>
      </c>
    </row>
    <row r="44" ht="26.1" customHeight="1" spans="1:23">
      <c r="A44" s="135" t="s">
        <v>3411</v>
      </c>
      <c r="B44" s="131" t="s">
        <v>3412</v>
      </c>
      <c r="C44" s="136" t="str">
        <f>VLOOKUP(A44,伤害计算器!$V$2:$Y$720,3,FALSE)</f>
        <v>ゴルバット</v>
      </c>
      <c r="D44" s="136" t="str">
        <f>VLOOKUP(A44,伤害计算器!$V$2:$Y$720,4,FALSE)</f>
        <v>Golbat</v>
      </c>
      <c r="E44" s="131" t="s">
        <v>3409</v>
      </c>
      <c r="F44" s="137" t="s">
        <v>3295</v>
      </c>
      <c r="G44" s="131" t="s">
        <v>3410</v>
      </c>
      <c r="H44" s="138">
        <v>75</v>
      </c>
      <c r="I44" s="139">
        <v>80</v>
      </c>
      <c r="J44" s="140">
        <v>70</v>
      </c>
      <c r="K44" s="141">
        <v>65</v>
      </c>
      <c r="L44" s="142">
        <v>75</v>
      </c>
      <c r="M44" s="143">
        <v>90</v>
      </c>
      <c r="N44" s="144">
        <v>455</v>
      </c>
      <c r="O44" s="145" t="s">
        <v>270</v>
      </c>
      <c r="P44" s="133" t="s">
        <v>99</v>
      </c>
      <c r="Q44" s="147">
        <v>55</v>
      </c>
      <c r="R44" s="133">
        <v>50</v>
      </c>
      <c r="S44" s="148">
        <v>90</v>
      </c>
      <c r="T44" s="133" t="s">
        <v>3338</v>
      </c>
      <c r="U44" s="133" t="s">
        <v>3320</v>
      </c>
      <c r="V44" s="133">
        <v>3840</v>
      </c>
      <c r="W44" s="133">
        <v>159</v>
      </c>
    </row>
    <row r="45" ht="26.85" customHeight="1" spans="1:23">
      <c r="A45" s="135" t="s">
        <v>3413</v>
      </c>
      <c r="B45" s="131" t="s">
        <v>3414</v>
      </c>
      <c r="C45" s="136" t="str">
        <f>VLOOKUP(A45,伤害计算器!$V$2:$Y$720,3,FALSE)</f>
        <v>ナゾノクサ</v>
      </c>
      <c r="D45" s="136" t="str">
        <f>VLOOKUP(A45,伤害计算器!$V$2:$Y$720,4,FALSE)</f>
        <v>Oddish</v>
      </c>
      <c r="E45" s="131" t="s">
        <v>3296</v>
      </c>
      <c r="F45" s="137" t="s">
        <v>3295</v>
      </c>
      <c r="G45" s="131" t="s">
        <v>3319</v>
      </c>
      <c r="H45" s="138">
        <v>45</v>
      </c>
      <c r="I45" s="139">
        <v>50</v>
      </c>
      <c r="J45" s="140">
        <v>55</v>
      </c>
      <c r="K45" s="141">
        <v>75</v>
      </c>
      <c r="L45" s="142">
        <v>65</v>
      </c>
      <c r="M45" s="143">
        <v>30</v>
      </c>
      <c r="N45" s="144">
        <v>320</v>
      </c>
      <c r="O45" s="145" t="s">
        <v>235</v>
      </c>
      <c r="P45" s="133" t="s">
        <v>270</v>
      </c>
      <c r="Q45" s="147">
        <v>5.4</v>
      </c>
      <c r="R45" s="133">
        <v>50</v>
      </c>
      <c r="S45" s="148">
        <v>255</v>
      </c>
      <c r="T45" s="133" t="s">
        <v>3298</v>
      </c>
      <c r="U45" s="133" t="s">
        <v>3320</v>
      </c>
      <c r="V45" s="133">
        <v>5120</v>
      </c>
      <c r="W45" s="133">
        <v>64</v>
      </c>
    </row>
    <row r="46" ht="24.6" customHeight="1" spans="1:23">
      <c r="A46" s="135" t="s">
        <v>3415</v>
      </c>
      <c r="B46" s="131" t="s">
        <v>3416</v>
      </c>
      <c r="C46" s="136" t="str">
        <f>VLOOKUP(A46,伤害计算器!$V$2:$Y$720,3,FALSE)</f>
        <v>クサイハナ</v>
      </c>
      <c r="D46" s="136" t="str">
        <f>VLOOKUP(A46,伤害计算器!$V$2:$Y$720,4,FALSE)</f>
        <v>Gloom</v>
      </c>
      <c r="E46" s="131" t="s">
        <v>3296</v>
      </c>
      <c r="F46" s="137" t="s">
        <v>3295</v>
      </c>
      <c r="G46" s="131" t="s">
        <v>3417</v>
      </c>
      <c r="H46" s="138">
        <v>60</v>
      </c>
      <c r="I46" s="139">
        <v>65</v>
      </c>
      <c r="J46" s="140">
        <v>70</v>
      </c>
      <c r="K46" s="141">
        <v>85</v>
      </c>
      <c r="L46" s="142">
        <v>75</v>
      </c>
      <c r="M46" s="143">
        <v>40</v>
      </c>
      <c r="N46" s="144">
        <v>395</v>
      </c>
      <c r="O46" s="145" t="s">
        <v>235</v>
      </c>
      <c r="P46" s="133" t="s">
        <v>270</v>
      </c>
      <c r="Q46" s="147">
        <v>8.6</v>
      </c>
      <c r="R46" s="133">
        <v>50</v>
      </c>
      <c r="S46" s="148">
        <v>120</v>
      </c>
      <c r="T46" s="133" t="s">
        <v>3298</v>
      </c>
      <c r="U46" s="133" t="s">
        <v>3320</v>
      </c>
      <c r="V46" s="133">
        <v>5120</v>
      </c>
      <c r="W46" s="133">
        <v>138</v>
      </c>
    </row>
    <row r="47" ht="26.1" customHeight="1" spans="1:23">
      <c r="A47" s="135" t="s">
        <v>3418</v>
      </c>
      <c r="B47" s="131" t="s">
        <v>3419</v>
      </c>
      <c r="C47" s="136" t="str">
        <f>VLOOKUP(A47,伤害计算器!$V$2:$Y$720,3,FALSE)</f>
        <v>ラフレシア</v>
      </c>
      <c r="D47" s="136" t="str">
        <f>VLOOKUP(A47,伤害计算器!$V$2:$Y$720,4,FALSE)</f>
        <v>Vileplume</v>
      </c>
      <c r="E47" s="131" t="s">
        <v>3296</v>
      </c>
      <c r="F47" s="137" t="s">
        <v>3295</v>
      </c>
      <c r="G47" s="131" t="s">
        <v>3420</v>
      </c>
      <c r="H47" s="138">
        <v>75</v>
      </c>
      <c r="I47" s="139">
        <v>80</v>
      </c>
      <c r="J47" s="140">
        <v>85</v>
      </c>
      <c r="K47" s="141">
        <v>110</v>
      </c>
      <c r="L47" s="142">
        <v>90</v>
      </c>
      <c r="M47" s="143">
        <v>50</v>
      </c>
      <c r="N47" s="144">
        <v>490</v>
      </c>
      <c r="O47" s="145" t="s">
        <v>235</v>
      </c>
      <c r="P47" s="133" t="s">
        <v>270</v>
      </c>
      <c r="Q47" s="147">
        <v>18.6</v>
      </c>
      <c r="R47" s="133">
        <v>50</v>
      </c>
      <c r="S47" s="148">
        <v>45</v>
      </c>
      <c r="T47" s="133" t="s">
        <v>3298</v>
      </c>
      <c r="U47" s="133" t="s">
        <v>3320</v>
      </c>
      <c r="V47" s="133">
        <v>5120</v>
      </c>
      <c r="W47" s="133">
        <v>216</v>
      </c>
    </row>
    <row r="48" ht="29.1" customHeight="1" spans="1:23">
      <c r="A48" s="135" t="s">
        <v>3421</v>
      </c>
      <c r="B48" s="131" t="s">
        <v>3422</v>
      </c>
      <c r="C48" s="136" t="str">
        <f>VLOOKUP(A48,伤害计算器!$V$2:$Y$720,3,FALSE)</f>
        <v>パラス</v>
      </c>
      <c r="D48" s="136" t="str">
        <f>VLOOKUP(A48,伤害计算器!$V$2:$Y$720,4,FALSE)</f>
        <v>Paras</v>
      </c>
      <c r="E48" s="131" t="s">
        <v>3420</v>
      </c>
      <c r="F48" s="131" t="s">
        <v>3423</v>
      </c>
      <c r="G48" s="131" t="s">
        <v>3424</v>
      </c>
      <c r="H48" s="138">
        <v>35</v>
      </c>
      <c r="I48" s="139">
        <v>70</v>
      </c>
      <c r="J48" s="140">
        <v>55</v>
      </c>
      <c r="K48" s="141">
        <v>45</v>
      </c>
      <c r="L48" s="142">
        <v>55</v>
      </c>
      <c r="M48" s="143">
        <v>25</v>
      </c>
      <c r="N48" s="144">
        <v>285</v>
      </c>
      <c r="O48" s="145" t="s">
        <v>272</v>
      </c>
      <c r="P48" s="133" t="s">
        <v>235</v>
      </c>
      <c r="Q48" s="147">
        <v>5.4</v>
      </c>
      <c r="R48" s="133">
        <v>50</v>
      </c>
      <c r="S48" s="148">
        <v>190</v>
      </c>
      <c r="T48" s="133" t="s">
        <v>272</v>
      </c>
      <c r="U48" s="133" t="s">
        <v>3298</v>
      </c>
      <c r="V48" s="133">
        <v>5120</v>
      </c>
      <c r="W48" s="133">
        <v>57</v>
      </c>
    </row>
    <row r="49" ht="28.35" customHeight="1" spans="1:23">
      <c r="A49" s="135" t="s">
        <v>3425</v>
      </c>
      <c r="B49" s="131" t="s">
        <v>3426</v>
      </c>
      <c r="C49" s="136" t="str">
        <f>VLOOKUP(A49,伤害计算器!$V$2:$Y$720,3,FALSE)</f>
        <v>パラセクト</v>
      </c>
      <c r="D49" s="136" t="str">
        <f>VLOOKUP(A49,伤害计算器!$V$2:$Y$720,4,FALSE)</f>
        <v>Parasect</v>
      </c>
      <c r="E49" s="131" t="s">
        <v>3420</v>
      </c>
      <c r="F49" s="131" t="s">
        <v>3423</v>
      </c>
      <c r="G49" s="131" t="s">
        <v>3424</v>
      </c>
      <c r="H49" s="138">
        <v>60</v>
      </c>
      <c r="I49" s="139">
        <v>95</v>
      </c>
      <c r="J49" s="140">
        <v>80</v>
      </c>
      <c r="K49" s="141">
        <v>60</v>
      </c>
      <c r="L49" s="142">
        <v>80</v>
      </c>
      <c r="M49" s="143">
        <v>30</v>
      </c>
      <c r="N49" s="144">
        <v>405</v>
      </c>
      <c r="O49" s="145" t="s">
        <v>272</v>
      </c>
      <c r="P49" s="133" t="s">
        <v>235</v>
      </c>
      <c r="Q49" s="147">
        <v>29.5</v>
      </c>
      <c r="R49" s="133">
        <v>50</v>
      </c>
      <c r="S49" s="148">
        <v>75</v>
      </c>
      <c r="T49" s="133" t="s">
        <v>272</v>
      </c>
      <c r="U49" s="133" t="s">
        <v>3298</v>
      </c>
      <c r="V49" s="133">
        <v>5120</v>
      </c>
      <c r="W49" s="133">
        <v>142</v>
      </c>
    </row>
    <row r="50" ht="26.1" customHeight="1" spans="1:23">
      <c r="A50" s="135" t="s">
        <v>3427</v>
      </c>
      <c r="B50" s="131" t="s">
        <v>3428</v>
      </c>
      <c r="C50" s="136" t="str">
        <f>VLOOKUP(A50,伤害计算器!$V$2:$Y$720,3,FALSE)</f>
        <v>コンパン</v>
      </c>
      <c r="D50" s="136" t="str">
        <f>VLOOKUP(A50,伤害计算器!$V$2:$Y$720,4,FALSE)</f>
        <v>Venonat</v>
      </c>
      <c r="E50" s="131" t="s">
        <v>67</v>
      </c>
      <c r="F50" s="131" t="s">
        <v>64</v>
      </c>
      <c r="G50" s="131" t="s">
        <v>3319</v>
      </c>
      <c r="H50" s="138">
        <v>60</v>
      </c>
      <c r="I50" s="139">
        <v>55</v>
      </c>
      <c r="J50" s="140">
        <v>50</v>
      </c>
      <c r="K50" s="141">
        <v>40</v>
      </c>
      <c r="L50" s="142">
        <v>55</v>
      </c>
      <c r="M50" s="143">
        <v>45</v>
      </c>
      <c r="N50" s="144">
        <v>305</v>
      </c>
      <c r="O50" s="145" t="s">
        <v>272</v>
      </c>
      <c r="P50" s="133" t="s">
        <v>270</v>
      </c>
      <c r="Q50" s="147">
        <v>30</v>
      </c>
      <c r="R50" s="133">
        <v>50</v>
      </c>
      <c r="S50" s="148">
        <v>190</v>
      </c>
      <c r="T50" s="133" t="s">
        <v>272</v>
      </c>
      <c r="U50" s="133" t="s">
        <v>3320</v>
      </c>
      <c r="V50" s="133">
        <v>5120</v>
      </c>
      <c r="W50" s="133">
        <v>61</v>
      </c>
    </row>
    <row r="51" ht="27.6" customHeight="1" spans="1:23">
      <c r="A51" s="135" t="s">
        <v>3429</v>
      </c>
      <c r="B51" s="131" t="s">
        <v>3430</v>
      </c>
      <c r="C51" s="136" t="str">
        <f>VLOOKUP(A51,伤害计算器!$V$2:$Y$720,3,FALSE)</f>
        <v>モルフォン</v>
      </c>
      <c r="D51" s="136" t="str">
        <f>VLOOKUP(A51,伤害计算器!$V$2:$Y$720,4,FALSE)</f>
        <v>Venomoth</v>
      </c>
      <c r="E51" s="131" t="s">
        <v>3318</v>
      </c>
      <c r="F51" s="131" t="s">
        <v>64</v>
      </c>
      <c r="G51" s="131" t="s">
        <v>3431</v>
      </c>
      <c r="H51" s="138">
        <v>70</v>
      </c>
      <c r="I51" s="139">
        <v>65</v>
      </c>
      <c r="J51" s="140">
        <v>60</v>
      </c>
      <c r="K51" s="141">
        <v>90</v>
      </c>
      <c r="L51" s="142">
        <v>75</v>
      </c>
      <c r="M51" s="143">
        <v>90</v>
      </c>
      <c r="N51" s="144">
        <v>450</v>
      </c>
      <c r="O51" s="145" t="s">
        <v>272</v>
      </c>
      <c r="P51" s="133" t="s">
        <v>270</v>
      </c>
      <c r="Q51" s="147">
        <v>12.5</v>
      </c>
      <c r="R51" s="133">
        <v>50</v>
      </c>
      <c r="S51" s="148">
        <v>75</v>
      </c>
      <c r="T51" s="133" t="s">
        <v>272</v>
      </c>
      <c r="U51" s="133" t="s">
        <v>3320</v>
      </c>
      <c r="V51" s="133">
        <v>5120</v>
      </c>
      <c r="W51" s="133">
        <v>158</v>
      </c>
    </row>
    <row r="52" ht="25.35" customHeight="1" spans="1:23">
      <c r="A52" s="135" t="s">
        <v>3432</v>
      </c>
      <c r="B52" s="131" t="s">
        <v>3433</v>
      </c>
      <c r="C52" s="136" t="str">
        <f>VLOOKUP(A52,伤害计算器!$V$2:$Y$720,3,FALSE)</f>
        <v>ディグダ</v>
      </c>
      <c r="D52" s="136" t="str">
        <f>VLOOKUP(A52,伤害计算器!$V$2:$Y$720,4,FALSE)</f>
        <v>Diglett</v>
      </c>
      <c r="E52" s="131" t="s">
        <v>80</v>
      </c>
      <c r="F52" s="131" t="s">
        <v>3434</v>
      </c>
      <c r="G52" s="131" t="s">
        <v>40</v>
      </c>
      <c r="H52" s="138">
        <v>10</v>
      </c>
      <c r="I52" s="139">
        <v>55</v>
      </c>
      <c r="J52" s="140">
        <v>25</v>
      </c>
      <c r="K52" s="141">
        <v>35</v>
      </c>
      <c r="L52" s="142">
        <v>45</v>
      </c>
      <c r="M52" s="143">
        <v>95</v>
      </c>
      <c r="N52" s="144">
        <v>265</v>
      </c>
      <c r="O52" s="145" t="s">
        <v>237</v>
      </c>
      <c r="P52" s="133" t="s">
        <v>3295</v>
      </c>
      <c r="Q52" s="147">
        <v>0.8</v>
      </c>
      <c r="R52" s="133">
        <v>50</v>
      </c>
      <c r="S52" s="148">
        <v>255</v>
      </c>
      <c r="T52" s="133" t="s">
        <v>3345</v>
      </c>
      <c r="U52" s="133" t="s">
        <v>3320</v>
      </c>
      <c r="V52" s="133">
        <v>5120</v>
      </c>
      <c r="W52" s="133">
        <v>53</v>
      </c>
    </row>
    <row r="53" ht="26.1" customHeight="1" spans="1:23">
      <c r="A53" s="135" t="s">
        <v>3435</v>
      </c>
      <c r="B53" s="131" t="s">
        <v>3436</v>
      </c>
      <c r="C53" s="136" t="str">
        <f>VLOOKUP(A53,伤害计算器!$V$2:$Y$720,3,FALSE)</f>
        <v>ダグトリオ</v>
      </c>
      <c r="D53" s="136" t="str">
        <f>VLOOKUP(A53,伤害计算器!$V$2:$Y$720,4,FALSE)</f>
        <v>Dugtrio</v>
      </c>
      <c r="E53" s="131" t="s">
        <v>80</v>
      </c>
      <c r="F53" s="131" t="s">
        <v>3437</v>
      </c>
      <c r="G53" s="131" t="s">
        <v>3438</v>
      </c>
      <c r="H53" s="138">
        <v>35</v>
      </c>
      <c r="I53" s="139">
        <v>80</v>
      </c>
      <c r="J53" s="140">
        <v>50</v>
      </c>
      <c r="K53" s="141">
        <v>50</v>
      </c>
      <c r="L53" s="142">
        <v>70</v>
      </c>
      <c r="M53" s="143">
        <v>120</v>
      </c>
      <c r="N53" s="144">
        <v>405</v>
      </c>
      <c r="O53" s="145" t="s">
        <v>237</v>
      </c>
      <c r="P53" s="133" t="s">
        <v>3295</v>
      </c>
      <c r="Q53" s="147">
        <v>33.3</v>
      </c>
      <c r="R53" s="133">
        <v>50</v>
      </c>
      <c r="S53" s="148">
        <v>50</v>
      </c>
      <c r="T53" s="133" t="s">
        <v>3345</v>
      </c>
      <c r="U53" s="133" t="s">
        <v>3320</v>
      </c>
      <c r="V53" s="133">
        <v>5120</v>
      </c>
      <c r="W53" s="133">
        <v>142</v>
      </c>
    </row>
    <row r="54" ht="28.35" customHeight="1" spans="1:23">
      <c r="A54" s="135" t="s">
        <v>3439</v>
      </c>
      <c r="B54" s="131" t="s">
        <v>3440</v>
      </c>
      <c r="C54" s="136" t="str">
        <f>VLOOKUP(A54,伤害计算器!$V$2:$Y$720,3,FALSE)</f>
        <v>ニャース</v>
      </c>
      <c r="D54" s="136" t="str">
        <f>VLOOKUP(A54,伤害计算器!$V$2:$Y$720,4,FALSE)</f>
        <v>Meowth</v>
      </c>
      <c r="E54" s="131" t="s">
        <v>3441</v>
      </c>
      <c r="F54" s="131" t="s">
        <v>36</v>
      </c>
      <c r="G54" s="131" t="s">
        <v>3355</v>
      </c>
      <c r="H54" s="138">
        <v>40</v>
      </c>
      <c r="I54" s="139">
        <v>45</v>
      </c>
      <c r="J54" s="140">
        <v>35</v>
      </c>
      <c r="K54" s="141">
        <v>40</v>
      </c>
      <c r="L54" s="142">
        <v>40</v>
      </c>
      <c r="M54" s="143">
        <v>90</v>
      </c>
      <c r="N54" s="144">
        <v>290</v>
      </c>
      <c r="O54" s="145" t="s">
        <v>267</v>
      </c>
      <c r="P54" s="133" t="s">
        <v>3295</v>
      </c>
      <c r="Q54" s="147">
        <v>4.2</v>
      </c>
      <c r="R54" s="133">
        <v>50</v>
      </c>
      <c r="S54" s="148">
        <v>255</v>
      </c>
      <c r="T54" s="133" t="s">
        <v>3345</v>
      </c>
      <c r="U54" s="133" t="s">
        <v>3320</v>
      </c>
      <c r="V54" s="133">
        <v>5120</v>
      </c>
      <c r="W54" s="133">
        <v>58</v>
      </c>
    </row>
    <row r="55" ht="27.6" customHeight="1" spans="1:23">
      <c r="A55" s="135" t="s">
        <v>3442</v>
      </c>
      <c r="B55" s="131" t="s">
        <v>3443</v>
      </c>
      <c r="C55" s="136" t="str">
        <f>VLOOKUP(A55,伤害计算器!$V$2:$Y$720,3,FALSE)</f>
        <v>ペルシアン</v>
      </c>
      <c r="D55" s="136" t="str">
        <f>VLOOKUP(A55,伤害计算器!$V$2:$Y$720,4,FALSE)</f>
        <v>Persian</v>
      </c>
      <c r="E55" s="131" t="s">
        <v>3444</v>
      </c>
      <c r="F55" s="131" t="s">
        <v>3445</v>
      </c>
      <c r="G55" s="131" t="s">
        <v>3358</v>
      </c>
      <c r="H55" s="138">
        <v>65</v>
      </c>
      <c r="I55" s="139">
        <v>70</v>
      </c>
      <c r="J55" s="140">
        <v>60</v>
      </c>
      <c r="K55" s="141">
        <v>65</v>
      </c>
      <c r="L55" s="142">
        <v>65</v>
      </c>
      <c r="M55" s="143">
        <v>115</v>
      </c>
      <c r="N55" s="144">
        <v>440</v>
      </c>
      <c r="O55" s="145" t="s">
        <v>267</v>
      </c>
      <c r="P55" s="133" t="s">
        <v>3295</v>
      </c>
      <c r="Q55" s="147">
        <v>32</v>
      </c>
      <c r="R55" s="133">
        <v>50</v>
      </c>
      <c r="S55" s="148">
        <v>90</v>
      </c>
      <c r="T55" s="133" t="s">
        <v>3345</v>
      </c>
      <c r="U55" s="133" t="s">
        <v>3320</v>
      </c>
      <c r="V55" s="133">
        <v>5120</v>
      </c>
      <c r="W55" s="133">
        <v>154</v>
      </c>
    </row>
    <row r="56" ht="36" customHeight="1" spans="1:23">
      <c r="A56" s="135" t="s">
        <v>3446</v>
      </c>
      <c r="B56" s="131" t="s">
        <v>3447</v>
      </c>
      <c r="C56" s="136" t="str">
        <f>VLOOKUP(A56,伤害计算器!$V$2:$Y$720,3,FALSE)</f>
        <v>コダック</v>
      </c>
      <c r="D56" s="136" t="str">
        <f>VLOOKUP(A56,伤害计算器!$V$2:$Y$720,4,FALSE)</f>
        <v>Psyduck</v>
      </c>
      <c r="E56" s="131" t="s">
        <v>3424</v>
      </c>
      <c r="F56" s="131" t="s">
        <v>220</v>
      </c>
      <c r="G56" s="131" t="s">
        <v>3448</v>
      </c>
      <c r="H56" s="138">
        <v>50</v>
      </c>
      <c r="I56" s="139">
        <v>52</v>
      </c>
      <c r="J56" s="140">
        <v>48</v>
      </c>
      <c r="K56" s="141">
        <v>65</v>
      </c>
      <c r="L56" s="142">
        <v>50</v>
      </c>
      <c r="M56" s="143">
        <v>55</v>
      </c>
      <c r="N56" s="144">
        <v>320</v>
      </c>
      <c r="O56" s="145" t="s">
        <v>251</v>
      </c>
      <c r="P56" s="133" t="s">
        <v>3295</v>
      </c>
      <c r="Q56" s="147">
        <v>19.6</v>
      </c>
      <c r="R56" s="133">
        <v>50</v>
      </c>
      <c r="S56" s="148">
        <v>190</v>
      </c>
      <c r="T56" s="133" t="s">
        <v>251</v>
      </c>
      <c r="U56" s="133" t="s">
        <v>3345</v>
      </c>
      <c r="V56" s="133">
        <v>5120</v>
      </c>
      <c r="W56" s="133">
        <v>64</v>
      </c>
    </row>
    <row r="57" ht="29.1" customHeight="1" spans="1:23">
      <c r="A57" s="135" t="s">
        <v>3449</v>
      </c>
      <c r="B57" s="131" t="s">
        <v>3450</v>
      </c>
      <c r="C57" s="136" t="str">
        <f>VLOOKUP(A57,伤害计算器!$V$2:$Y$720,3,FALSE)</f>
        <v>ゴルダック</v>
      </c>
      <c r="D57" s="136" t="str">
        <f>VLOOKUP(A57,伤害计算器!$V$2:$Y$720,4,FALSE)</f>
        <v>Golduck</v>
      </c>
      <c r="E57" s="131" t="s">
        <v>3424</v>
      </c>
      <c r="F57" s="131" t="s">
        <v>220</v>
      </c>
      <c r="G57" s="131" t="s">
        <v>3448</v>
      </c>
      <c r="H57" s="138">
        <v>80</v>
      </c>
      <c r="I57" s="139">
        <v>82</v>
      </c>
      <c r="J57" s="140">
        <v>78</v>
      </c>
      <c r="K57" s="141">
        <v>95</v>
      </c>
      <c r="L57" s="142">
        <v>80</v>
      </c>
      <c r="M57" s="143">
        <v>85</v>
      </c>
      <c r="N57" s="144">
        <v>500</v>
      </c>
      <c r="O57" s="145" t="s">
        <v>251</v>
      </c>
      <c r="P57" s="133" t="s">
        <v>3295</v>
      </c>
      <c r="Q57" s="147">
        <v>76.6</v>
      </c>
      <c r="R57" s="133">
        <v>50</v>
      </c>
      <c r="S57" s="148">
        <v>75</v>
      </c>
      <c r="T57" s="133" t="s">
        <v>251</v>
      </c>
      <c r="U57" s="133" t="s">
        <v>3345</v>
      </c>
      <c r="V57" s="133">
        <v>5120</v>
      </c>
      <c r="W57" s="133">
        <v>175</v>
      </c>
    </row>
    <row r="58" ht="24.6" customHeight="1" spans="1:23">
      <c r="A58" s="135" t="s">
        <v>3451</v>
      </c>
      <c r="B58" s="131" t="s">
        <v>3452</v>
      </c>
      <c r="C58" s="136" t="str">
        <f>VLOOKUP(A58,伤害计算器!$V$2:$Y$720,3,FALSE)</f>
        <v>マンキー</v>
      </c>
      <c r="D58" s="136" t="str">
        <f>VLOOKUP(A58,伤害计算器!$V$2:$Y$720,4,FALSE)</f>
        <v>Mankey</v>
      </c>
      <c r="E58" s="131" t="s">
        <v>3453</v>
      </c>
      <c r="F58" s="131" t="s">
        <v>3454</v>
      </c>
      <c r="G58" s="131" t="s">
        <v>3455</v>
      </c>
      <c r="H58" s="138">
        <v>40</v>
      </c>
      <c r="I58" s="139">
        <v>80</v>
      </c>
      <c r="J58" s="140">
        <v>35</v>
      </c>
      <c r="K58" s="141">
        <v>35</v>
      </c>
      <c r="L58" s="142">
        <v>45</v>
      </c>
      <c r="M58" s="143">
        <v>70</v>
      </c>
      <c r="N58" s="144">
        <v>305</v>
      </c>
      <c r="O58" s="145" t="s">
        <v>269</v>
      </c>
      <c r="P58" s="133" t="s">
        <v>3295</v>
      </c>
      <c r="Q58" s="147">
        <v>28</v>
      </c>
      <c r="R58" s="133">
        <v>50</v>
      </c>
      <c r="S58" s="148">
        <v>190</v>
      </c>
      <c r="T58" s="133" t="s">
        <v>3345</v>
      </c>
      <c r="U58" s="133" t="s">
        <v>3320</v>
      </c>
      <c r="V58" s="133">
        <v>5120</v>
      </c>
      <c r="W58" s="133">
        <v>61</v>
      </c>
    </row>
    <row r="59" ht="28.35" customHeight="1" spans="1:23">
      <c r="A59" s="135" t="s">
        <v>3456</v>
      </c>
      <c r="B59" s="131" t="s">
        <v>3457</v>
      </c>
      <c r="C59" s="136" t="str">
        <f>VLOOKUP(A59,伤害计算器!$V$2:$Y$720,3,FALSE)</f>
        <v>オコリザル</v>
      </c>
      <c r="D59" s="136" t="str">
        <f>VLOOKUP(A59,伤害计算器!$V$2:$Y$720,4,FALSE)</f>
        <v>Primeape</v>
      </c>
      <c r="E59" s="131" t="s">
        <v>3453</v>
      </c>
      <c r="F59" s="131" t="s">
        <v>3454</v>
      </c>
      <c r="G59" s="131" t="s">
        <v>3455</v>
      </c>
      <c r="H59" s="138">
        <v>65</v>
      </c>
      <c r="I59" s="139">
        <v>105</v>
      </c>
      <c r="J59" s="140">
        <v>60</v>
      </c>
      <c r="K59" s="141">
        <v>60</v>
      </c>
      <c r="L59" s="142">
        <v>70</v>
      </c>
      <c r="M59" s="143">
        <v>95</v>
      </c>
      <c r="N59" s="144">
        <v>455</v>
      </c>
      <c r="O59" s="145" t="s">
        <v>269</v>
      </c>
      <c r="P59" s="133" t="s">
        <v>3295</v>
      </c>
      <c r="Q59" s="147">
        <v>32</v>
      </c>
      <c r="R59" s="133">
        <v>50</v>
      </c>
      <c r="S59" s="148">
        <v>75</v>
      </c>
      <c r="T59" s="133" t="s">
        <v>3345</v>
      </c>
      <c r="U59" s="133" t="s">
        <v>3320</v>
      </c>
      <c r="V59" s="133">
        <v>5120</v>
      </c>
      <c r="W59" s="133">
        <v>159</v>
      </c>
    </row>
    <row r="60" ht="26.85" customHeight="1" spans="1:23">
      <c r="A60" s="135" t="s">
        <v>3458</v>
      </c>
      <c r="B60" s="131" t="s">
        <v>3459</v>
      </c>
      <c r="C60" s="136" t="str">
        <f>VLOOKUP(A60,伤害计算器!$V$2:$Y$720,3,FALSE)</f>
        <v>ガーディ</v>
      </c>
      <c r="D60" s="136" t="str">
        <f>VLOOKUP(A60,伤害计算器!$V$2:$Y$720,4,FALSE)</f>
        <v>Growlithe</v>
      </c>
      <c r="E60" s="131" t="s">
        <v>3354</v>
      </c>
      <c r="F60" s="131" t="s">
        <v>542</v>
      </c>
      <c r="G60" s="131" t="s">
        <v>3460</v>
      </c>
      <c r="H60" s="138">
        <v>55</v>
      </c>
      <c r="I60" s="139">
        <v>70</v>
      </c>
      <c r="J60" s="140">
        <v>45</v>
      </c>
      <c r="K60" s="141">
        <v>70</v>
      </c>
      <c r="L60" s="142">
        <v>50</v>
      </c>
      <c r="M60" s="143">
        <v>60</v>
      </c>
      <c r="N60" s="144">
        <v>350</v>
      </c>
      <c r="O60" s="145" t="s">
        <v>250</v>
      </c>
      <c r="P60" s="133" t="s">
        <v>3295</v>
      </c>
      <c r="Q60" s="147">
        <v>19</v>
      </c>
      <c r="R60" s="133">
        <v>50</v>
      </c>
      <c r="S60" s="148">
        <v>190</v>
      </c>
      <c r="T60" s="133" t="s">
        <v>3345</v>
      </c>
      <c r="U60" s="133" t="s">
        <v>3320</v>
      </c>
      <c r="V60" s="133">
        <v>5120</v>
      </c>
      <c r="W60" s="133">
        <v>70</v>
      </c>
    </row>
    <row r="61" ht="26.85" customHeight="1" spans="1:23">
      <c r="A61" s="135" t="s">
        <v>3461</v>
      </c>
      <c r="B61" s="131" t="s">
        <v>3462</v>
      </c>
      <c r="C61" s="136" t="str">
        <f>VLOOKUP(A61,伤害计算器!$V$2:$Y$720,3,FALSE)</f>
        <v>ウインディ</v>
      </c>
      <c r="D61" s="136" t="str">
        <f>VLOOKUP(A61,伤害计算器!$V$2:$Y$720,4,FALSE)</f>
        <v>Arcanine</v>
      </c>
      <c r="E61" s="131" t="s">
        <v>3354</v>
      </c>
      <c r="F61" s="131" t="s">
        <v>542</v>
      </c>
      <c r="G61" s="131" t="s">
        <v>3460</v>
      </c>
      <c r="H61" s="138">
        <v>90</v>
      </c>
      <c r="I61" s="139">
        <v>110</v>
      </c>
      <c r="J61" s="140">
        <v>80</v>
      </c>
      <c r="K61" s="141">
        <v>100</v>
      </c>
      <c r="L61" s="142">
        <v>80</v>
      </c>
      <c r="M61" s="143">
        <v>95</v>
      </c>
      <c r="N61" s="144">
        <v>555</v>
      </c>
      <c r="O61" s="145" t="s">
        <v>250</v>
      </c>
      <c r="P61" s="133" t="s">
        <v>3295</v>
      </c>
      <c r="Q61" s="147">
        <v>155</v>
      </c>
      <c r="R61" s="133">
        <v>50</v>
      </c>
      <c r="S61" s="148">
        <v>75</v>
      </c>
      <c r="T61" s="133" t="s">
        <v>3345</v>
      </c>
      <c r="U61" s="133" t="s">
        <v>3320</v>
      </c>
      <c r="V61" s="133">
        <v>5120</v>
      </c>
      <c r="W61" s="133">
        <v>194</v>
      </c>
    </row>
    <row r="62" ht="27.6" customHeight="1" spans="1:23">
      <c r="A62" s="135" t="s">
        <v>3463</v>
      </c>
      <c r="B62" s="131" t="s">
        <v>3464</v>
      </c>
      <c r="C62" s="136" t="str">
        <f>VLOOKUP(A62,伤害计算器!$V$2:$Y$720,3,FALSE)</f>
        <v>ニョロモ</v>
      </c>
      <c r="D62" s="136" t="str">
        <f>VLOOKUP(A62,伤害计算器!$V$2:$Y$720,4,FALSE)</f>
        <v>Poliwag</v>
      </c>
      <c r="E62" s="131" t="s">
        <v>533</v>
      </c>
      <c r="F62" s="131" t="s">
        <v>3424</v>
      </c>
      <c r="G62" s="131" t="s">
        <v>3448</v>
      </c>
      <c r="H62" s="138">
        <v>40</v>
      </c>
      <c r="I62" s="139">
        <v>50</v>
      </c>
      <c r="J62" s="140">
        <v>40</v>
      </c>
      <c r="K62" s="141">
        <v>40</v>
      </c>
      <c r="L62" s="142">
        <v>40</v>
      </c>
      <c r="M62" s="143">
        <v>90</v>
      </c>
      <c r="N62" s="144">
        <v>300</v>
      </c>
      <c r="O62" s="145" t="s">
        <v>251</v>
      </c>
      <c r="P62" s="133" t="s">
        <v>3295</v>
      </c>
      <c r="Q62" s="147">
        <v>12.4</v>
      </c>
      <c r="R62" s="133">
        <v>50</v>
      </c>
      <c r="S62" s="148">
        <v>255</v>
      </c>
      <c r="T62" s="133" t="s">
        <v>251</v>
      </c>
      <c r="U62" s="133" t="s">
        <v>3320</v>
      </c>
      <c r="V62" s="133">
        <v>5120</v>
      </c>
      <c r="W62" s="133">
        <v>60</v>
      </c>
    </row>
    <row r="63" ht="28.35" customHeight="1" spans="1:23">
      <c r="A63" s="135" t="s">
        <v>3465</v>
      </c>
      <c r="B63" s="131" t="s">
        <v>3466</v>
      </c>
      <c r="C63" s="136" t="str">
        <f>VLOOKUP(A63,伤害计算器!$V$2:$Y$720,3,FALSE)</f>
        <v>ニョロゾ</v>
      </c>
      <c r="D63" s="136" t="str">
        <f>VLOOKUP(A63,伤害计算器!$V$2:$Y$720,4,FALSE)</f>
        <v>Poliwhirl</v>
      </c>
      <c r="E63" s="131" t="s">
        <v>533</v>
      </c>
      <c r="F63" s="131" t="s">
        <v>3424</v>
      </c>
      <c r="G63" s="131" t="s">
        <v>3448</v>
      </c>
      <c r="H63" s="138">
        <v>65</v>
      </c>
      <c r="I63" s="139">
        <v>65</v>
      </c>
      <c r="J63" s="140">
        <v>65</v>
      </c>
      <c r="K63" s="141">
        <v>50</v>
      </c>
      <c r="L63" s="142">
        <v>50</v>
      </c>
      <c r="M63" s="143">
        <v>90</v>
      </c>
      <c r="N63" s="144">
        <v>385</v>
      </c>
      <c r="O63" s="145" t="s">
        <v>251</v>
      </c>
      <c r="P63" s="133" t="s">
        <v>3295</v>
      </c>
      <c r="Q63" s="147">
        <v>20</v>
      </c>
      <c r="R63" s="133">
        <v>50</v>
      </c>
      <c r="S63" s="148">
        <v>120</v>
      </c>
      <c r="T63" s="133" t="s">
        <v>251</v>
      </c>
      <c r="U63" s="133" t="s">
        <v>3320</v>
      </c>
      <c r="V63" s="133">
        <v>5120</v>
      </c>
      <c r="W63" s="133">
        <v>135</v>
      </c>
    </row>
    <row r="64" ht="26.1" customHeight="1" spans="1:23">
      <c r="A64" s="135" t="s">
        <v>3467</v>
      </c>
      <c r="B64" s="131" t="s">
        <v>3468</v>
      </c>
      <c r="C64" s="136" t="str">
        <f>VLOOKUP(A64,伤害计算器!$V$2:$Y$720,3,FALSE)</f>
        <v>ニョロボン</v>
      </c>
      <c r="D64" s="136" t="str">
        <f>VLOOKUP(A64,伤害计算器!$V$2:$Y$720,4,FALSE)</f>
        <v>Poliwrath</v>
      </c>
      <c r="E64" s="131" t="s">
        <v>533</v>
      </c>
      <c r="F64" s="131" t="s">
        <v>3424</v>
      </c>
      <c r="G64" s="131" t="s">
        <v>3448</v>
      </c>
      <c r="H64" s="138">
        <v>90</v>
      </c>
      <c r="I64" s="139">
        <v>95</v>
      </c>
      <c r="J64" s="140">
        <v>95</v>
      </c>
      <c r="K64" s="141">
        <v>70</v>
      </c>
      <c r="L64" s="142">
        <v>90</v>
      </c>
      <c r="M64" s="143">
        <v>70</v>
      </c>
      <c r="N64" s="144">
        <v>510</v>
      </c>
      <c r="O64" s="145" t="s">
        <v>251</v>
      </c>
      <c r="P64" s="133" t="s">
        <v>269</v>
      </c>
      <c r="Q64" s="147">
        <v>54</v>
      </c>
      <c r="R64" s="133">
        <v>50</v>
      </c>
      <c r="S64" s="148">
        <v>45</v>
      </c>
      <c r="T64" s="133" t="s">
        <v>251</v>
      </c>
      <c r="U64" s="133" t="s">
        <v>3320</v>
      </c>
      <c r="V64" s="133">
        <v>5120</v>
      </c>
      <c r="W64" s="133">
        <v>225</v>
      </c>
    </row>
    <row r="65" ht="24.6" customHeight="1" spans="1:23">
      <c r="A65" s="135" t="s">
        <v>3469</v>
      </c>
      <c r="B65" s="131" t="s">
        <v>3470</v>
      </c>
      <c r="C65" s="136" t="str">
        <f>VLOOKUP(A65,伤害计算器!$V$2:$Y$720,3,FALSE)</f>
        <v>ケーシィ</v>
      </c>
      <c r="D65" s="136" t="str">
        <f>VLOOKUP(A65,伤害计算器!$V$2:$Y$720,4,FALSE)</f>
        <v>Abra</v>
      </c>
      <c r="E65" s="131" t="s">
        <v>3471</v>
      </c>
      <c r="F65" s="131" t="s">
        <v>3409</v>
      </c>
      <c r="G65" s="131" t="s">
        <v>3391</v>
      </c>
      <c r="H65" s="138">
        <v>25</v>
      </c>
      <c r="I65" s="139">
        <v>20</v>
      </c>
      <c r="J65" s="140">
        <v>15</v>
      </c>
      <c r="K65" s="141">
        <v>105</v>
      </c>
      <c r="L65" s="142">
        <v>55</v>
      </c>
      <c r="M65" s="143">
        <v>90</v>
      </c>
      <c r="N65" s="144">
        <v>310</v>
      </c>
      <c r="O65" s="145" t="s">
        <v>271</v>
      </c>
      <c r="P65" s="133" t="s">
        <v>3295</v>
      </c>
      <c r="Q65" s="147">
        <v>19.5</v>
      </c>
      <c r="R65" s="133">
        <v>75</v>
      </c>
      <c r="S65" s="148">
        <v>200</v>
      </c>
      <c r="T65" s="133" t="s">
        <v>3472</v>
      </c>
      <c r="U65" s="133" t="s">
        <v>3320</v>
      </c>
      <c r="V65" s="133">
        <v>5120</v>
      </c>
      <c r="W65" s="133">
        <v>62</v>
      </c>
    </row>
    <row r="66" ht="29.1" customHeight="1" spans="1:23">
      <c r="A66" s="135" t="s">
        <v>3473</v>
      </c>
      <c r="B66" s="131" t="s">
        <v>3474</v>
      </c>
      <c r="C66" s="136" t="str">
        <f>VLOOKUP(A66,伤害计算器!$V$2:$Y$720,3,FALSE)</f>
        <v>ユンゲラー</v>
      </c>
      <c r="D66" s="136" t="str">
        <f>VLOOKUP(A66,伤害计算器!$V$2:$Y$720,4,FALSE)</f>
        <v>Kadabra</v>
      </c>
      <c r="E66" s="131" t="s">
        <v>3471</v>
      </c>
      <c r="F66" s="131" t="s">
        <v>3409</v>
      </c>
      <c r="G66" s="131" t="s">
        <v>3391</v>
      </c>
      <c r="H66" s="138">
        <v>40</v>
      </c>
      <c r="I66" s="139">
        <v>35</v>
      </c>
      <c r="J66" s="140">
        <v>30</v>
      </c>
      <c r="K66" s="141">
        <v>120</v>
      </c>
      <c r="L66" s="142">
        <v>70</v>
      </c>
      <c r="M66" s="143">
        <v>105</v>
      </c>
      <c r="N66" s="144">
        <v>400</v>
      </c>
      <c r="O66" s="145" t="s">
        <v>271</v>
      </c>
      <c r="P66" s="133" t="s">
        <v>3295</v>
      </c>
      <c r="Q66" s="147">
        <v>56.5</v>
      </c>
      <c r="R66" s="133">
        <v>75</v>
      </c>
      <c r="S66" s="148">
        <v>100</v>
      </c>
      <c r="T66" s="133" t="s">
        <v>3472</v>
      </c>
      <c r="U66" s="133" t="s">
        <v>3320</v>
      </c>
      <c r="V66" s="133">
        <v>5120</v>
      </c>
      <c r="W66" s="133">
        <v>140</v>
      </c>
    </row>
    <row r="67" ht="26.85" customHeight="1" spans="1:23">
      <c r="A67" s="135" t="s">
        <v>3475</v>
      </c>
      <c r="B67" s="131" t="s">
        <v>3476</v>
      </c>
      <c r="C67" s="136" t="str">
        <f>VLOOKUP(A67,伤害计算器!$V$2:$Y$720,3,FALSE)</f>
        <v>フーディン</v>
      </c>
      <c r="D67" s="136" t="str">
        <f>VLOOKUP(A67,伤害计算器!$V$2:$Y$720,4,FALSE)</f>
        <v>Alakazam</v>
      </c>
      <c r="E67" s="131" t="s">
        <v>3471</v>
      </c>
      <c r="F67" s="131" t="s">
        <v>3409</v>
      </c>
      <c r="G67" s="131" t="s">
        <v>3391</v>
      </c>
      <c r="H67" s="138">
        <v>55</v>
      </c>
      <c r="I67" s="139">
        <v>50</v>
      </c>
      <c r="J67" s="140">
        <v>45</v>
      </c>
      <c r="K67" s="141">
        <v>135</v>
      </c>
      <c r="L67" s="142">
        <v>95</v>
      </c>
      <c r="M67" s="143">
        <v>120</v>
      </c>
      <c r="N67" s="144">
        <v>500</v>
      </c>
      <c r="O67" s="145" t="s">
        <v>271</v>
      </c>
      <c r="P67" s="133" t="s">
        <v>3295</v>
      </c>
      <c r="Q67" s="147">
        <v>48</v>
      </c>
      <c r="R67" s="133">
        <v>75</v>
      </c>
      <c r="S67" s="148">
        <v>50</v>
      </c>
      <c r="T67" s="133" t="s">
        <v>3472</v>
      </c>
      <c r="U67" s="133" t="s">
        <v>3320</v>
      </c>
      <c r="V67" s="133">
        <v>5120</v>
      </c>
      <c r="W67" s="133">
        <v>221</v>
      </c>
    </row>
    <row r="68" ht="27.6" customHeight="1" spans="1:23">
      <c r="A68" s="135" t="s">
        <v>3477</v>
      </c>
      <c r="B68" s="131" t="s">
        <v>3478</v>
      </c>
      <c r="C68" s="136" t="str">
        <f>VLOOKUP(A68,伤害计算器!$V$2:$Y$720,3,FALSE)</f>
        <v>ワンリキー</v>
      </c>
      <c r="D68" s="136" t="str">
        <f>VLOOKUP(A68,伤害计算器!$V$2:$Y$720,4,FALSE)</f>
        <v>Machop</v>
      </c>
      <c r="E68" s="131" t="s">
        <v>57</v>
      </c>
      <c r="F68" s="131" t="s">
        <v>69</v>
      </c>
      <c r="G68" s="131" t="s">
        <v>3479</v>
      </c>
      <c r="H68" s="138">
        <v>70</v>
      </c>
      <c r="I68" s="139">
        <v>80</v>
      </c>
      <c r="J68" s="140">
        <v>50</v>
      </c>
      <c r="K68" s="141">
        <v>35</v>
      </c>
      <c r="L68" s="142">
        <v>35</v>
      </c>
      <c r="M68" s="143">
        <v>35</v>
      </c>
      <c r="N68" s="144">
        <v>305</v>
      </c>
      <c r="O68" s="145" t="s">
        <v>269</v>
      </c>
      <c r="P68" s="133" t="s">
        <v>3295</v>
      </c>
      <c r="Q68" s="147">
        <v>19.5</v>
      </c>
      <c r="R68" s="133">
        <v>75</v>
      </c>
      <c r="S68" s="148">
        <v>180</v>
      </c>
      <c r="T68" s="133" t="s">
        <v>3472</v>
      </c>
      <c r="U68" s="133" t="s">
        <v>3320</v>
      </c>
      <c r="V68" s="133">
        <v>5120</v>
      </c>
      <c r="W68" s="133">
        <v>61</v>
      </c>
    </row>
    <row r="69" ht="27.6" customHeight="1" spans="1:23">
      <c r="A69" s="135" t="s">
        <v>3480</v>
      </c>
      <c r="B69" s="131" t="s">
        <v>3481</v>
      </c>
      <c r="C69" s="136" t="str">
        <f>VLOOKUP(A69,伤害计算器!$V$2:$Y$720,3,FALSE)</f>
        <v>ゴーリキー</v>
      </c>
      <c r="D69" s="136" t="str">
        <f>VLOOKUP(A69,伤害计算器!$V$2:$Y$720,4,FALSE)</f>
        <v>Machoke</v>
      </c>
      <c r="E69" s="131" t="s">
        <v>57</v>
      </c>
      <c r="F69" s="131" t="s">
        <v>69</v>
      </c>
      <c r="G69" s="131" t="s">
        <v>3479</v>
      </c>
      <c r="H69" s="138">
        <v>80</v>
      </c>
      <c r="I69" s="139">
        <v>100</v>
      </c>
      <c r="J69" s="140">
        <v>70</v>
      </c>
      <c r="K69" s="141">
        <v>50</v>
      </c>
      <c r="L69" s="142">
        <v>60</v>
      </c>
      <c r="M69" s="143">
        <v>45</v>
      </c>
      <c r="N69" s="144">
        <v>405</v>
      </c>
      <c r="O69" s="145" t="s">
        <v>269</v>
      </c>
      <c r="P69" s="133" t="s">
        <v>3295</v>
      </c>
      <c r="Q69" s="147">
        <v>70.5</v>
      </c>
      <c r="R69" s="133">
        <v>75</v>
      </c>
      <c r="S69" s="148">
        <v>90</v>
      </c>
      <c r="T69" s="133" t="s">
        <v>3472</v>
      </c>
      <c r="U69" s="133" t="s">
        <v>3320</v>
      </c>
      <c r="V69" s="133">
        <v>5120</v>
      </c>
      <c r="W69" s="133">
        <v>142</v>
      </c>
    </row>
    <row r="70" ht="39" customHeight="1" spans="1:23">
      <c r="A70" s="135" t="s">
        <v>3482</v>
      </c>
      <c r="B70" s="131" t="s">
        <v>3483</v>
      </c>
      <c r="C70" s="136" t="str">
        <f>VLOOKUP(A70,伤害计算器!$V$2:$Y$720,3,FALSE)</f>
        <v>カイリキー</v>
      </c>
      <c r="D70" s="136" t="str">
        <f>VLOOKUP(A70,伤害计算器!$V$2:$Y$720,4,FALSE)</f>
        <v>Machamp</v>
      </c>
      <c r="E70" s="131" t="s">
        <v>57</v>
      </c>
      <c r="F70" s="131" t="s">
        <v>69</v>
      </c>
      <c r="G70" s="131" t="s">
        <v>3479</v>
      </c>
      <c r="H70" s="138">
        <v>90</v>
      </c>
      <c r="I70" s="139">
        <v>130</v>
      </c>
      <c r="J70" s="140">
        <v>80</v>
      </c>
      <c r="K70" s="141">
        <v>65</v>
      </c>
      <c r="L70" s="142">
        <v>85</v>
      </c>
      <c r="M70" s="143">
        <v>55</v>
      </c>
      <c r="N70" s="144">
        <v>505</v>
      </c>
      <c r="O70" s="145" t="s">
        <v>269</v>
      </c>
      <c r="P70" s="133" t="s">
        <v>3295</v>
      </c>
      <c r="Q70" s="147">
        <v>130</v>
      </c>
      <c r="R70" s="133">
        <v>75</v>
      </c>
      <c r="S70" s="148">
        <v>45</v>
      </c>
      <c r="T70" s="133" t="s">
        <v>3472</v>
      </c>
      <c r="U70" s="133" t="s">
        <v>3320</v>
      </c>
      <c r="V70" s="133">
        <v>5120</v>
      </c>
      <c r="W70" s="133">
        <v>227</v>
      </c>
    </row>
    <row r="71" ht="26.85" customHeight="1" spans="1:23">
      <c r="A71" s="135" t="s">
        <v>3484</v>
      </c>
      <c r="B71" s="131" t="s">
        <v>3485</v>
      </c>
      <c r="C71" s="136" t="str">
        <f>VLOOKUP(A71,伤害计算器!$V$2:$Y$720,3,FALSE)</f>
        <v>マダツボミ</v>
      </c>
      <c r="D71" s="136" t="str">
        <f>VLOOKUP(A71,伤害计算器!$V$2:$Y$720,4,FALSE)</f>
        <v>Bellsprout</v>
      </c>
      <c r="E71" s="131" t="s">
        <v>3296</v>
      </c>
      <c r="F71" s="137" t="s">
        <v>3295</v>
      </c>
      <c r="G71" s="131" t="s">
        <v>3486</v>
      </c>
      <c r="H71" s="138">
        <v>50</v>
      </c>
      <c r="I71" s="139">
        <v>75</v>
      </c>
      <c r="J71" s="140">
        <v>35</v>
      </c>
      <c r="K71" s="141">
        <v>70</v>
      </c>
      <c r="L71" s="142">
        <v>30</v>
      </c>
      <c r="M71" s="143">
        <v>40</v>
      </c>
      <c r="N71" s="144">
        <v>300</v>
      </c>
      <c r="O71" s="145" t="s">
        <v>235</v>
      </c>
      <c r="P71" s="133" t="s">
        <v>270</v>
      </c>
      <c r="Q71" s="147">
        <v>4</v>
      </c>
      <c r="R71" s="133">
        <v>50</v>
      </c>
      <c r="S71" s="148">
        <v>255</v>
      </c>
      <c r="T71" s="133" t="s">
        <v>3298</v>
      </c>
      <c r="U71" s="133" t="s">
        <v>3320</v>
      </c>
      <c r="V71" s="133">
        <v>5120</v>
      </c>
      <c r="W71" s="133">
        <v>60</v>
      </c>
    </row>
    <row r="72" ht="26.1" customHeight="1" spans="1:23">
      <c r="A72" s="135" t="s">
        <v>3487</v>
      </c>
      <c r="B72" s="131" t="s">
        <v>3488</v>
      </c>
      <c r="C72" s="136" t="str">
        <f>VLOOKUP(A72,伤害计算器!$V$2:$Y$720,3,FALSE)</f>
        <v>ウツドン</v>
      </c>
      <c r="D72" s="136" t="str">
        <f>VLOOKUP(A72,伤害计算器!$V$2:$Y$720,4,FALSE)</f>
        <v>Weepinbell</v>
      </c>
      <c r="E72" s="131" t="s">
        <v>3296</v>
      </c>
      <c r="F72" s="137" t="s">
        <v>3295</v>
      </c>
      <c r="G72" s="131" t="s">
        <v>3486</v>
      </c>
      <c r="H72" s="138">
        <v>65</v>
      </c>
      <c r="I72" s="139">
        <v>90</v>
      </c>
      <c r="J72" s="140">
        <v>50</v>
      </c>
      <c r="K72" s="141">
        <v>85</v>
      </c>
      <c r="L72" s="142">
        <v>45</v>
      </c>
      <c r="M72" s="143">
        <v>55</v>
      </c>
      <c r="N72" s="144">
        <v>390</v>
      </c>
      <c r="O72" s="145" t="s">
        <v>235</v>
      </c>
      <c r="P72" s="133" t="s">
        <v>270</v>
      </c>
      <c r="Q72" s="147">
        <v>6.4</v>
      </c>
      <c r="R72" s="133">
        <v>50</v>
      </c>
      <c r="S72" s="148">
        <v>120</v>
      </c>
      <c r="T72" s="133" t="s">
        <v>3298</v>
      </c>
      <c r="U72" s="133" t="s">
        <v>3320</v>
      </c>
      <c r="V72" s="133">
        <v>5120</v>
      </c>
      <c r="W72" s="133">
        <v>137</v>
      </c>
    </row>
    <row r="73" ht="26.1" customHeight="1" spans="1:23">
      <c r="A73" s="135" t="s">
        <v>3489</v>
      </c>
      <c r="B73" s="131" t="s">
        <v>3490</v>
      </c>
      <c r="C73" s="136" t="str">
        <f>VLOOKUP(A73,伤害计算器!$V$2:$Y$720,3,FALSE)</f>
        <v>ウツボット</v>
      </c>
      <c r="D73" s="136" t="str">
        <f>VLOOKUP(A73,伤害计算器!$V$2:$Y$720,4,FALSE)</f>
        <v>Victreebel</v>
      </c>
      <c r="E73" s="131" t="s">
        <v>3296</v>
      </c>
      <c r="F73" s="137" t="s">
        <v>3295</v>
      </c>
      <c r="G73" s="131" t="s">
        <v>3486</v>
      </c>
      <c r="H73" s="138">
        <v>80</v>
      </c>
      <c r="I73" s="139">
        <v>105</v>
      </c>
      <c r="J73" s="140">
        <v>65</v>
      </c>
      <c r="K73" s="141">
        <v>100</v>
      </c>
      <c r="L73" s="142">
        <v>70</v>
      </c>
      <c r="M73" s="143">
        <v>70</v>
      </c>
      <c r="N73" s="144">
        <v>490</v>
      </c>
      <c r="O73" s="145" t="s">
        <v>235</v>
      </c>
      <c r="P73" s="133" t="s">
        <v>270</v>
      </c>
      <c r="Q73" s="147">
        <v>15.5</v>
      </c>
      <c r="R73" s="133">
        <v>50</v>
      </c>
      <c r="S73" s="148">
        <v>45</v>
      </c>
      <c r="T73" s="133" t="s">
        <v>3298</v>
      </c>
      <c r="U73" s="133" t="s">
        <v>3320</v>
      </c>
      <c r="V73" s="133">
        <v>5120</v>
      </c>
      <c r="W73" s="133">
        <v>216</v>
      </c>
    </row>
    <row r="74" ht="26.1" customHeight="1" spans="1:23">
      <c r="A74" s="135" t="s">
        <v>3491</v>
      </c>
      <c r="B74" s="131" t="s">
        <v>3492</v>
      </c>
      <c r="C74" s="136" t="str">
        <f>VLOOKUP(A74,伤害计算器!$V$2:$Y$720,3,FALSE)</f>
        <v>メノクラゲ</v>
      </c>
      <c r="D74" s="136" t="str">
        <f>VLOOKUP(A74,伤害计算器!$V$2:$Y$720,4,FALSE)</f>
        <v>Tentacool</v>
      </c>
      <c r="E74" s="131" t="s">
        <v>3493</v>
      </c>
      <c r="F74" s="131" t="s">
        <v>3494</v>
      </c>
      <c r="G74" s="131" t="s">
        <v>3311</v>
      </c>
      <c r="H74" s="138">
        <v>40</v>
      </c>
      <c r="I74" s="139">
        <v>40</v>
      </c>
      <c r="J74" s="140">
        <v>35</v>
      </c>
      <c r="K74" s="141">
        <v>50</v>
      </c>
      <c r="L74" s="142">
        <v>100</v>
      </c>
      <c r="M74" s="143">
        <v>70</v>
      </c>
      <c r="N74" s="144">
        <v>335</v>
      </c>
      <c r="O74" s="145" t="s">
        <v>251</v>
      </c>
      <c r="P74" s="133" t="s">
        <v>270</v>
      </c>
      <c r="Q74" s="147">
        <v>45.5</v>
      </c>
      <c r="R74" s="133">
        <v>50</v>
      </c>
      <c r="S74" s="148">
        <v>190</v>
      </c>
      <c r="T74" s="133" t="s">
        <v>251</v>
      </c>
      <c r="U74" s="133" t="s">
        <v>3320</v>
      </c>
      <c r="V74" s="133">
        <v>5120</v>
      </c>
      <c r="W74" s="133">
        <v>67</v>
      </c>
    </row>
    <row r="75" ht="25.35" customHeight="1" spans="1:23">
      <c r="A75" s="135" t="s">
        <v>3495</v>
      </c>
      <c r="B75" s="131" t="s">
        <v>3496</v>
      </c>
      <c r="C75" s="136" t="str">
        <f>VLOOKUP(A75,伤害计算器!$V$2:$Y$720,3,FALSE)</f>
        <v>ドククラゲ</v>
      </c>
      <c r="D75" s="136" t="str">
        <f>VLOOKUP(A75,伤害计算器!$V$2:$Y$720,4,FALSE)</f>
        <v>Tentacruel</v>
      </c>
      <c r="E75" s="131" t="s">
        <v>3493</v>
      </c>
      <c r="F75" s="131" t="s">
        <v>3494</v>
      </c>
      <c r="G75" s="131" t="s">
        <v>3311</v>
      </c>
      <c r="H75" s="138">
        <v>80</v>
      </c>
      <c r="I75" s="139">
        <v>70</v>
      </c>
      <c r="J75" s="140">
        <v>65</v>
      </c>
      <c r="K75" s="141">
        <v>80</v>
      </c>
      <c r="L75" s="142">
        <v>120</v>
      </c>
      <c r="M75" s="143">
        <v>100</v>
      </c>
      <c r="N75" s="144">
        <v>515</v>
      </c>
      <c r="O75" s="145" t="s">
        <v>251</v>
      </c>
      <c r="P75" s="133" t="s">
        <v>270</v>
      </c>
      <c r="Q75" s="147">
        <v>55</v>
      </c>
      <c r="R75" s="133">
        <v>50</v>
      </c>
      <c r="S75" s="148">
        <v>60</v>
      </c>
      <c r="T75" s="133" t="s">
        <v>251</v>
      </c>
      <c r="U75" s="133" t="s">
        <v>3320</v>
      </c>
      <c r="V75" s="133">
        <v>5120</v>
      </c>
      <c r="W75" s="133">
        <v>180</v>
      </c>
    </row>
    <row r="76" ht="26.85" customHeight="1" spans="1:23">
      <c r="A76" s="135" t="s">
        <v>3497</v>
      </c>
      <c r="B76" s="131" t="s">
        <v>3498</v>
      </c>
      <c r="C76" s="136" t="str">
        <f>VLOOKUP(A76,伤害计算器!$V$2:$Y$720,3,FALSE)</f>
        <v>イシツブテ</v>
      </c>
      <c r="D76" s="136" t="str">
        <f>VLOOKUP(A76,伤害计算器!$V$2:$Y$720,4,FALSE)</f>
        <v>Geodude</v>
      </c>
      <c r="E76" s="131" t="s">
        <v>3499</v>
      </c>
      <c r="F76" s="131" t="s">
        <v>3500</v>
      </c>
      <c r="G76" s="131" t="s">
        <v>80</v>
      </c>
      <c r="H76" s="138">
        <v>40</v>
      </c>
      <c r="I76" s="139">
        <v>80</v>
      </c>
      <c r="J76" s="140">
        <v>100</v>
      </c>
      <c r="K76" s="141">
        <v>30</v>
      </c>
      <c r="L76" s="142">
        <v>30</v>
      </c>
      <c r="M76" s="143">
        <v>20</v>
      </c>
      <c r="N76" s="144">
        <v>300</v>
      </c>
      <c r="O76" s="145" t="s">
        <v>252</v>
      </c>
      <c r="P76" s="133" t="s">
        <v>237</v>
      </c>
      <c r="Q76" s="147">
        <v>20</v>
      </c>
      <c r="R76" s="133">
        <v>50</v>
      </c>
      <c r="S76" s="148">
        <v>255</v>
      </c>
      <c r="T76" s="133" t="s">
        <v>3501</v>
      </c>
      <c r="U76" s="133" t="s">
        <v>3320</v>
      </c>
      <c r="V76" s="133">
        <v>3840</v>
      </c>
      <c r="W76" s="133">
        <v>60</v>
      </c>
    </row>
    <row r="77" ht="29.85" customHeight="1" spans="1:23">
      <c r="A77" s="135" t="s">
        <v>3502</v>
      </c>
      <c r="B77" s="131" t="s">
        <v>3503</v>
      </c>
      <c r="C77" s="136" t="str">
        <f>VLOOKUP(A77,伤害计算器!$V$2:$Y$720,3,FALSE)</f>
        <v>ゴローン</v>
      </c>
      <c r="D77" s="136" t="str">
        <f>VLOOKUP(A77,伤害计算器!$V$2:$Y$720,4,FALSE)</f>
        <v>Graveler</v>
      </c>
      <c r="E77" s="131" t="s">
        <v>3499</v>
      </c>
      <c r="F77" s="131" t="s">
        <v>3500</v>
      </c>
      <c r="G77" s="131" t="s">
        <v>80</v>
      </c>
      <c r="H77" s="138">
        <v>55</v>
      </c>
      <c r="I77" s="139">
        <v>95</v>
      </c>
      <c r="J77" s="140">
        <v>115</v>
      </c>
      <c r="K77" s="141">
        <v>45</v>
      </c>
      <c r="L77" s="142">
        <v>45</v>
      </c>
      <c r="M77" s="143">
        <v>35</v>
      </c>
      <c r="N77" s="144">
        <v>390</v>
      </c>
      <c r="O77" s="145" t="s">
        <v>252</v>
      </c>
      <c r="P77" s="133" t="s">
        <v>237</v>
      </c>
      <c r="Q77" s="147">
        <v>105</v>
      </c>
      <c r="R77" s="133">
        <v>50</v>
      </c>
      <c r="S77" s="148">
        <v>120</v>
      </c>
      <c r="T77" s="131" t="s">
        <v>3501</v>
      </c>
      <c r="U77" s="133" t="s">
        <v>3320</v>
      </c>
      <c r="V77" s="131">
        <v>3840</v>
      </c>
      <c r="W77" s="131">
        <v>137</v>
      </c>
    </row>
    <row r="78" ht="26.1" customHeight="1" spans="1:23">
      <c r="A78" s="135" t="s">
        <v>3504</v>
      </c>
      <c r="B78" s="131" t="s">
        <v>3505</v>
      </c>
      <c r="C78" s="136" t="str">
        <f>VLOOKUP(A78,伤害计算器!$V$2:$Y$720,3,FALSE)</f>
        <v>ゴローニャ</v>
      </c>
      <c r="D78" s="136" t="str">
        <f>VLOOKUP(A78,伤害计算器!$V$2:$Y$720,4,FALSE)</f>
        <v>Golem</v>
      </c>
      <c r="E78" s="131" t="s">
        <v>3499</v>
      </c>
      <c r="F78" s="131" t="s">
        <v>3500</v>
      </c>
      <c r="G78" s="131" t="s">
        <v>80</v>
      </c>
      <c r="H78" s="138">
        <v>80</v>
      </c>
      <c r="I78" s="139">
        <v>120</v>
      </c>
      <c r="J78" s="140">
        <v>130</v>
      </c>
      <c r="K78" s="141">
        <v>55</v>
      </c>
      <c r="L78" s="142">
        <v>65</v>
      </c>
      <c r="M78" s="143">
        <v>45</v>
      </c>
      <c r="N78" s="144">
        <v>495</v>
      </c>
      <c r="O78" s="145" t="s">
        <v>252</v>
      </c>
      <c r="P78" s="133" t="s">
        <v>237</v>
      </c>
      <c r="Q78" s="147">
        <v>300</v>
      </c>
      <c r="R78" s="133">
        <v>50</v>
      </c>
      <c r="S78" s="148">
        <v>45</v>
      </c>
      <c r="T78" s="131" t="s">
        <v>3501</v>
      </c>
      <c r="U78" s="133" t="s">
        <v>3320</v>
      </c>
      <c r="V78" s="131">
        <v>3840</v>
      </c>
      <c r="W78" s="131">
        <v>218</v>
      </c>
    </row>
    <row r="79" ht="25.35" customHeight="1" spans="1:18">
      <c r="A79" s="135" t="s">
        <v>3506</v>
      </c>
      <c r="B79" s="131" t="s">
        <v>3507</v>
      </c>
      <c r="C79" s="136" t="str">
        <f>VLOOKUP(A79,伤害计算器!$V$2:$Y$720,3,FALSE)</f>
        <v>ポニータ</v>
      </c>
      <c r="D79" s="136" t="str">
        <f>VLOOKUP(A79,伤害计算器!$V$2:$Y$720,4,FALSE)</f>
        <v>Ponyta</v>
      </c>
      <c r="E79" s="131" t="s">
        <v>3319</v>
      </c>
      <c r="F79" s="131" t="s">
        <v>542</v>
      </c>
      <c r="G79" s="131" t="s">
        <v>3508</v>
      </c>
      <c r="H79" s="138">
        <v>50</v>
      </c>
      <c r="I79" s="139">
        <v>85</v>
      </c>
      <c r="J79" s="140">
        <v>55</v>
      </c>
      <c r="K79" s="141">
        <v>65</v>
      </c>
      <c r="L79" s="142">
        <v>65</v>
      </c>
      <c r="M79" s="143">
        <v>90</v>
      </c>
      <c r="N79" s="144">
        <v>410</v>
      </c>
      <c r="O79" s="145" t="s">
        <v>250</v>
      </c>
      <c r="P79" s="133" t="s">
        <v>3295</v>
      </c>
      <c r="Q79" s="147">
        <v>30</v>
      </c>
      <c r="R79" s="131"/>
    </row>
    <row r="80" ht="24.6" customHeight="1" spans="1:18">
      <c r="A80" s="135" t="s">
        <v>3509</v>
      </c>
      <c r="B80" s="131" t="s">
        <v>3510</v>
      </c>
      <c r="C80" s="136" t="str">
        <f>VLOOKUP(A80,伤害计算器!$V$2:$Y$720,3,FALSE)</f>
        <v>ギャロップ</v>
      </c>
      <c r="D80" s="136" t="str">
        <f>VLOOKUP(A80,伤害计算器!$V$2:$Y$720,4,FALSE)</f>
        <v>Rapidash</v>
      </c>
      <c r="E80" s="131" t="s">
        <v>3319</v>
      </c>
      <c r="F80" s="131" t="s">
        <v>542</v>
      </c>
      <c r="G80" s="131" t="s">
        <v>3508</v>
      </c>
      <c r="H80" s="138">
        <v>65</v>
      </c>
      <c r="I80" s="139">
        <v>100</v>
      </c>
      <c r="J80" s="140">
        <v>70</v>
      </c>
      <c r="K80" s="141">
        <v>80</v>
      </c>
      <c r="L80" s="142">
        <v>80</v>
      </c>
      <c r="M80" s="143">
        <v>105</v>
      </c>
      <c r="N80" s="144">
        <v>500</v>
      </c>
      <c r="O80" s="145" t="s">
        <v>250</v>
      </c>
      <c r="P80" s="133" t="s">
        <v>3295</v>
      </c>
      <c r="Q80" s="147">
        <v>95</v>
      </c>
      <c r="R80" s="131"/>
    </row>
    <row r="81" ht="27.6" customHeight="1" spans="1:18">
      <c r="A81" s="135" t="s">
        <v>3511</v>
      </c>
      <c r="B81" s="131" t="s">
        <v>3512</v>
      </c>
      <c r="C81" s="136" t="str">
        <f>VLOOKUP(A81,伤害计算器!$V$2:$Y$720,3,FALSE)</f>
        <v>ヤドン</v>
      </c>
      <c r="D81" s="136" t="str">
        <f>VLOOKUP(A81,伤害计算器!$V$2:$Y$720,4,FALSE)</f>
        <v>Slowpoke</v>
      </c>
      <c r="E81" s="131" t="s">
        <v>3513</v>
      </c>
      <c r="F81" s="131" t="s">
        <v>3514</v>
      </c>
      <c r="G81" s="131" t="s">
        <v>3515</v>
      </c>
      <c r="H81" s="138">
        <v>90</v>
      </c>
      <c r="I81" s="139">
        <v>65</v>
      </c>
      <c r="J81" s="140">
        <v>65</v>
      </c>
      <c r="K81" s="141">
        <v>40</v>
      </c>
      <c r="L81" s="142">
        <v>40</v>
      </c>
      <c r="M81" s="143">
        <v>15</v>
      </c>
      <c r="N81" s="144">
        <v>315</v>
      </c>
      <c r="O81" s="145" t="s">
        <v>251</v>
      </c>
      <c r="P81" s="133" t="s">
        <v>271</v>
      </c>
      <c r="Q81" s="147">
        <v>36</v>
      </c>
      <c r="R81" s="131"/>
    </row>
    <row r="82" ht="26.85" customHeight="1" spans="1:18">
      <c r="A82" s="135" t="s">
        <v>3516</v>
      </c>
      <c r="B82" s="131" t="s">
        <v>3517</v>
      </c>
      <c r="C82" s="136" t="str">
        <f>VLOOKUP(A82,伤害计算器!$V$2:$Y$720,3,FALSE)</f>
        <v>ヤドラン</v>
      </c>
      <c r="D82" s="136" t="str">
        <f>VLOOKUP(A82,伤害计算器!$V$2:$Y$720,4,FALSE)</f>
        <v>Slowbro</v>
      </c>
      <c r="E82" s="131" t="s">
        <v>3513</v>
      </c>
      <c r="F82" s="131" t="s">
        <v>3514</v>
      </c>
      <c r="G82" s="131" t="s">
        <v>3515</v>
      </c>
      <c r="H82" s="138">
        <v>95</v>
      </c>
      <c r="I82" s="139">
        <v>75</v>
      </c>
      <c r="J82" s="140">
        <v>110</v>
      </c>
      <c r="K82" s="141">
        <v>100</v>
      </c>
      <c r="L82" s="142">
        <v>80</v>
      </c>
      <c r="M82" s="143">
        <v>30</v>
      </c>
      <c r="N82" s="144">
        <v>490</v>
      </c>
      <c r="O82" s="145" t="s">
        <v>251</v>
      </c>
      <c r="P82" s="133" t="s">
        <v>271</v>
      </c>
      <c r="Q82" s="147">
        <v>78.5</v>
      </c>
      <c r="R82" s="131"/>
    </row>
    <row r="83" ht="29.1" customHeight="1" spans="1:18">
      <c r="A83" s="135" t="s">
        <v>3518</v>
      </c>
      <c r="B83" s="131" t="s">
        <v>3519</v>
      </c>
      <c r="C83" s="136" t="str">
        <f>VLOOKUP(A83,伤害计算器!$V$2:$Y$720,3,FALSE)</f>
        <v>コイル</v>
      </c>
      <c r="D83" s="136" t="str">
        <f>VLOOKUP(A83,伤害计算器!$V$2:$Y$720,4,FALSE)</f>
        <v>Magnemite</v>
      </c>
      <c r="E83" s="131" t="s">
        <v>3520</v>
      </c>
      <c r="F83" s="131" t="s">
        <v>3500</v>
      </c>
      <c r="G83" s="131" t="s">
        <v>37</v>
      </c>
      <c r="H83" s="138">
        <v>25</v>
      </c>
      <c r="I83" s="139">
        <v>35</v>
      </c>
      <c r="J83" s="140">
        <v>70</v>
      </c>
      <c r="K83" s="141">
        <v>95</v>
      </c>
      <c r="L83" s="142">
        <v>55</v>
      </c>
      <c r="M83" s="143">
        <v>45</v>
      </c>
      <c r="N83" s="144">
        <v>325</v>
      </c>
      <c r="O83" s="145" t="s">
        <v>268</v>
      </c>
      <c r="P83" s="133" t="s">
        <v>276</v>
      </c>
      <c r="Q83" s="147">
        <v>6</v>
      </c>
      <c r="R83" s="131"/>
    </row>
    <row r="84" ht="26.1" customHeight="1" spans="1:18">
      <c r="A84" s="135" t="s">
        <v>3521</v>
      </c>
      <c r="B84" s="131" t="s">
        <v>3522</v>
      </c>
      <c r="C84" s="136" t="str">
        <f>VLOOKUP(A84,伤害计算器!$V$2:$Y$720,3,FALSE)</f>
        <v>レアコイル</v>
      </c>
      <c r="D84" s="136" t="str">
        <f>VLOOKUP(A84,伤害计算器!$V$2:$Y$720,4,FALSE)</f>
        <v>Magneton</v>
      </c>
      <c r="E84" s="131" t="s">
        <v>3520</v>
      </c>
      <c r="F84" s="131" t="s">
        <v>3500</v>
      </c>
      <c r="G84" s="131" t="s">
        <v>37</v>
      </c>
      <c r="H84" s="138">
        <v>50</v>
      </c>
      <c r="I84" s="139">
        <v>60</v>
      </c>
      <c r="J84" s="140">
        <v>95</v>
      </c>
      <c r="K84" s="141">
        <v>120</v>
      </c>
      <c r="L84" s="142">
        <v>70</v>
      </c>
      <c r="M84" s="143">
        <v>70</v>
      </c>
      <c r="N84" s="144">
        <v>465</v>
      </c>
      <c r="O84" s="145" t="s">
        <v>268</v>
      </c>
      <c r="P84" s="133" t="s">
        <v>276</v>
      </c>
      <c r="Q84" s="147">
        <v>60</v>
      </c>
      <c r="R84" s="131"/>
    </row>
    <row r="85" ht="27.6" customHeight="1" spans="1:18">
      <c r="A85" s="135" t="s">
        <v>3523</v>
      </c>
      <c r="B85" s="131" t="s">
        <v>3524</v>
      </c>
      <c r="C85" s="136" t="str">
        <f>VLOOKUP(A85,伤害计算器!$V$2:$Y$720,3,FALSE)</f>
        <v>カモネギ</v>
      </c>
      <c r="D85" s="136" t="str">
        <f>VLOOKUP(A85,伤害计算器!$V$2:$Y$720,4,FALSE)</f>
        <v>Farfetch'd</v>
      </c>
      <c r="E85" s="131" t="s">
        <v>3336</v>
      </c>
      <c r="F85" s="131" t="s">
        <v>3409</v>
      </c>
      <c r="G85" s="131" t="s">
        <v>3455</v>
      </c>
      <c r="H85" s="138">
        <v>52</v>
      </c>
      <c r="I85" s="139">
        <v>65</v>
      </c>
      <c r="J85" s="140">
        <v>55</v>
      </c>
      <c r="K85" s="141">
        <v>58</v>
      </c>
      <c r="L85" s="142">
        <v>62</v>
      </c>
      <c r="M85" s="143">
        <v>60</v>
      </c>
      <c r="N85" s="144">
        <v>352</v>
      </c>
      <c r="O85" s="145" t="s">
        <v>267</v>
      </c>
      <c r="P85" s="133" t="s">
        <v>99</v>
      </c>
      <c r="Q85" s="147">
        <v>15</v>
      </c>
      <c r="R85" s="131"/>
    </row>
    <row r="86" ht="25.35" customHeight="1" spans="1:18">
      <c r="A86" s="135" t="s">
        <v>3525</v>
      </c>
      <c r="B86" s="131" t="s">
        <v>3526</v>
      </c>
      <c r="C86" s="136" t="str">
        <f>VLOOKUP(A86,伤害计算器!$V$2:$Y$720,3,FALSE)</f>
        <v>ドードー</v>
      </c>
      <c r="D86" s="136" t="str">
        <f>VLOOKUP(A86,伤害计算器!$V$2:$Y$720,4,FALSE)</f>
        <v>Doduo</v>
      </c>
      <c r="E86" s="131" t="s">
        <v>3319</v>
      </c>
      <c r="F86" s="131" t="s">
        <v>3527</v>
      </c>
      <c r="G86" s="131" t="s">
        <v>79</v>
      </c>
      <c r="H86" s="138">
        <v>35</v>
      </c>
      <c r="I86" s="139">
        <v>85</v>
      </c>
      <c r="J86" s="140">
        <v>45</v>
      </c>
      <c r="K86" s="141">
        <v>35</v>
      </c>
      <c r="L86" s="142">
        <v>35</v>
      </c>
      <c r="M86" s="143">
        <v>75</v>
      </c>
      <c r="N86" s="144">
        <v>310</v>
      </c>
      <c r="O86" s="145" t="s">
        <v>267</v>
      </c>
      <c r="P86" s="133" t="s">
        <v>99</v>
      </c>
      <c r="Q86" s="147">
        <v>39.2</v>
      </c>
      <c r="R86" s="131"/>
    </row>
    <row r="87" ht="29.1" customHeight="1" spans="1:18">
      <c r="A87" s="135" t="s">
        <v>3528</v>
      </c>
      <c r="B87" s="131" t="s">
        <v>3529</v>
      </c>
      <c r="C87" s="136" t="str">
        <f>VLOOKUP(A87,伤害计算器!$V$2:$Y$720,3,FALSE)</f>
        <v>ドードリオ</v>
      </c>
      <c r="D87" s="136" t="str">
        <f>VLOOKUP(A87,伤害计算器!$V$2:$Y$720,4,FALSE)</f>
        <v>Dodrio</v>
      </c>
      <c r="E87" s="131" t="s">
        <v>3319</v>
      </c>
      <c r="F87" s="131" t="s">
        <v>3527</v>
      </c>
      <c r="G87" s="131" t="s">
        <v>79</v>
      </c>
      <c r="H87" s="138">
        <v>60</v>
      </c>
      <c r="I87" s="139">
        <v>110</v>
      </c>
      <c r="J87" s="140">
        <v>70</v>
      </c>
      <c r="K87" s="141">
        <v>60</v>
      </c>
      <c r="L87" s="142">
        <v>60</v>
      </c>
      <c r="M87" s="143">
        <v>100</v>
      </c>
      <c r="N87" s="144">
        <v>460</v>
      </c>
      <c r="O87" s="145" t="s">
        <v>267</v>
      </c>
      <c r="P87" s="133" t="s">
        <v>99</v>
      </c>
      <c r="Q87" s="147">
        <v>85.2</v>
      </c>
      <c r="R87" s="131"/>
    </row>
    <row r="88" ht="27.6" customHeight="1" spans="1:18">
      <c r="A88" s="135" t="s">
        <v>3530</v>
      </c>
      <c r="B88" s="131" t="s">
        <v>3531</v>
      </c>
      <c r="C88" s="136" t="str">
        <f>VLOOKUP(A88,伤害计算器!$V$2:$Y$720,3,FALSE)</f>
        <v>パウワウ</v>
      </c>
      <c r="D88" s="136" t="str">
        <f>VLOOKUP(A88,伤害计算器!$V$2:$Y$720,4,FALSE)</f>
        <v>Seel</v>
      </c>
      <c r="E88" s="131" t="s">
        <v>70</v>
      </c>
      <c r="F88" s="131" t="s">
        <v>3532</v>
      </c>
      <c r="G88" s="131" t="s">
        <v>3533</v>
      </c>
      <c r="H88" s="138">
        <v>65</v>
      </c>
      <c r="I88" s="139">
        <v>45</v>
      </c>
      <c r="J88" s="140">
        <v>55</v>
      </c>
      <c r="K88" s="141">
        <v>45</v>
      </c>
      <c r="L88" s="142">
        <v>70</v>
      </c>
      <c r="M88" s="143">
        <v>45</v>
      </c>
      <c r="N88" s="144">
        <v>325</v>
      </c>
      <c r="O88" s="145" t="s">
        <v>251</v>
      </c>
      <c r="P88" s="133" t="s">
        <v>3295</v>
      </c>
      <c r="Q88" s="147">
        <v>90</v>
      </c>
      <c r="R88" s="131"/>
    </row>
    <row r="89" ht="29.1" customHeight="1" spans="1:18">
      <c r="A89" s="135" t="s">
        <v>3534</v>
      </c>
      <c r="B89" s="131" t="s">
        <v>3535</v>
      </c>
      <c r="C89" s="136" t="str">
        <f>VLOOKUP(A89,伤害计算器!$V$2:$Y$720,3,FALSE)</f>
        <v>ジュゴン</v>
      </c>
      <c r="D89" s="136" t="str">
        <f>VLOOKUP(A89,伤害计算器!$V$2:$Y$720,4,FALSE)</f>
        <v>Dewgong</v>
      </c>
      <c r="E89" s="131" t="s">
        <v>70</v>
      </c>
      <c r="F89" s="131" t="s">
        <v>3532</v>
      </c>
      <c r="G89" s="131" t="s">
        <v>3533</v>
      </c>
      <c r="H89" s="138">
        <v>90</v>
      </c>
      <c r="I89" s="139">
        <v>70</v>
      </c>
      <c r="J89" s="140">
        <v>80</v>
      </c>
      <c r="K89" s="141">
        <v>70</v>
      </c>
      <c r="L89" s="142">
        <v>95</v>
      </c>
      <c r="M89" s="143">
        <v>70</v>
      </c>
      <c r="N89" s="144">
        <v>475</v>
      </c>
      <c r="O89" s="145" t="s">
        <v>251</v>
      </c>
      <c r="P89" s="133" t="s">
        <v>100</v>
      </c>
      <c r="Q89" s="147">
        <v>120</v>
      </c>
      <c r="R89" s="131"/>
    </row>
    <row r="90" ht="26.85" customHeight="1" spans="1:18">
      <c r="A90" s="135" t="s">
        <v>3536</v>
      </c>
      <c r="B90" s="131" t="s">
        <v>3537</v>
      </c>
      <c r="C90" s="136" t="str">
        <f>VLOOKUP(A90,伤害计算器!$V$2:$Y$720,3,FALSE)</f>
        <v>ベトベター</v>
      </c>
      <c r="D90" s="136" t="str">
        <f>VLOOKUP(A90,伤害计算器!$V$2:$Y$720,4,FALSE)</f>
        <v>Grimer</v>
      </c>
      <c r="E90" s="131" t="s">
        <v>3417</v>
      </c>
      <c r="F90" s="131" t="s">
        <v>3538</v>
      </c>
      <c r="G90" s="131" t="s">
        <v>3539</v>
      </c>
      <c r="H90" s="138">
        <v>80</v>
      </c>
      <c r="I90" s="139">
        <v>80</v>
      </c>
      <c r="J90" s="140">
        <v>50</v>
      </c>
      <c r="K90" s="141">
        <v>40</v>
      </c>
      <c r="L90" s="142">
        <v>50</v>
      </c>
      <c r="M90" s="143">
        <v>25</v>
      </c>
      <c r="N90" s="144">
        <v>325</v>
      </c>
      <c r="O90" s="145" t="s">
        <v>270</v>
      </c>
      <c r="P90" s="133" t="s">
        <v>3295</v>
      </c>
      <c r="Q90" s="147">
        <v>30</v>
      </c>
      <c r="R90" s="131"/>
    </row>
    <row r="91" ht="27.6" customHeight="1" spans="1:18">
      <c r="A91" s="135" t="s">
        <v>3540</v>
      </c>
      <c r="B91" s="131" t="s">
        <v>3541</v>
      </c>
      <c r="C91" s="136" t="str">
        <f>VLOOKUP(A91,伤害计算器!$V$2:$Y$720,3,FALSE)</f>
        <v>ベトベトン</v>
      </c>
      <c r="D91" s="136" t="str">
        <f>VLOOKUP(A91,伤害计算器!$V$2:$Y$720,4,FALSE)</f>
        <v>Muk</v>
      </c>
      <c r="E91" s="131" t="s">
        <v>3417</v>
      </c>
      <c r="F91" s="131" t="s">
        <v>3538</v>
      </c>
      <c r="G91" s="131" t="s">
        <v>3539</v>
      </c>
      <c r="H91" s="138">
        <v>105</v>
      </c>
      <c r="I91" s="139">
        <v>105</v>
      </c>
      <c r="J91" s="140">
        <v>75</v>
      </c>
      <c r="K91" s="141">
        <v>65</v>
      </c>
      <c r="L91" s="142">
        <v>100</v>
      </c>
      <c r="M91" s="143">
        <v>50</v>
      </c>
      <c r="N91" s="144">
        <v>500</v>
      </c>
      <c r="O91" s="145" t="s">
        <v>270</v>
      </c>
      <c r="P91" s="133" t="s">
        <v>3295</v>
      </c>
      <c r="Q91" s="147">
        <v>30</v>
      </c>
      <c r="R91" s="131"/>
    </row>
    <row r="92" ht="25.35" customHeight="1" spans="1:18">
      <c r="A92" s="135" t="s">
        <v>3542</v>
      </c>
      <c r="B92" s="131" t="s">
        <v>3543</v>
      </c>
      <c r="C92" s="136" t="str">
        <f>VLOOKUP(A92,伤害计算器!$V$2:$Y$720,3,FALSE)</f>
        <v>シェルダー</v>
      </c>
      <c r="D92" s="136" t="str">
        <f>VLOOKUP(A92,伤害计算器!$V$2:$Y$720,4,FALSE)</f>
        <v>Shellder</v>
      </c>
      <c r="E92" s="131" t="s">
        <v>3544</v>
      </c>
      <c r="F92" s="131" t="s">
        <v>3545</v>
      </c>
      <c r="G92" s="131" t="s">
        <v>3546</v>
      </c>
      <c r="H92" s="138">
        <v>30</v>
      </c>
      <c r="I92" s="139">
        <v>65</v>
      </c>
      <c r="J92" s="140">
        <v>100</v>
      </c>
      <c r="K92" s="141">
        <v>45</v>
      </c>
      <c r="L92" s="142">
        <v>25</v>
      </c>
      <c r="M92" s="143">
        <v>40</v>
      </c>
      <c r="N92" s="144">
        <v>305</v>
      </c>
      <c r="O92" s="145" t="s">
        <v>251</v>
      </c>
      <c r="P92" s="133" t="s">
        <v>3295</v>
      </c>
      <c r="Q92" s="147">
        <v>4</v>
      </c>
      <c r="R92" s="131"/>
    </row>
    <row r="93" ht="26.1" customHeight="1" spans="1:18">
      <c r="A93" s="135" t="s">
        <v>3547</v>
      </c>
      <c r="B93" s="131" t="s">
        <v>3548</v>
      </c>
      <c r="C93" s="136" t="str">
        <f>VLOOKUP(A93,伤害计算器!$V$2:$Y$720,3,FALSE)</f>
        <v>パルシェン</v>
      </c>
      <c r="D93" s="136" t="str">
        <f>VLOOKUP(A93,伤害计算器!$V$2:$Y$720,4,FALSE)</f>
        <v>Cloyster</v>
      </c>
      <c r="E93" s="131" t="s">
        <v>3544</v>
      </c>
      <c r="F93" s="131" t="s">
        <v>3545</v>
      </c>
      <c r="G93" s="131" t="s">
        <v>3546</v>
      </c>
      <c r="H93" s="138">
        <v>50</v>
      </c>
      <c r="I93" s="139">
        <v>95</v>
      </c>
      <c r="J93" s="140">
        <v>180</v>
      </c>
      <c r="K93" s="141">
        <v>85</v>
      </c>
      <c r="L93" s="142">
        <v>45</v>
      </c>
      <c r="M93" s="143">
        <v>70</v>
      </c>
      <c r="N93" s="144">
        <v>525</v>
      </c>
      <c r="O93" s="145" t="s">
        <v>251</v>
      </c>
      <c r="P93" s="133" t="s">
        <v>100</v>
      </c>
      <c r="Q93" s="147">
        <v>132.5</v>
      </c>
      <c r="R93" s="131"/>
    </row>
    <row r="94" ht="28.35" customHeight="1" spans="1:18">
      <c r="A94" s="135" t="s">
        <v>3549</v>
      </c>
      <c r="B94" s="131" t="s">
        <v>3550</v>
      </c>
      <c r="C94" s="136" t="str">
        <f>VLOOKUP(A94,伤害计算器!$V$2:$Y$720,3,FALSE)</f>
        <v>ゴース</v>
      </c>
      <c r="D94" s="136" t="str">
        <f>VLOOKUP(A94,伤害计算器!$V$2:$Y$720,4,FALSE)</f>
        <v>Gastly</v>
      </c>
      <c r="E94" s="131" t="s">
        <v>582</v>
      </c>
      <c r="F94" s="137" t="s">
        <v>3295</v>
      </c>
      <c r="G94" s="137" t="s">
        <v>3551</v>
      </c>
      <c r="H94" s="138">
        <v>30</v>
      </c>
      <c r="I94" s="139">
        <v>35</v>
      </c>
      <c r="J94" s="140">
        <v>30</v>
      </c>
      <c r="K94" s="141">
        <v>100</v>
      </c>
      <c r="L94" s="142">
        <v>35</v>
      </c>
      <c r="M94" s="143">
        <v>80</v>
      </c>
      <c r="N94" s="144">
        <v>310</v>
      </c>
      <c r="O94" s="145" t="s">
        <v>273</v>
      </c>
      <c r="P94" s="133" t="s">
        <v>270</v>
      </c>
      <c r="Q94" s="147">
        <v>0.1</v>
      </c>
      <c r="R94" s="131"/>
    </row>
    <row r="95" ht="27.6" customHeight="1" spans="1:18">
      <c r="A95" s="135" t="s">
        <v>3552</v>
      </c>
      <c r="B95" s="131" t="s">
        <v>3553</v>
      </c>
      <c r="C95" s="136" t="str">
        <f>VLOOKUP(A95,伤害计算器!$V$2:$Y$720,3,FALSE)</f>
        <v>ゴースト</v>
      </c>
      <c r="D95" s="136" t="str">
        <f>VLOOKUP(A95,伤害计算器!$V$2:$Y$720,4,FALSE)</f>
        <v>Haunter</v>
      </c>
      <c r="E95" s="131" t="s">
        <v>582</v>
      </c>
      <c r="F95" s="137" t="s">
        <v>3295</v>
      </c>
      <c r="G95" s="137" t="s">
        <v>3551</v>
      </c>
      <c r="H95" s="138">
        <v>45</v>
      </c>
      <c r="I95" s="139">
        <v>50</v>
      </c>
      <c r="J95" s="140">
        <v>45</v>
      </c>
      <c r="K95" s="141">
        <v>115</v>
      </c>
      <c r="L95" s="142">
        <v>55</v>
      </c>
      <c r="M95" s="143">
        <v>95</v>
      </c>
      <c r="N95" s="144">
        <v>405</v>
      </c>
      <c r="O95" s="145" t="s">
        <v>273</v>
      </c>
      <c r="P95" s="133" t="s">
        <v>270</v>
      </c>
      <c r="Q95" s="147">
        <v>0.1</v>
      </c>
      <c r="R95" s="131"/>
    </row>
    <row r="96" ht="26.85" customHeight="1" spans="1:18">
      <c r="A96" s="135" t="s">
        <v>3554</v>
      </c>
      <c r="B96" s="131" t="s">
        <v>3555</v>
      </c>
      <c r="C96" s="136" t="str">
        <f>VLOOKUP(A96,伤害计算器!$V$2:$Y$720,3,FALSE)</f>
        <v>ゲンガー</v>
      </c>
      <c r="D96" s="136" t="str">
        <f>VLOOKUP(A96,伤害计算器!$V$2:$Y$720,4,FALSE)</f>
        <v>Gengar</v>
      </c>
      <c r="E96" s="131" t="s">
        <v>582</v>
      </c>
      <c r="F96" s="137" t="s">
        <v>3295</v>
      </c>
      <c r="G96" s="137" t="s">
        <v>3551</v>
      </c>
      <c r="H96" s="138">
        <v>60</v>
      </c>
      <c r="I96" s="139">
        <v>65</v>
      </c>
      <c r="J96" s="140">
        <v>60</v>
      </c>
      <c r="K96" s="141">
        <v>130</v>
      </c>
      <c r="L96" s="142">
        <v>75</v>
      </c>
      <c r="M96" s="143">
        <v>110</v>
      </c>
      <c r="N96" s="144">
        <v>500</v>
      </c>
      <c r="O96" s="145" t="s">
        <v>273</v>
      </c>
      <c r="P96" s="133" t="s">
        <v>270</v>
      </c>
      <c r="Q96" s="147">
        <v>40.5</v>
      </c>
      <c r="R96" s="131"/>
    </row>
    <row r="97" ht="27.6" customHeight="1" spans="1:18">
      <c r="A97" s="135" t="s">
        <v>3556</v>
      </c>
      <c r="B97" s="131" t="s">
        <v>3557</v>
      </c>
      <c r="C97" s="136" t="str">
        <f>VLOOKUP(A97,伤害计算器!$V$2:$Y$720,3,FALSE)</f>
        <v>イワーク</v>
      </c>
      <c r="D97" s="136" t="str">
        <f>VLOOKUP(A97,伤害计算器!$V$2:$Y$720,4,FALSE)</f>
        <v>Onix</v>
      </c>
      <c r="E97" s="131" t="s">
        <v>3499</v>
      </c>
      <c r="F97" s="131" t="s">
        <v>3500</v>
      </c>
      <c r="G97" s="131" t="s">
        <v>3558</v>
      </c>
      <c r="H97" s="138">
        <v>35</v>
      </c>
      <c r="I97" s="139">
        <v>45</v>
      </c>
      <c r="J97" s="140">
        <v>160</v>
      </c>
      <c r="K97" s="141">
        <v>30</v>
      </c>
      <c r="L97" s="142">
        <v>45</v>
      </c>
      <c r="M97" s="143">
        <v>70</v>
      </c>
      <c r="N97" s="144">
        <v>385</v>
      </c>
      <c r="O97" s="145" t="s">
        <v>252</v>
      </c>
      <c r="P97" s="133" t="s">
        <v>237</v>
      </c>
      <c r="Q97" s="147">
        <v>210</v>
      </c>
      <c r="R97" s="131"/>
    </row>
    <row r="98" ht="28.35" customHeight="1" spans="1:18">
      <c r="A98" s="135" t="s">
        <v>3559</v>
      </c>
      <c r="B98" s="131" t="s">
        <v>3560</v>
      </c>
      <c r="C98" s="136" t="str">
        <f>VLOOKUP(A98,伤害计算器!$V$2:$Y$720,3,FALSE)</f>
        <v>スリープ</v>
      </c>
      <c r="D98" s="136" t="str">
        <f>VLOOKUP(A98,伤害计算器!$V$2:$Y$720,4,FALSE)</f>
        <v>Drowzee</v>
      </c>
      <c r="E98" s="131" t="s">
        <v>3561</v>
      </c>
      <c r="F98" s="131" t="s">
        <v>3562</v>
      </c>
      <c r="G98" s="131" t="s">
        <v>3563</v>
      </c>
      <c r="H98" s="138">
        <v>60</v>
      </c>
      <c r="I98" s="139">
        <v>48</v>
      </c>
      <c r="J98" s="140">
        <v>45</v>
      </c>
      <c r="K98" s="141">
        <v>43</v>
      </c>
      <c r="L98" s="142">
        <v>90</v>
      </c>
      <c r="M98" s="143">
        <v>42</v>
      </c>
      <c r="N98" s="144">
        <v>328</v>
      </c>
      <c r="O98" s="145" t="s">
        <v>271</v>
      </c>
      <c r="P98" s="133" t="s">
        <v>3295</v>
      </c>
      <c r="Q98" s="147">
        <v>32.4</v>
      </c>
      <c r="R98" s="131"/>
    </row>
    <row r="99" ht="26.85" customHeight="1" spans="1:18">
      <c r="A99" s="135" t="s">
        <v>3564</v>
      </c>
      <c r="B99" s="131" t="s">
        <v>3565</v>
      </c>
      <c r="C99" s="136" t="str">
        <f>VLOOKUP(A99,伤害计算器!$V$2:$Y$720,3,FALSE)</f>
        <v>スリーパー</v>
      </c>
      <c r="D99" s="136" t="str">
        <f>VLOOKUP(A99,伤害计算器!$V$2:$Y$720,4,FALSE)</f>
        <v>Hypno</v>
      </c>
      <c r="E99" s="131" t="s">
        <v>3561</v>
      </c>
      <c r="F99" s="131" t="s">
        <v>3566</v>
      </c>
      <c r="G99" s="131" t="s">
        <v>3409</v>
      </c>
      <c r="H99" s="138">
        <v>85</v>
      </c>
      <c r="I99" s="139">
        <v>73</v>
      </c>
      <c r="J99" s="140">
        <v>70</v>
      </c>
      <c r="K99" s="141">
        <v>73</v>
      </c>
      <c r="L99" s="142">
        <v>115</v>
      </c>
      <c r="M99" s="143">
        <v>67</v>
      </c>
      <c r="N99" s="144">
        <v>483</v>
      </c>
      <c r="O99" s="145" t="s">
        <v>271</v>
      </c>
      <c r="P99" s="133" t="s">
        <v>3295</v>
      </c>
      <c r="Q99" s="147">
        <v>75.6</v>
      </c>
      <c r="R99" s="131"/>
    </row>
    <row r="100" ht="25.35" customHeight="1" spans="1:18">
      <c r="A100" s="135" t="s">
        <v>3567</v>
      </c>
      <c r="B100" s="131" t="s">
        <v>3568</v>
      </c>
      <c r="C100" s="136" t="str">
        <f>VLOOKUP(A100,伤害计算器!$V$2:$Y$720,3,FALSE)</f>
        <v>クラブ</v>
      </c>
      <c r="D100" s="136" t="str">
        <f>VLOOKUP(A100,伤害计算器!$V$2:$Y$720,4,FALSE)</f>
        <v>Krabby</v>
      </c>
      <c r="E100" s="131" t="s">
        <v>3569</v>
      </c>
      <c r="F100" s="131" t="s">
        <v>3544</v>
      </c>
      <c r="G100" s="131" t="s">
        <v>41</v>
      </c>
      <c r="H100" s="138">
        <v>30</v>
      </c>
      <c r="I100" s="139">
        <v>105</v>
      </c>
      <c r="J100" s="140">
        <v>90</v>
      </c>
      <c r="K100" s="141">
        <v>25</v>
      </c>
      <c r="L100" s="142">
        <v>25</v>
      </c>
      <c r="M100" s="143">
        <v>50</v>
      </c>
      <c r="N100" s="144">
        <v>325</v>
      </c>
      <c r="O100" s="145" t="s">
        <v>251</v>
      </c>
      <c r="P100" s="133" t="s">
        <v>3295</v>
      </c>
      <c r="Q100" s="147">
        <v>6.5</v>
      </c>
      <c r="R100" s="131"/>
    </row>
    <row r="101" ht="24.6" customHeight="1" spans="1:18">
      <c r="A101" s="135" t="s">
        <v>3570</v>
      </c>
      <c r="B101" s="131" t="s">
        <v>3571</v>
      </c>
      <c r="C101" s="136" t="str">
        <f>VLOOKUP(A101,伤害计算器!$V$2:$Y$720,3,FALSE)</f>
        <v>キングラー</v>
      </c>
      <c r="D101" s="136" t="str">
        <f>VLOOKUP(A101,伤害计算器!$V$2:$Y$720,4,FALSE)</f>
        <v>Kingler</v>
      </c>
      <c r="E101" s="131" t="s">
        <v>3569</v>
      </c>
      <c r="F101" s="131" t="s">
        <v>3544</v>
      </c>
      <c r="G101" s="131" t="s">
        <v>41</v>
      </c>
      <c r="H101" s="138">
        <v>55</v>
      </c>
      <c r="I101" s="139">
        <v>130</v>
      </c>
      <c r="J101" s="140">
        <v>115</v>
      </c>
      <c r="K101" s="141">
        <v>50</v>
      </c>
      <c r="L101" s="142">
        <v>50</v>
      </c>
      <c r="M101" s="143">
        <v>75</v>
      </c>
      <c r="N101" s="144">
        <v>475</v>
      </c>
      <c r="O101" s="145" t="s">
        <v>251</v>
      </c>
      <c r="P101" s="133" t="s">
        <v>3295</v>
      </c>
      <c r="Q101" s="147">
        <v>60</v>
      </c>
      <c r="R101" s="131"/>
    </row>
    <row r="102" ht="25.35" customHeight="1" spans="1:18">
      <c r="A102" s="135" t="s">
        <v>3572</v>
      </c>
      <c r="B102" s="131" t="s">
        <v>3573</v>
      </c>
      <c r="C102" s="136" t="str">
        <f>VLOOKUP(A102,伤害计算器!$V$2:$Y$720,3,FALSE)</f>
        <v>ビリリダマ</v>
      </c>
      <c r="D102" s="136" t="str">
        <f>VLOOKUP(A102,伤害计算器!$V$2:$Y$720,4,FALSE)</f>
        <v>Voltorb</v>
      </c>
      <c r="E102" s="131" t="s">
        <v>591</v>
      </c>
      <c r="F102" s="131" t="s">
        <v>3361</v>
      </c>
      <c r="G102" s="131" t="s">
        <v>3574</v>
      </c>
      <c r="H102" s="138">
        <v>40</v>
      </c>
      <c r="I102" s="139">
        <v>30</v>
      </c>
      <c r="J102" s="140">
        <v>50</v>
      </c>
      <c r="K102" s="141">
        <v>55</v>
      </c>
      <c r="L102" s="142">
        <v>55</v>
      </c>
      <c r="M102" s="143">
        <v>100</v>
      </c>
      <c r="N102" s="144">
        <v>330</v>
      </c>
      <c r="O102" s="145" t="s">
        <v>268</v>
      </c>
      <c r="P102" s="133" t="s">
        <v>3295</v>
      </c>
      <c r="Q102" s="147">
        <v>10.4</v>
      </c>
      <c r="R102" s="131"/>
    </row>
    <row r="103" ht="24.6" customHeight="1" spans="1:18">
      <c r="A103" s="135" t="s">
        <v>3575</v>
      </c>
      <c r="B103" s="131" t="s">
        <v>3576</v>
      </c>
      <c r="C103" s="136" t="str">
        <f>VLOOKUP(A103,伤害计算器!$V$2:$Y$720,3,FALSE)</f>
        <v>マルマイン</v>
      </c>
      <c r="D103" s="136" t="str">
        <f>VLOOKUP(A103,伤害计算器!$V$2:$Y$720,4,FALSE)</f>
        <v>Electrode</v>
      </c>
      <c r="E103" s="131" t="s">
        <v>591</v>
      </c>
      <c r="F103" s="131" t="s">
        <v>3361</v>
      </c>
      <c r="G103" s="131" t="s">
        <v>3574</v>
      </c>
      <c r="H103" s="138">
        <v>60</v>
      </c>
      <c r="I103" s="139">
        <v>50</v>
      </c>
      <c r="J103" s="140">
        <v>70</v>
      </c>
      <c r="K103" s="141">
        <v>80</v>
      </c>
      <c r="L103" s="142">
        <v>80</v>
      </c>
      <c r="M103" s="143">
        <v>140</v>
      </c>
      <c r="N103" s="144">
        <v>480</v>
      </c>
      <c r="O103" s="145" t="s">
        <v>268</v>
      </c>
      <c r="P103" s="133" t="s">
        <v>3295</v>
      </c>
      <c r="Q103" s="147">
        <v>66.6</v>
      </c>
      <c r="R103" s="131"/>
    </row>
    <row r="104" ht="26.1" customHeight="1" spans="1:18">
      <c r="A104" s="135" t="s">
        <v>3577</v>
      </c>
      <c r="B104" s="131" t="s">
        <v>3578</v>
      </c>
      <c r="C104" s="136" t="str">
        <f>VLOOKUP(A104,伤害计算器!$V$2:$Y$720,3,FALSE)</f>
        <v>タマタマ</v>
      </c>
      <c r="D104" s="136" t="str">
        <f>VLOOKUP(A104,伤害计算器!$V$2:$Y$720,4,FALSE)</f>
        <v>Exeggcute</v>
      </c>
      <c r="E104" s="131" t="s">
        <v>3296</v>
      </c>
      <c r="F104" s="137" t="s">
        <v>3295</v>
      </c>
      <c r="G104" s="131" t="s">
        <v>3579</v>
      </c>
      <c r="H104" s="138">
        <v>60</v>
      </c>
      <c r="I104" s="139">
        <v>40</v>
      </c>
      <c r="J104" s="140">
        <v>80</v>
      </c>
      <c r="K104" s="141">
        <v>60</v>
      </c>
      <c r="L104" s="142">
        <v>45</v>
      </c>
      <c r="M104" s="143">
        <v>40</v>
      </c>
      <c r="N104" s="144">
        <v>325</v>
      </c>
      <c r="O104" s="145" t="s">
        <v>235</v>
      </c>
      <c r="P104" s="133" t="s">
        <v>271</v>
      </c>
      <c r="Q104" s="147">
        <v>2.5</v>
      </c>
      <c r="R104" s="131"/>
    </row>
    <row r="105" ht="24.6" customHeight="1" spans="1:18">
      <c r="A105" s="135" t="s">
        <v>3580</v>
      </c>
      <c r="B105" s="131" t="s">
        <v>3581</v>
      </c>
      <c r="C105" s="136" t="str">
        <f>VLOOKUP(A105,伤害计算器!$V$2:$Y$720,3,FALSE)</f>
        <v>ナッシー</v>
      </c>
      <c r="D105" s="136" t="str">
        <f>VLOOKUP(A105,伤害计算器!$V$2:$Y$720,4,FALSE)</f>
        <v>Exeggutor</v>
      </c>
      <c r="E105" s="131" t="s">
        <v>3296</v>
      </c>
      <c r="F105" s="137" t="s">
        <v>3295</v>
      </c>
      <c r="G105" s="131" t="s">
        <v>3579</v>
      </c>
      <c r="H105" s="138">
        <v>95</v>
      </c>
      <c r="I105" s="139">
        <v>95</v>
      </c>
      <c r="J105" s="140">
        <v>85</v>
      </c>
      <c r="K105" s="141">
        <v>125</v>
      </c>
      <c r="L105" s="142">
        <v>65</v>
      </c>
      <c r="M105" s="143">
        <v>55</v>
      </c>
      <c r="N105" s="144">
        <v>520</v>
      </c>
      <c r="O105" s="145" t="s">
        <v>235</v>
      </c>
      <c r="P105" s="133" t="s">
        <v>271</v>
      </c>
      <c r="Q105" s="147">
        <v>120</v>
      </c>
      <c r="R105" s="131"/>
    </row>
    <row r="106" ht="24.6" customHeight="1" spans="1:18">
      <c r="A106" s="135" t="s">
        <v>3582</v>
      </c>
      <c r="B106" s="131" t="s">
        <v>3583</v>
      </c>
      <c r="C106" s="136" t="str">
        <f>VLOOKUP(A106,伤害计算器!$V$2:$Y$720,3,FALSE)</f>
        <v>カラカラ</v>
      </c>
      <c r="D106" s="136" t="str">
        <f>VLOOKUP(A106,伤害计算器!$V$2:$Y$720,4,FALSE)</f>
        <v>Cubone</v>
      </c>
      <c r="E106" s="131" t="s">
        <v>3499</v>
      </c>
      <c r="F106" s="131" t="s">
        <v>562</v>
      </c>
      <c r="G106" s="131" t="s">
        <v>3584</v>
      </c>
      <c r="H106" s="138">
        <v>50</v>
      </c>
      <c r="I106" s="139">
        <v>50</v>
      </c>
      <c r="J106" s="140">
        <v>95</v>
      </c>
      <c r="K106" s="141">
        <v>40</v>
      </c>
      <c r="L106" s="142">
        <v>50</v>
      </c>
      <c r="M106" s="143">
        <v>35</v>
      </c>
      <c r="N106" s="144">
        <v>320</v>
      </c>
      <c r="O106" s="145" t="s">
        <v>237</v>
      </c>
      <c r="P106" s="133" t="s">
        <v>3295</v>
      </c>
      <c r="Q106" s="147">
        <v>6.5</v>
      </c>
      <c r="R106" s="131"/>
    </row>
    <row r="107" ht="23.1" customHeight="1" spans="1:18">
      <c r="A107" s="135" t="s">
        <v>3585</v>
      </c>
      <c r="B107" s="131" t="s">
        <v>3586</v>
      </c>
      <c r="C107" s="136" t="str">
        <f>VLOOKUP(A107,伤害计算器!$V$2:$Y$720,3,FALSE)</f>
        <v>ガラガラ</v>
      </c>
      <c r="D107" s="136" t="str">
        <f>VLOOKUP(A107,伤害计算器!$V$2:$Y$720,4,FALSE)</f>
        <v>Marowak</v>
      </c>
      <c r="E107" s="131" t="s">
        <v>3499</v>
      </c>
      <c r="F107" s="131" t="s">
        <v>562</v>
      </c>
      <c r="G107" s="131" t="s">
        <v>3584</v>
      </c>
      <c r="H107" s="138">
        <v>60</v>
      </c>
      <c r="I107" s="139">
        <v>80</v>
      </c>
      <c r="J107" s="140">
        <v>110</v>
      </c>
      <c r="K107" s="141">
        <v>50</v>
      </c>
      <c r="L107" s="142">
        <v>80</v>
      </c>
      <c r="M107" s="143">
        <v>45</v>
      </c>
      <c r="N107" s="144">
        <v>425</v>
      </c>
      <c r="O107" s="145" t="s">
        <v>237</v>
      </c>
      <c r="P107" s="133" t="s">
        <v>3295</v>
      </c>
      <c r="Q107" s="147">
        <v>45</v>
      </c>
      <c r="R107" s="131"/>
    </row>
    <row r="108" ht="27.6" customHeight="1" spans="1:18">
      <c r="A108" s="135" t="s">
        <v>3587</v>
      </c>
      <c r="B108" s="131" t="s">
        <v>3588</v>
      </c>
      <c r="C108" s="136" t="str">
        <f>VLOOKUP(A108,伤害计算器!$V$2:$Y$720,3,FALSE)</f>
        <v>サワムラー</v>
      </c>
      <c r="D108" s="136" t="str">
        <f>VLOOKUP(A108,伤害计算器!$V$2:$Y$720,4,FALSE)</f>
        <v>Hitmonlee</v>
      </c>
      <c r="E108" s="131" t="s">
        <v>3444</v>
      </c>
      <c r="F108" s="131" t="s">
        <v>38</v>
      </c>
      <c r="G108" s="131" t="s">
        <v>3589</v>
      </c>
      <c r="H108" s="138">
        <v>50</v>
      </c>
      <c r="I108" s="139">
        <v>120</v>
      </c>
      <c r="J108" s="140">
        <v>53</v>
      </c>
      <c r="K108" s="141">
        <v>35</v>
      </c>
      <c r="L108" s="142">
        <v>110</v>
      </c>
      <c r="M108" s="143">
        <v>87</v>
      </c>
      <c r="N108" s="144">
        <v>455</v>
      </c>
      <c r="O108" s="145" t="s">
        <v>269</v>
      </c>
      <c r="P108" s="133" t="s">
        <v>3295</v>
      </c>
      <c r="Q108" s="147">
        <v>49.8</v>
      </c>
      <c r="R108" s="131"/>
    </row>
    <row r="109" ht="26.1" customHeight="1" spans="1:18">
      <c r="A109" s="135" t="s">
        <v>3590</v>
      </c>
      <c r="B109" s="131" t="s">
        <v>3591</v>
      </c>
      <c r="C109" s="136" t="str">
        <f>VLOOKUP(A109,伤害计算器!$V$2:$Y$720,3,FALSE)</f>
        <v>エビワラー</v>
      </c>
      <c r="D109" s="136" t="str">
        <f>VLOOKUP(A109,伤害计算器!$V$2:$Y$720,4,FALSE)</f>
        <v>Hitmonchan</v>
      </c>
      <c r="E109" s="131" t="s">
        <v>3336</v>
      </c>
      <c r="F109" s="131" t="s">
        <v>39</v>
      </c>
      <c r="G109" s="131" t="s">
        <v>3409</v>
      </c>
      <c r="H109" s="138">
        <v>50</v>
      </c>
      <c r="I109" s="139">
        <v>105</v>
      </c>
      <c r="J109" s="140">
        <v>79</v>
      </c>
      <c r="K109" s="141">
        <v>35</v>
      </c>
      <c r="L109" s="142">
        <v>110</v>
      </c>
      <c r="M109" s="143">
        <v>76</v>
      </c>
      <c r="N109" s="144">
        <v>455</v>
      </c>
      <c r="O109" s="145" t="s">
        <v>269</v>
      </c>
      <c r="P109" s="133" t="s">
        <v>3295</v>
      </c>
      <c r="Q109" s="147">
        <v>50.2</v>
      </c>
      <c r="R109" s="131"/>
    </row>
    <row r="110" ht="27.6" customHeight="1" spans="1:18">
      <c r="A110" s="135" t="s">
        <v>3592</v>
      </c>
      <c r="B110" s="131" t="s">
        <v>3593</v>
      </c>
      <c r="C110" s="136" t="str">
        <f>VLOOKUP(A110,伤害计算器!$V$2:$Y$720,3,FALSE)</f>
        <v>ベロリンガ</v>
      </c>
      <c r="D110" s="136" t="str">
        <f>VLOOKUP(A110,伤害计算器!$V$2:$Y$720,4,FALSE)</f>
        <v>Lickitung</v>
      </c>
      <c r="E110" s="131" t="s">
        <v>3514</v>
      </c>
      <c r="F110" s="131" t="s">
        <v>3513</v>
      </c>
      <c r="G110" s="131" t="s">
        <v>220</v>
      </c>
      <c r="H110" s="138">
        <v>90</v>
      </c>
      <c r="I110" s="139">
        <v>55</v>
      </c>
      <c r="J110" s="140">
        <v>75</v>
      </c>
      <c r="K110" s="141">
        <v>60</v>
      </c>
      <c r="L110" s="142">
        <v>75</v>
      </c>
      <c r="M110" s="143">
        <v>30</v>
      </c>
      <c r="N110" s="144">
        <v>385</v>
      </c>
      <c r="O110" s="145" t="s">
        <v>267</v>
      </c>
      <c r="P110" s="133" t="s">
        <v>3295</v>
      </c>
      <c r="Q110" s="147">
        <v>65.5</v>
      </c>
      <c r="R110" s="131"/>
    </row>
    <row r="111" ht="24.6" customHeight="1" spans="1:18">
      <c r="A111" s="135" t="s">
        <v>3594</v>
      </c>
      <c r="B111" s="131" t="s">
        <v>3595</v>
      </c>
      <c r="C111" s="136" t="str">
        <f>VLOOKUP(A111,伤害计算器!$V$2:$Y$720,3,FALSE)</f>
        <v>ドガース</v>
      </c>
      <c r="D111" s="136" t="str">
        <f>VLOOKUP(A111,伤害计算器!$V$2:$Y$720,4,FALSE)</f>
        <v>Koffing</v>
      </c>
      <c r="E111" s="131" t="s">
        <v>582</v>
      </c>
      <c r="F111" s="137" t="s">
        <v>3295</v>
      </c>
      <c r="G111" s="137" t="s">
        <v>582</v>
      </c>
      <c r="H111" s="138">
        <v>40</v>
      </c>
      <c r="I111" s="139">
        <v>65</v>
      </c>
      <c r="J111" s="140">
        <v>95</v>
      </c>
      <c r="K111" s="141">
        <v>60</v>
      </c>
      <c r="L111" s="142">
        <v>45</v>
      </c>
      <c r="M111" s="143">
        <v>35</v>
      </c>
      <c r="N111" s="144">
        <v>340</v>
      </c>
      <c r="O111" s="145" t="s">
        <v>270</v>
      </c>
      <c r="P111" s="133" t="s">
        <v>3295</v>
      </c>
      <c r="Q111" s="147">
        <v>1</v>
      </c>
      <c r="R111" s="131"/>
    </row>
    <row r="112" ht="24.6" customHeight="1" spans="1:18">
      <c r="A112" s="135" t="s">
        <v>3596</v>
      </c>
      <c r="B112" s="131" t="s">
        <v>3597</v>
      </c>
      <c r="C112" s="136" t="str">
        <f>VLOOKUP(A112,伤害计算器!$V$2:$Y$720,3,FALSE)</f>
        <v>マタドガス</v>
      </c>
      <c r="D112" s="136" t="str">
        <f>VLOOKUP(A112,伤害计算器!$V$2:$Y$720,4,FALSE)</f>
        <v>Weezing</v>
      </c>
      <c r="E112" s="131" t="s">
        <v>582</v>
      </c>
      <c r="F112" s="137" t="s">
        <v>3295</v>
      </c>
      <c r="G112" s="137" t="s">
        <v>582</v>
      </c>
      <c r="H112" s="138">
        <v>65</v>
      </c>
      <c r="I112" s="139">
        <v>90</v>
      </c>
      <c r="J112" s="140">
        <v>120</v>
      </c>
      <c r="K112" s="141">
        <v>85</v>
      </c>
      <c r="L112" s="142">
        <v>70</v>
      </c>
      <c r="M112" s="143">
        <v>60</v>
      </c>
      <c r="N112" s="144">
        <v>490</v>
      </c>
      <c r="O112" s="145" t="s">
        <v>270</v>
      </c>
      <c r="P112" s="133" t="s">
        <v>3295</v>
      </c>
      <c r="Q112" s="147">
        <v>9.5</v>
      </c>
      <c r="R112" s="131"/>
    </row>
    <row r="113" ht="26.1" customHeight="1" spans="1:18">
      <c r="A113" s="135" t="s">
        <v>3598</v>
      </c>
      <c r="B113" s="131" t="s">
        <v>3599</v>
      </c>
      <c r="C113" s="136" t="str">
        <f>VLOOKUP(A113,伤害计算器!$V$2:$Y$720,3,FALSE)</f>
        <v>サイホーン</v>
      </c>
      <c r="D113" s="136" t="str">
        <f>VLOOKUP(A113,伤害计算器!$V$2:$Y$720,4,FALSE)</f>
        <v>Rhyhorn</v>
      </c>
      <c r="E113" s="131" t="s">
        <v>562</v>
      </c>
      <c r="F113" s="131" t="s">
        <v>3499</v>
      </c>
      <c r="G113" s="131" t="s">
        <v>38</v>
      </c>
      <c r="H113" s="138">
        <v>80</v>
      </c>
      <c r="I113" s="139">
        <v>85</v>
      </c>
      <c r="J113" s="140">
        <v>95</v>
      </c>
      <c r="K113" s="141">
        <v>30</v>
      </c>
      <c r="L113" s="142">
        <v>30</v>
      </c>
      <c r="M113" s="143">
        <v>25</v>
      </c>
      <c r="N113" s="144">
        <v>345</v>
      </c>
      <c r="O113" s="145" t="s">
        <v>237</v>
      </c>
      <c r="P113" s="133" t="s">
        <v>252</v>
      </c>
      <c r="Q113" s="147">
        <v>115</v>
      </c>
      <c r="R113" s="131"/>
    </row>
    <row r="114" ht="24.6" customHeight="1" spans="1:18">
      <c r="A114" s="135" t="s">
        <v>3600</v>
      </c>
      <c r="B114" s="131" t="s">
        <v>3601</v>
      </c>
      <c r="C114" s="136" t="str">
        <f>VLOOKUP(A114,伤害计算器!$V$2:$Y$720,3,FALSE)</f>
        <v>サイドン</v>
      </c>
      <c r="D114" s="136" t="str">
        <f>VLOOKUP(A114,伤害计算器!$V$2:$Y$720,4,FALSE)</f>
        <v>Rhydon</v>
      </c>
      <c r="E114" s="131" t="s">
        <v>562</v>
      </c>
      <c r="F114" s="131" t="s">
        <v>3499</v>
      </c>
      <c r="G114" s="131" t="s">
        <v>38</v>
      </c>
      <c r="H114" s="138">
        <v>105</v>
      </c>
      <c r="I114" s="139">
        <v>130</v>
      </c>
      <c r="J114" s="140">
        <v>120</v>
      </c>
      <c r="K114" s="141">
        <v>45</v>
      </c>
      <c r="L114" s="142">
        <v>45</v>
      </c>
      <c r="M114" s="143">
        <v>40</v>
      </c>
      <c r="N114" s="144">
        <v>485</v>
      </c>
      <c r="O114" s="145" t="s">
        <v>237</v>
      </c>
      <c r="P114" s="133" t="s">
        <v>252</v>
      </c>
      <c r="Q114" s="147">
        <v>120</v>
      </c>
      <c r="R114" s="131"/>
    </row>
    <row r="115" ht="23.1" customHeight="1" spans="1:18">
      <c r="A115" s="135" t="s">
        <v>3602</v>
      </c>
      <c r="B115" s="131" t="s">
        <v>3603</v>
      </c>
      <c r="C115" s="136" t="str">
        <f>VLOOKUP(A115,伤害计算器!$V$2:$Y$720,3,FALSE)</f>
        <v>ラッキー</v>
      </c>
      <c r="D115" s="136" t="str">
        <f>VLOOKUP(A115,伤害计算器!$V$2:$Y$720,4,FALSE)</f>
        <v>Chansey</v>
      </c>
      <c r="E115" s="131" t="s">
        <v>3604</v>
      </c>
      <c r="F115" s="131" t="s">
        <v>3605</v>
      </c>
      <c r="G115" s="131" t="s">
        <v>3606</v>
      </c>
      <c r="H115" s="138">
        <v>250</v>
      </c>
      <c r="I115" s="139">
        <v>5</v>
      </c>
      <c r="J115" s="140">
        <v>5</v>
      </c>
      <c r="K115" s="141">
        <v>35</v>
      </c>
      <c r="L115" s="142">
        <v>105</v>
      </c>
      <c r="M115" s="143">
        <v>50</v>
      </c>
      <c r="N115" s="144">
        <v>450</v>
      </c>
      <c r="O115" s="145" t="s">
        <v>267</v>
      </c>
      <c r="P115" s="133" t="s">
        <v>3295</v>
      </c>
      <c r="Q115" s="147">
        <v>34.6</v>
      </c>
      <c r="R115" s="131"/>
    </row>
    <row r="116" ht="24.6" customHeight="1" spans="1:18">
      <c r="A116" s="135" t="s">
        <v>3607</v>
      </c>
      <c r="B116" s="131" t="s">
        <v>3608</v>
      </c>
      <c r="C116" s="136" t="str">
        <f>VLOOKUP(A116,伤害计算器!$V$2:$Y$720,3,FALSE)</f>
        <v>モンジャラ</v>
      </c>
      <c r="D116" s="136" t="str">
        <f>VLOOKUP(A116,伤害计算器!$V$2:$Y$720,4,FALSE)</f>
        <v>Tangela</v>
      </c>
      <c r="E116" s="131" t="s">
        <v>3296</v>
      </c>
      <c r="F116" s="131" t="s">
        <v>3609</v>
      </c>
      <c r="G116" s="131" t="s">
        <v>3515</v>
      </c>
      <c r="H116" s="138">
        <v>65</v>
      </c>
      <c r="I116" s="139">
        <v>55</v>
      </c>
      <c r="J116" s="140">
        <v>115</v>
      </c>
      <c r="K116" s="141">
        <v>100</v>
      </c>
      <c r="L116" s="142">
        <v>40</v>
      </c>
      <c r="M116" s="143">
        <v>60</v>
      </c>
      <c r="N116" s="144">
        <v>435</v>
      </c>
      <c r="O116" s="145" t="s">
        <v>235</v>
      </c>
      <c r="P116" s="133" t="s">
        <v>3295</v>
      </c>
      <c r="Q116" s="147">
        <v>35</v>
      </c>
      <c r="R116" s="131"/>
    </row>
    <row r="117" ht="24.6" customHeight="1" spans="1:18">
      <c r="A117" s="135" t="s">
        <v>3610</v>
      </c>
      <c r="B117" s="131" t="s">
        <v>3611</v>
      </c>
      <c r="C117" s="136" t="str">
        <f>VLOOKUP(A117,伤害计算器!$V$2:$Y$720,3,FALSE)</f>
        <v>ガルーラ</v>
      </c>
      <c r="D117" s="136" t="str">
        <f>VLOOKUP(A117,伤害计算器!$V$2:$Y$720,4,FALSE)</f>
        <v>Kangaskhan</v>
      </c>
      <c r="E117" s="131" t="s">
        <v>3527</v>
      </c>
      <c r="F117" s="131" t="s">
        <v>3612</v>
      </c>
      <c r="G117" s="131" t="s">
        <v>3409</v>
      </c>
      <c r="H117" s="138">
        <v>105</v>
      </c>
      <c r="I117" s="139">
        <v>95</v>
      </c>
      <c r="J117" s="140">
        <v>80</v>
      </c>
      <c r="K117" s="141">
        <v>40</v>
      </c>
      <c r="L117" s="142">
        <v>80</v>
      </c>
      <c r="M117" s="143">
        <v>90</v>
      </c>
      <c r="N117" s="144">
        <v>490</v>
      </c>
      <c r="O117" s="145" t="s">
        <v>267</v>
      </c>
      <c r="P117" s="133" t="s">
        <v>3295</v>
      </c>
      <c r="Q117" s="147">
        <v>80</v>
      </c>
      <c r="R117" s="131"/>
    </row>
    <row r="118" ht="27.6" customHeight="1" spans="1:18">
      <c r="A118" s="135" t="s">
        <v>3613</v>
      </c>
      <c r="B118" s="131" t="s">
        <v>3614</v>
      </c>
      <c r="C118" s="136" t="str">
        <f>VLOOKUP(A118,伤害计算器!$V$2:$Y$720,3,FALSE)</f>
        <v>タッツー</v>
      </c>
      <c r="D118" s="136" t="str">
        <f>VLOOKUP(A118,伤害计算器!$V$2:$Y$720,4,FALSE)</f>
        <v>Horsea</v>
      </c>
      <c r="E118" s="131" t="s">
        <v>3448</v>
      </c>
      <c r="F118" s="131" t="s">
        <v>65</v>
      </c>
      <c r="G118" s="131" t="s">
        <v>3424</v>
      </c>
      <c r="H118" s="138">
        <v>30</v>
      </c>
      <c r="I118" s="139">
        <v>40</v>
      </c>
      <c r="J118" s="140">
        <v>70</v>
      </c>
      <c r="K118" s="141">
        <v>70</v>
      </c>
      <c r="L118" s="142">
        <v>25</v>
      </c>
      <c r="M118" s="143">
        <v>60</v>
      </c>
      <c r="N118" s="144">
        <v>295</v>
      </c>
      <c r="O118" s="145" t="s">
        <v>251</v>
      </c>
      <c r="P118" s="133" t="s">
        <v>3295</v>
      </c>
      <c r="Q118" s="147">
        <v>8</v>
      </c>
      <c r="R118" s="131"/>
    </row>
    <row r="119" ht="24.6" customHeight="1" spans="1:18">
      <c r="A119" s="135" t="s">
        <v>3615</v>
      </c>
      <c r="B119" s="131" t="s">
        <v>3616</v>
      </c>
      <c r="C119" s="136" t="str">
        <f>VLOOKUP(A119,伤害计算器!$V$2:$Y$720,3,FALSE)</f>
        <v>シードラ</v>
      </c>
      <c r="D119" s="136" t="str">
        <f>VLOOKUP(A119,伤害计算器!$V$2:$Y$720,4,FALSE)</f>
        <v>Seadra</v>
      </c>
      <c r="E119" s="131" t="s">
        <v>3373</v>
      </c>
      <c r="F119" s="131" t="s">
        <v>65</v>
      </c>
      <c r="G119" s="131" t="s">
        <v>3424</v>
      </c>
      <c r="H119" s="138">
        <v>55</v>
      </c>
      <c r="I119" s="139">
        <v>65</v>
      </c>
      <c r="J119" s="140">
        <v>95</v>
      </c>
      <c r="K119" s="141">
        <v>95</v>
      </c>
      <c r="L119" s="142">
        <v>45</v>
      </c>
      <c r="M119" s="143">
        <v>85</v>
      </c>
      <c r="N119" s="144">
        <v>440</v>
      </c>
      <c r="O119" s="145" t="s">
        <v>251</v>
      </c>
      <c r="P119" s="133" t="s">
        <v>3295</v>
      </c>
      <c r="Q119" s="147">
        <v>25</v>
      </c>
      <c r="R119" s="131"/>
    </row>
    <row r="120" ht="24.6" customHeight="1" spans="1:18">
      <c r="A120" s="135" t="s">
        <v>3617</v>
      </c>
      <c r="B120" s="131" t="s">
        <v>3618</v>
      </c>
      <c r="C120" s="136" t="str">
        <f>VLOOKUP(A120,伤害计算器!$V$2:$Y$720,3,FALSE)</f>
        <v>トサキント</v>
      </c>
      <c r="D120" s="136" t="str">
        <f>VLOOKUP(A120,伤害计算器!$V$2:$Y$720,4,FALSE)</f>
        <v>Goldeen</v>
      </c>
      <c r="E120" s="131" t="s">
        <v>3448</v>
      </c>
      <c r="F120" s="131" t="s">
        <v>3619</v>
      </c>
      <c r="G120" s="131" t="s">
        <v>562</v>
      </c>
      <c r="H120" s="138">
        <v>45</v>
      </c>
      <c r="I120" s="139">
        <v>67</v>
      </c>
      <c r="J120" s="140">
        <v>60</v>
      </c>
      <c r="K120" s="141">
        <v>35</v>
      </c>
      <c r="L120" s="142">
        <v>50</v>
      </c>
      <c r="M120" s="143">
        <v>63</v>
      </c>
      <c r="N120" s="144">
        <v>320</v>
      </c>
      <c r="O120" s="145" t="s">
        <v>251</v>
      </c>
      <c r="P120" s="133" t="s">
        <v>3295</v>
      </c>
      <c r="Q120" s="147">
        <v>15</v>
      </c>
      <c r="R120" s="131"/>
    </row>
    <row r="121" ht="26.1" customHeight="1" spans="1:18">
      <c r="A121" s="135" t="s">
        <v>3620</v>
      </c>
      <c r="B121" s="131" t="s">
        <v>3621</v>
      </c>
      <c r="C121" s="136" t="str">
        <f>VLOOKUP(A121,伤害计算器!$V$2:$Y$720,3,FALSE)</f>
        <v>アズマオウ</v>
      </c>
      <c r="D121" s="136" t="str">
        <f>VLOOKUP(A121,伤害计算器!$V$2:$Y$720,4,FALSE)</f>
        <v>Seaking</v>
      </c>
      <c r="E121" s="131" t="s">
        <v>3448</v>
      </c>
      <c r="F121" s="131" t="s">
        <v>3619</v>
      </c>
      <c r="G121" s="131" t="s">
        <v>562</v>
      </c>
      <c r="H121" s="138">
        <v>80</v>
      </c>
      <c r="I121" s="139">
        <v>92</v>
      </c>
      <c r="J121" s="140">
        <v>65</v>
      </c>
      <c r="K121" s="141">
        <v>65</v>
      </c>
      <c r="L121" s="142">
        <v>80</v>
      </c>
      <c r="M121" s="143">
        <v>68</v>
      </c>
      <c r="N121" s="144">
        <v>450</v>
      </c>
      <c r="O121" s="145" t="s">
        <v>251</v>
      </c>
      <c r="P121" s="133" t="s">
        <v>3295</v>
      </c>
      <c r="Q121" s="147">
        <v>39</v>
      </c>
      <c r="R121" s="131"/>
    </row>
    <row r="122" ht="26.1" customHeight="1" spans="1:18">
      <c r="A122" s="135" t="s">
        <v>3622</v>
      </c>
      <c r="B122" s="131" t="s">
        <v>3623</v>
      </c>
      <c r="C122" s="136" t="str">
        <f>VLOOKUP(A122,伤害计算器!$V$2:$Y$720,3,FALSE)</f>
        <v>ヒトデマン</v>
      </c>
      <c r="D122" s="136" t="str">
        <f>VLOOKUP(A122,伤害计算器!$V$2:$Y$720,4,FALSE)</f>
        <v>Staryu</v>
      </c>
      <c r="E122" s="131" t="s">
        <v>3624</v>
      </c>
      <c r="F122" s="131" t="s">
        <v>3604</v>
      </c>
      <c r="G122" s="131" t="s">
        <v>37</v>
      </c>
      <c r="H122" s="138">
        <v>30</v>
      </c>
      <c r="I122" s="139">
        <v>45</v>
      </c>
      <c r="J122" s="140">
        <v>55</v>
      </c>
      <c r="K122" s="141">
        <v>70</v>
      </c>
      <c r="L122" s="142">
        <v>55</v>
      </c>
      <c r="M122" s="143">
        <v>85</v>
      </c>
      <c r="N122" s="144">
        <v>340</v>
      </c>
      <c r="O122" s="145" t="s">
        <v>251</v>
      </c>
      <c r="P122" s="133" t="s">
        <v>3295</v>
      </c>
      <c r="Q122" s="147">
        <v>34.5</v>
      </c>
      <c r="R122" s="131"/>
    </row>
    <row r="123" ht="24.6" customHeight="1" spans="1:18">
      <c r="A123" s="135" t="s">
        <v>3625</v>
      </c>
      <c r="B123" s="131" t="s">
        <v>3626</v>
      </c>
      <c r="C123" s="136" t="str">
        <f>VLOOKUP(A123,伤害计算器!$V$2:$Y$720,3,FALSE)</f>
        <v>スターミー</v>
      </c>
      <c r="D123" s="136" t="str">
        <f>VLOOKUP(A123,伤害计算器!$V$2:$Y$720,4,FALSE)</f>
        <v>Starmie</v>
      </c>
      <c r="E123" s="131" t="s">
        <v>3624</v>
      </c>
      <c r="F123" s="131" t="s">
        <v>3604</v>
      </c>
      <c r="G123" s="131" t="s">
        <v>37</v>
      </c>
      <c r="H123" s="138">
        <v>60</v>
      </c>
      <c r="I123" s="139">
        <v>75</v>
      </c>
      <c r="J123" s="140">
        <v>85</v>
      </c>
      <c r="K123" s="141">
        <v>100</v>
      </c>
      <c r="L123" s="142">
        <v>85</v>
      </c>
      <c r="M123" s="143">
        <v>115</v>
      </c>
      <c r="N123" s="144">
        <v>520</v>
      </c>
      <c r="O123" s="145" t="s">
        <v>251</v>
      </c>
      <c r="P123" s="133" t="s">
        <v>271</v>
      </c>
      <c r="Q123" s="147">
        <v>80</v>
      </c>
      <c r="R123" s="131"/>
    </row>
    <row r="124" ht="24.6" customHeight="1" spans="1:18">
      <c r="A124" s="135" t="s">
        <v>3627</v>
      </c>
      <c r="B124" s="131" t="s">
        <v>3628</v>
      </c>
      <c r="C124" s="136" t="str">
        <f>VLOOKUP(A124,伤害计算器!$V$2:$Y$720,3,FALSE)</f>
        <v>バリヤード</v>
      </c>
      <c r="D124" s="136" t="str">
        <f>VLOOKUP(A124,伤害计算器!$V$2:$Y$720,4,FALSE)</f>
        <v>Mr. Mime</v>
      </c>
      <c r="E124" s="131" t="s">
        <v>591</v>
      </c>
      <c r="F124" s="131" t="s">
        <v>77</v>
      </c>
      <c r="G124" s="131" t="s">
        <v>36</v>
      </c>
      <c r="H124" s="138">
        <v>40</v>
      </c>
      <c r="I124" s="139">
        <v>45</v>
      </c>
      <c r="J124" s="140">
        <v>65</v>
      </c>
      <c r="K124" s="141">
        <v>100</v>
      </c>
      <c r="L124" s="142">
        <v>120</v>
      </c>
      <c r="M124" s="143">
        <v>90</v>
      </c>
      <c r="N124" s="144">
        <v>460</v>
      </c>
      <c r="O124" s="145" t="s">
        <v>271</v>
      </c>
      <c r="P124" s="133" t="s">
        <v>98</v>
      </c>
      <c r="Q124" s="147">
        <v>54.5</v>
      </c>
      <c r="R124" s="131"/>
    </row>
    <row r="125" ht="26.1" customHeight="1" spans="1:18">
      <c r="A125" s="135" t="s">
        <v>3629</v>
      </c>
      <c r="B125" s="131" t="s">
        <v>3630</v>
      </c>
      <c r="C125" s="136" t="str">
        <f>VLOOKUP(A125,伤害计算器!$V$2:$Y$720,3,FALSE)</f>
        <v>ストライク</v>
      </c>
      <c r="D125" s="136" t="str">
        <f>VLOOKUP(A125,伤害计算器!$V$2:$Y$720,4,FALSE)</f>
        <v>Scyther</v>
      </c>
      <c r="E125" s="131" t="s">
        <v>3333</v>
      </c>
      <c r="F125" s="131" t="s">
        <v>36</v>
      </c>
      <c r="G125" s="131" t="s">
        <v>3479</v>
      </c>
      <c r="H125" s="138">
        <v>70</v>
      </c>
      <c r="I125" s="139">
        <v>110</v>
      </c>
      <c r="J125" s="140">
        <v>80</v>
      </c>
      <c r="K125" s="141">
        <v>55</v>
      </c>
      <c r="L125" s="142">
        <v>80</v>
      </c>
      <c r="M125" s="143">
        <v>105</v>
      </c>
      <c r="N125" s="144">
        <v>500</v>
      </c>
      <c r="O125" s="145" t="s">
        <v>272</v>
      </c>
      <c r="P125" s="133" t="s">
        <v>99</v>
      </c>
      <c r="Q125" s="147">
        <v>56</v>
      </c>
      <c r="R125" s="131"/>
    </row>
    <row r="126" ht="24.6" customHeight="1" spans="1:18">
      <c r="A126" s="135" t="s">
        <v>3631</v>
      </c>
      <c r="B126" s="131" t="s">
        <v>3632</v>
      </c>
      <c r="C126" s="136" t="str">
        <f>VLOOKUP(A126,伤害计算器!$V$2:$Y$720,3,FALSE)</f>
        <v>ルージュラ</v>
      </c>
      <c r="D126" s="136" t="str">
        <f>VLOOKUP(A126,伤害计算器!$V$2:$Y$720,4,FALSE)</f>
        <v>Jynx</v>
      </c>
      <c r="E126" s="131" t="s">
        <v>3513</v>
      </c>
      <c r="F126" s="131" t="s">
        <v>3566</v>
      </c>
      <c r="G126" s="131" t="s">
        <v>3423</v>
      </c>
      <c r="H126" s="138">
        <v>65</v>
      </c>
      <c r="I126" s="139">
        <v>50</v>
      </c>
      <c r="J126" s="140">
        <v>35</v>
      </c>
      <c r="K126" s="141">
        <v>115</v>
      </c>
      <c r="L126" s="142">
        <v>95</v>
      </c>
      <c r="M126" s="143">
        <v>95</v>
      </c>
      <c r="N126" s="144">
        <v>455</v>
      </c>
      <c r="O126" s="145" t="s">
        <v>100</v>
      </c>
      <c r="P126" s="133" t="s">
        <v>271</v>
      </c>
      <c r="Q126" s="147">
        <v>40.6</v>
      </c>
      <c r="R126" s="131"/>
    </row>
    <row r="127" ht="23.1" customHeight="1" spans="1:18">
      <c r="A127" s="135" t="s">
        <v>3633</v>
      </c>
      <c r="B127" s="131" t="s">
        <v>3634</v>
      </c>
      <c r="C127" s="136" t="str">
        <f>VLOOKUP(A127,伤害计算器!$V$2:$Y$720,3,FALSE)</f>
        <v>エレブー</v>
      </c>
      <c r="D127" s="136" t="str">
        <f>VLOOKUP(A127,伤害计算器!$V$2:$Y$720,4,FALSE)</f>
        <v>Electabuzz</v>
      </c>
      <c r="E127" s="131" t="s">
        <v>3361</v>
      </c>
      <c r="F127" s="137" t="s">
        <v>3295</v>
      </c>
      <c r="G127" s="131" t="s">
        <v>3635</v>
      </c>
      <c r="H127" s="138">
        <v>65</v>
      </c>
      <c r="I127" s="139">
        <v>83</v>
      </c>
      <c r="J127" s="140">
        <v>57</v>
      </c>
      <c r="K127" s="141">
        <v>95</v>
      </c>
      <c r="L127" s="142">
        <v>85</v>
      </c>
      <c r="M127" s="143">
        <v>105</v>
      </c>
      <c r="N127" s="144">
        <v>490</v>
      </c>
      <c r="O127" s="145" t="s">
        <v>268</v>
      </c>
      <c r="P127" s="133" t="s">
        <v>3295</v>
      </c>
      <c r="Q127" s="147">
        <v>30</v>
      </c>
      <c r="R127" s="131"/>
    </row>
    <row r="128" ht="26.1" customHeight="1" spans="1:18">
      <c r="A128" s="135" t="s">
        <v>3636</v>
      </c>
      <c r="B128" s="131" t="s">
        <v>3637</v>
      </c>
      <c r="C128" s="136" t="str">
        <f>VLOOKUP(A128,伤害计算器!$V$2:$Y$720,3,FALSE)</f>
        <v>ブーバー</v>
      </c>
      <c r="D128" s="136" t="str">
        <f>VLOOKUP(A128,伤害计算器!$V$2:$Y$720,4,FALSE)</f>
        <v>Magmar</v>
      </c>
      <c r="E128" s="131" t="s">
        <v>3508</v>
      </c>
      <c r="F128" s="137" t="s">
        <v>3295</v>
      </c>
      <c r="G128" s="131" t="s">
        <v>3453</v>
      </c>
      <c r="H128" s="138">
        <v>65</v>
      </c>
      <c r="I128" s="139">
        <v>95</v>
      </c>
      <c r="J128" s="140">
        <v>57</v>
      </c>
      <c r="K128" s="141">
        <v>100</v>
      </c>
      <c r="L128" s="142">
        <v>85</v>
      </c>
      <c r="M128" s="143">
        <v>93</v>
      </c>
      <c r="N128" s="144">
        <v>495</v>
      </c>
      <c r="O128" s="145" t="s">
        <v>250</v>
      </c>
      <c r="P128" s="133" t="s">
        <v>3295</v>
      </c>
      <c r="Q128" s="147">
        <v>44.5</v>
      </c>
      <c r="R128" s="131"/>
    </row>
    <row r="129" ht="26.1" customHeight="1" spans="1:18">
      <c r="A129" s="135" t="s">
        <v>3638</v>
      </c>
      <c r="B129" s="131" t="s">
        <v>3639</v>
      </c>
      <c r="C129" s="136" t="str">
        <f>VLOOKUP(A129,伤害计算器!$V$2:$Y$720,3,FALSE)</f>
        <v>カイロス</v>
      </c>
      <c r="D129" s="136" t="str">
        <f>VLOOKUP(A129,伤害计算器!$V$2:$Y$720,4,FALSE)</f>
        <v>Pinsir</v>
      </c>
      <c r="E129" s="131" t="s">
        <v>3569</v>
      </c>
      <c r="F129" s="131" t="s">
        <v>83</v>
      </c>
      <c r="G129" s="131" t="s">
        <v>3640</v>
      </c>
      <c r="H129" s="138">
        <v>65</v>
      </c>
      <c r="I129" s="139">
        <v>125</v>
      </c>
      <c r="J129" s="140">
        <v>100</v>
      </c>
      <c r="K129" s="141">
        <v>55</v>
      </c>
      <c r="L129" s="142">
        <v>70</v>
      </c>
      <c r="M129" s="143">
        <v>85</v>
      </c>
      <c r="N129" s="144">
        <v>500</v>
      </c>
      <c r="O129" s="145" t="s">
        <v>272</v>
      </c>
      <c r="P129" s="133" t="s">
        <v>3295</v>
      </c>
      <c r="Q129" s="147">
        <v>55</v>
      </c>
      <c r="R129" s="131"/>
    </row>
    <row r="130" ht="27.6" customHeight="1" spans="1:18">
      <c r="A130" s="135" t="s">
        <v>3641</v>
      </c>
      <c r="B130" s="131" t="s">
        <v>3642</v>
      </c>
      <c r="C130" s="136" t="str">
        <f>VLOOKUP(A130,伤害计算器!$V$2:$Y$720,3,FALSE)</f>
        <v>ケンタロス</v>
      </c>
      <c r="D130" s="136" t="str">
        <f>VLOOKUP(A130,伤害计算器!$V$2:$Y$720,4,FALSE)</f>
        <v>Tauros</v>
      </c>
      <c r="E130" s="131" t="s">
        <v>3354</v>
      </c>
      <c r="F130" s="131" t="s">
        <v>3454</v>
      </c>
      <c r="G130" s="131" t="s">
        <v>41</v>
      </c>
      <c r="H130" s="138">
        <v>75</v>
      </c>
      <c r="I130" s="139">
        <v>100</v>
      </c>
      <c r="J130" s="140">
        <v>95</v>
      </c>
      <c r="K130" s="141">
        <v>40</v>
      </c>
      <c r="L130" s="142">
        <v>70</v>
      </c>
      <c r="M130" s="143">
        <v>110</v>
      </c>
      <c r="N130" s="144">
        <v>490</v>
      </c>
      <c r="O130" s="145" t="s">
        <v>267</v>
      </c>
      <c r="P130" s="133" t="s">
        <v>3295</v>
      </c>
      <c r="Q130" s="147">
        <v>88.4</v>
      </c>
      <c r="R130" s="131"/>
    </row>
    <row r="131" ht="26.1" customHeight="1" spans="1:18">
      <c r="A131" s="135" t="s">
        <v>3643</v>
      </c>
      <c r="B131" s="131" t="s">
        <v>3644</v>
      </c>
      <c r="C131" s="136" t="str">
        <f>VLOOKUP(A131,伤害计算器!$V$2:$Y$720,3,FALSE)</f>
        <v>コイキング</v>
      </c>
      <c r="D131" s="136" t="str">
        <f>VLOOKUP(A131,伤害计算器!$V$2:$Y$720,4,FALSE)</f>
        <v>Magikarp</v>
      </c>
      <c r="E131" s="131" t="s">
        <v>3448</v>
      </c>
      <c r="F131" s="137" t="s">
        <v>3295</v>
      </c>
      <c r="G131" s="131" t="s">
        <v>3645</v>
      </c>
      <c r="H131" s="138">
        <v>20</v>
      </c>
      <c r="I131" s="139">
        <v>10</v>
      </c>
      <c r="J131" s="140">
        <v>55</v>
      </c>
      <c r="K131" s="141">
        <v>15</v>
      </c>
      <c r="L131" s="142">
        <v>20</v>
      </c>
      <c r="M131" s="143">
        <v>80</v>
      </c>
      <c r="N131" s="144">
        <v>200</v>
      </c>
      <c r="O131" s="145" t="s">
        <v>251</v>
      </c>
      <c r="P131" s="133" t="s">
        <v>3295</v>
      </c>
      <c r="Q131" s="147">
        <v>10</v>
      </c>
      <c r="R131" s="131"/>
    </row>
    <row r="132" ht="24.6" customHeight="1" spans="1:18">
      <c r="A132" s="135" t="s">
        <v>3646</v>
      </c>
      <c r="B132" s="131" t="s">
        <v>3647</v>
      </c>
      <c r="C132" s="136" t="str">
        <f>VLOOKUP(A132,伤害计算器!$V$2:$Y$720,3,FALSE)</f>
        <v>ギャラドス</v>
      </c>
      <c r="D132" s="136" t="str">
        <f>VLOOKUP(A132,伤害计算器!$V$2:$Y$720,4,FALSE)</f>
        <v>Gyarados</v>
      </c>
      <c r="E132" s="131" t="s">
        <v>3354</v>
      </c>
      <c r="F132" s="137" t="s">
        <v>3295</v>
      </c>
      <c r="G132" s="131" t="s">
        <v>3640</v>
      </c>
      <c r="H132" s="138">
        <v>95</v>
      </c>
      <c r="I132" s="139">
        <v>125</v>
      </c>
      <c r="J132" s="140">
        <v>79</v>
      </c>
      <c r="K132" s="141">
        <v>60</v>
      </c>
      <c r="L132" s="142">
        <v>100</v>
      </c>
      <c r="M132" s="143">
        <v>81</v>
      </c>
      <c r="N132" s="144">
        <v>540</v>
      </c>
      <c r="O132" s="145" t="s">
        <v>251</v>
      </c>
      <c r="P132" s="133" t="s">
        <v>99</v>
      </c>
      <c r="Q132" s="147">
        <v>235</v>
      </c>
      <c r="R132" s="131"/>
    </row>
    <row r="133" ht="26.1" customHeight="1" spans="1:18">
      <c r="A133" s="135" t="s">
        <v>3648</v>
      </c>
      <c r="B133" s="131" t="s">
        <v>3649</v>
      </c>
      <c r="C133" s="136" t="str">
        <f>VLOOKUP(A133,伤害计算器!$V$2:$Y$720,3,FALSE)</f>
        <v>ラプラス</v>
      </c>
      <c r="D133" s="136" t="str">
        <f>VLOOKUP(A133,伤害计算器!$V$2:$Y$720,4,FALSE)</f>
        <v>Lapras</v>
      </c>
      <c r="E133" s="131" t="s">
        <v>533</v>
      </c>
      <c r="F133" s="131" t="s">
        <v>3544</v>
      </c>
      <c r="G133" s="131" t="s">
        <v>3532</v>
      </c>
      <c r="H133" s="138">
        <v>130</v>
      </c>
      <c r="I133" s="139">
        <v>85</v>
      </c>
      <c r="J133" s="140">
        <v>80</v>
      </c>
      <c r="K133" s="141">
        <v>85</v>
      </c>
      <c r="L133" s="142">
        <v>95</v>
      </c>
      <c r="M133" s="143">
        <v>60</v>
      </c>
      <c r="N133" s="144">
        <v>535</v>
      </c>
      <c r="O133" s="145" t="s">
        <v>251</v>
      </c>
      <c r="P133" s="133" t="s">
        <v>100</v>
      </c>
      <c r="Q133" s="147">
        <v>220</v>
      </c>
      <c r="R133" s="131"/>
    </row>
    <row r="134" ht="26.1" customHeight="1" spans="1:18">
      <c r="A134" s="135" t="s">
        <v>3650</v>
      </c>
      <c r="B134" s="131" t="s">
        <v>3651</v>
      </c>
      <c r="C134" s="136" t="str">
        <f>VLOOKUP(A134,伤害计算器!$V$2:$Y$720,3,FALSE)</f>
        <v>メタモン</v>
      </c>
      <c r="D134" s="136" t="str">
        <f>VLOOKUP(A134,伤害计算器!$V$2:$Y$720,4,FALSE)</f>
        <v>Ditto</v>
      </c>
      <c r="E134" s="131" t="s">
        <v>3444</v>
      </c>
      <c r="F134" s="137" t="s">
        <v>3295</v>
      </c>
      <c r="G134" s="131" t="s">
        <v>3652</v>
      </c>
      <c r="H134" s="138">
        <v>48</v>
      </c>
      <c r="I134" s="139">
        <v>48</v>
      </c>
      <c r="J134" s="140">
        <v>48</v>
      </c>
      <c r="K134" s="141">
        <v>48</v>
      </c>
      <c r="L134" s="142">
        <v>48</v>
      </c>
      <c r="M134" s="143">
        <v>48</v>
      </c>
      <c r="N134" s="144">
        <v>288</v>
      </c>
      <c r="O134" s="145" t="s">
        <v>267</v>
      </c>
      <c r="P134" s="133" t="s">
        <v>3295</v>
      </c>
      <c r="Q134" s="147">
        <v>4</v>
      </c>
      <c r="R134" s="131"/>
    </row>
    <row r="135" ht="24.6" customHeight="1" spans="1:18">
      <c r="A135" s="135" t="s">
        <v>3653</v>
      </c>
      <c r="B135" s="131" t="s">
        <v>3654</v>
      </c>
      <c r="C135" s="136" t="str">
        <f>VLOOKUP(A135,伤害计算器!$V$2:$Y$720,3,FALSE)</f>
        <v>イーブイ</v>
      </c>
      <c r="D135" s="136" t="str">
        <f>VLOOKUP(A135,伤害计算器!$V$2:$Y$720,4,FALSE)</f>
        <v>Eevee</v>
      </c>
      <c r="E135" s="131" t="s">
        <v>3319</v>
      </c>
      <c r="F135" s="131" t="s">
        <v>63</v>
      </c>
      <c r="G135" s="131" t="s">
        <v>3655</v>
      </c>
      <c r="H135" s="138">
        <v>55</v>
      </c>
      <c r="I135" s="139">
        <v>55</v>
      </c>
      <c r="J135" s="140">
        <v>50</v>
      </c>
      <c r="K135" s="141">
        <v>45</v>
      </c>
      <c r="L135" s="142">
        <v>65</v>
      </c>
      <c r="M135" s="143">
        <v>55</v>
      </c>
      <c r="N135" s="144">
        <v>325</v>
      </c>
      <c r="O135" s="145" t="s">
        <v>267</v>
      </c>
      <c r="P135" s="133" t="s">
        <v>3295</v>
      </c>
      <c r="Q135" s="147">
        <v>6.5</v>
      </c>
      <c r="R135" s="131"/>
    </row>
    <row r="136" ht="26.1" customHeight="1" spans="1:18">
      <c r="A136" s="135" t="s">
        <v>3656</v>
      </c>
      <c r="B136" s="131" t="s">
        <v>3657</v>
      </c>
      <c r="C136" s="136" t="str">
        <f>VLOOKUP(A136,伤害计算器!$V$2:$Y$720,3,FALSE)</f>
        <v>シャワーズ</v>
      </c>
      <c r="D136" s="136" t="str">
        <f>VLOOKUP(A136,伤害计算器!$V$2:$Y$720,4,FALSE)</f>
        <v>Vaporeon</v>
      </c>
      <c r="E136" s="131" t="s">
        <v>533</v>
      </c>
      <c r="F136" s="131" t="s">
        <v>3658</v>
      </c>
      <c r="G136" s="131" t="s">
        <v>3659</v>
      </c>
      <c r="H136" s="138">
        <v>130</v>
      </c>
      <c r="I136" s="139">
        <v>65</v>
      </c>
      <c r="J136" s="140">
        <v>60</v>
      </c>
      <c r="K136" s="141">
        <v>110</v>
      </c>
      <c r="L136" s="142">
        <v>95</v>
      </c>
      <c r="M136" s="143">
        <v>65</v>
      </c>
      <c r="N136" s="144">
        <v>525</v>
      </c>
      <c r="O136" s="145" t="s">
        <v>251</v>
      </c>
      <c r="P136" s="133" t="s">
        <v>3295</v>
      </c>
      <c r="Q136" s="147">
        <v>29</v>
      </c>
      <c r="R136" s="131"/>
    </row>
    <row r="137" ht="23.1" customHeight="1" spans="1:18">
      <c r="A137" s="135" t="s">
        <v>3660</v>
      </c>
      <c r="B137" s="131" t="s">
        <v>3661</v>
      </c>
      <c r="C137" s="136" t="str">
        <f>VLOOKUP(A137,伤害计算器!$V$2:$Y$720,3,FALSE)</f>
        <v>サンダース</v>
      </c>
      <c r="D137" s="136" t="str">
        <f>VLOOKUP(A137,伤害计算器!$V$2:$Y$720,4,FALSE)</f>
        <v>Jolteon</v>
      </c>
      <c r="E137" s="131" t="s">
        <v>611</v>
      </c>
      <c r="F137" s="131" t="s">
        <v>611</v>
      </c>
      <c r="G137" s="131" t="s">
        <v>3662</v>
      </c>
      <c r="H137" s="138">
        <v>65</v>
      </c>
      <c r="I137" s="139">
        <v>65</v>
      </c>
      <c r="J137" s="140">
        <v>60</v>
      </c>
      <c r="K137" s="141">
        <v>110</v>
      </c>
      <c r="L137" s="142">
        <v>95</v>
      </c>
      <c r="M137" s="143">
        <v>130</v>
      </c>
      <c r="N137" s="144">
        <v>525</v>
      </c>
      <c r="O137" s="145" t="s">
        <v>268</v>
      </c>
      <c r="P137" s="133" t="s">
        <v>3295</v>
      </c>
      <c r="Q137" s="147">
        <v>24.5</v>
      </c>
      <c r="R137" s="131"/>
    </row>
    <row r="138" ht="26.1" customHeight="1" spans="1:18">
      <c r="A138" s="135" t="s">
        <v>3663</v>
      </c>
      <c r="B138" s="131" t="s">
        <v>3664</v>
      </c>
      <c r="C138" s="136" t="str">
        <f>VLOOKUP(A138,伤害计算器!$V$2:$Y$720,3,FALSE)</f>
        <v>ブースター</v>
      </c>
      <c r="D138" s="136" t="str">
        <f>VLOOKUP(A138,伤害计算器!$V$2:$Y$720,4,FALSE)</f>
        <v>Flareon</v>
      </c>
      <c r="E138" s="131" t="s">
        <v>542</v>
      </c>
      <c r="F138" s="131" t="s">
        <v>542</v>
      </c>
      <c r="G138" s="131" t="s">
        <v>57</v>
      </c>
      <c r="H138" s="138">
        <v>65</v>
      </c>
      <c r="I138" s="139">
        <v>130</v>
      </c>
      <c r="J138" s="140">
        <v>60</v>
      </c>
      <c r="K138" s="141">
        <v>95</v>
      </c>
      <c r="L138" s="142">
        <v>110</v>
      </c>
      <c r="M138" s="143">
        <v>65</v>
      </c>
      <c r="N138" s="144">
        <v>525</v>
      </c>
      <c r="O138" s="145" t="s">
        <v>250</v>
      </c>
      <c r="P138" s="133" t="s">
        <v>3295</v>
      </c>
      <c r="Q138" s="147">
        <v>25</v>
      </c>
      <c r="R138" s="131"/>
    </row>
    <row r="139" ht="24.6" customHeight="1" spans="1:18">
      <c r="A139" s="135" t="s">
        <v>3665</v>
      </c>
      <c r="B139" s="131" t="s">
        <v>3666</v>
      </c>
      <c r="C139" s="136" t="str">
        <f>VLOOKUP(A139,伤害计算器!$V$2:$Y$720,3,FALSE)</f>
        <v>ポリゴン</v>
      </c>
      <c r="D139" s="136" t="str">
        <f>VLOOKUP(A139,伤害计算器!$V$2:$Y$720,4,FALSE)</f>
        <v>Porygon</v>
      </c>
      <c r="E139" s="131" t="s">
        <v>3667</v>
      </c>
      <c r="F139" s="131" t="s">
        <v>3668</v>
      </c>
      <c r="G139" s="131" t="s">
        <v>37</v>
      </c>
      <c r="H139" s="138">
        <v>65</v>
      </c>
      <c r="I139" s="139">
        <v>60</v>
      </c>
      <c r="J139" s="140">
        <v>70</v>
      </c>
      <c r="K139" s="141">
        <v>85</v>
      </c>
      <c r="L139" s="142">
        <v>75</v>
      </c>
      <c r="M139" s="143">
        <v>40</v>
      </c>
      <c r="N139" s="144">
        <v>395</v>
      </c>
      <c r="O139" s="145" t="s">
        <v>267</v>
      </c>
      <c r="P139" s="133" t="s">
        <v>3295</v>
      </c>
      <c r="Q139" s="147">
        <v>36.5</v>
      </c>
      <c r="R139" s="131"/>
    </row>
    <row r="140" ht="23.1" customHeight="1" spans="1:18">
      <c r="A140" s="135" t="s">
        <v>3669</v>
      </c>
      <c r="B140" s="131" t="s">
        <v>3670</v>
      </c>
      <c r="C140" s="136" t="str">
        <f>VLOOKUP(A140,伤害计算器!$V$2:$Y$720,3,FALSE)</f>
        <v>オムナイト</v>
      </c>
      <c r="D140" s="136" t="str">
        <f>VLOOKUP(A140,伤害计算器!$V$2:$Y$720,4,FALSE)</f>
        <v>Omanyte</v>
      </c>
      <c r="E140" s="131" t="s">
        <v>3448</v>
      </c>
      <c r="F140" s="131" t="s">
        <v>3544</v>
      </c>
      <c r="G140" s="131" t="s">
        <v>3558</v>
      </c>
      <c r="H140" s="138">
        <v>35</v>
      </c>
      <c r="I140" s="139">
        <v>40</v>
      </c>
      <c r="J140" s="140">
        <v>100</v>
      </c>
      <c r="K140" s="141">
        <v>90</v>
      </c>
      <c r="L140" s="142">
        <v>55</v>
      </c>
      <c r="M140" s="143">
        <v>35</v>
      </c>
      <c r="N140" s="144">
        <v>355</v>
      </c>
      <c r="O140" s="145" t="s">
        <v>252</v>
      </c>
      <c r="P140" s="133" t="s">
        <v>251</v>
      </c>
      <c r="Q140" s="147">
        <v>7.5</v>
      </c>
      <c r="R140" s="131"/>
    </row>
    <row r="141" ht="24.6" customHeight="1" spans="1:18">
      <c r="A141" s="135" t="s">
        <v>3671</v>
      </c>
      <c r="B141" s="131" t="s">
        <v>3672</v>
      </c>
      <c r="C141" s="136" t="str">
        <f>VLOOKUP(A141,伤害计算器!$V$2:$Y$720,3,FALSE)</f>
        <v>オムスター</v>
      </c>
      <c r="D141" s="136" t="str">
        <f>VLOOKUP(A141,伤害计算器!$V$2:$Y$720,4,FALSE)</f>
        <v>Omastar</v>
      </c>
      <c r="E141" s="131" t="s">
        <v>3448</v>
      </c>
      <c r="F141" s="131" t="s">
        <v>3544</v>
      </c>
      <c r="G141" s="131" t="s">
        <v>3558</v>
      </c>
      <c r="H141" s="138">
        <v>70</v>
      </c>
      <c r="I141" s="139">
        <v>60</v>
      </c>
      <c r="J141" s="140">
        <v>125</v>
      </c>
      <c r="K141" s="141">
        <v>115</v>
      </c>
      <c r="L141" s="142">
        <v>70</v>
      </c>
      <c r="M141" s="143">
        <v>55</v>
      </c>
      <c r="N141" s="144">
        <v>495</v>
      </c>
      <c r="O141" s="145" t="s">
        <v>252</v>
      </c>
      <c r="P141" s="133" t="s">
        <v>251</v>
      </c>
      <c r="Q141" s="147">
        <v>35</v>
      </c>
      <c r="R141" s="131"/>
    </row>
    <row r="142" ht="24.6" customHeight="1" spans="1:18">
      <c r="A142" s="135" t="s">
        <v>3673</v>
      </c>
      <c r="B142" s="131" t="s">
        <v>3674</v>
      </c>
      <c r="C142" s="136" t="str">
        <f>VLOOKUP(A142,伤害计算器!$V$2:$Y$720,3,FALSE)</f>
        <v>カブト</v>
      </c>
      <c r="D142" s="136" t="str">
        <f>VLOOKUP(A142,伤害计算器!$V$2:$Y$720,4,FALSE)</f>
        <v>Kabuto</v>
      </c>
      <c r="E142" s="131" t="s">
        <v>3448</v>
      </c>
      <c r="F142" s="131" t="s">
        <v>3584</v>
      </c>
      <c r="G142" s="131" t="s">
        <v>3558</v>
      </c>
      <c r="H142" s="138">
        <v>30</v>
      </c>
      <c r="I142" s="139">
        <v>80</v>
      </c>
      <c r="J142" s="140">
        <v>90</v>
      </c>
      <c r="K142" s="141">
        <v>55</v>
      </c>
      <c r="L142" s="142">
        <v>45</v>
      </c>
      <c r="M142" s="143">
        <v>55</v>
      </c>
      <c r="N142" s="144">
        <v>355</v>
      </c>
      <c r="O142" s="145" t="s">
        <v>252</v>
      </c>
      <c r="P142" s="133" t="s">
        <v>251</v>
      </c>
      <c r="Q142" s="147">
        <v>11.5</v>
      </c>
      <c r="R142" s="131"/>
    </row>
    <row r="143" ht="26.1" customHeight="1" spans="1:18">
      <c r="A143" s="135" t="s">
        <v>3675</v>
      </c>
      <c r="B143" s="131" t="s">
        <v>3676</v>
      </c>
      <c r="C143" s="136" t="str">
        <f>VLOOKUP(A143,伤害计算器!$V$2:$Y$720,3,FALSE)</f>
        <v>カブトプス</v>
      </c>
      <c r="D143" s="136" t="str">
        <f>VLOOKUP(A143,伤害计算器!$V$2:$Y$720,4,FALSE)</f>
        <v>Kabutops</v>
      </c>
      <c r="E143" s="131" t="s">
        <v>3448</v>
      </c>
      <c r="F143" s="131" t="s">
        <v>3584</v>
      </c>
      <c r="G143" s="131" t="s">
        <v>3558</v>
      </c>
      <c r="H143" s="138">
        <v>60</v>
      </c>
      <c r="I143" s="139">
        <v>115</v>
      </c>
      <c r="J143" s="140">
        <v>105</v>
      </c>
      <c r="K143" s="141">
        <v>65</v>
      </c>
      <c r="L143" s="142">
        <v>70</v>
      </c>
      <c r="M143" s="143">
        <v>80</v>
      </c>
      <c r="N143" s="144">
        <v>495</v>
      </c>
      <c r="O143" s="145" t="s">
        <v>252</v>
      </c>
      <c r="P143" s="133" t="s">
        <v>251</v>
      </c>
      <c r="Q143" s="147">
        <v>40.5</v>
      </c>
      <c r="R143" s="131"/>
    </row>
    <row r="144" ht="24.6" customHeight="1" spans="1:18">
      <c r="A144" s="135" t="s">
        <v>3677</v>
      </c>
      <c r="B144" s="131" t="s">
        <v>3678</v>
      </c>
      <c r="C144" s="136" t="str">
        <f>VLOOKUP(A144,伤害计算器!$V$2:$Y$720,3,FALSE)</f>
        <v>プテラ</v>
      </c>
      <c r="D144" s="136" t="str">
        <f>VLOOKUP(A144,伤害计算器!$V$2:$Y$720,4,FALSE)</f>
        <v>Aerodactyl</v>
      </c>
      <c r="E144" s="131" t="s">
        <v>3499</v>
      </c>
      <c r="F144" s="131" t="s">
        <v>3679</v>
      </c>
      <c r="G144" s="131" t="s">
        <v>3355</v>
      </c>
      <c r="H144" s="138">
        <v>80</v>
      </c>
      <c r="I144" s="139">
        <v>105</v>
      </c>
      <c r="J144" s="140">
        <v>65</v>
      </c>
      <c r="K144" s="141">
        <v>60</v>
      </c>
      <c r="L144" s="142">
        <v>75</v>
      </c>
      <c r="M144" s="143">
        <v>130</v>
      </c>
      <c r="N144" s="144">
        <v>515</v>
      </c>
      <c r="O144" s="145" t="s">
        <v>252</v>
      </c>
      <c r="P144" s="133" t="s">
        <v>99</v>
      </c>
      <c r="Q144" s="147">
        <v>59</v>
      </c>
      <c r="R144" s="131"/>
    </row>
    <row r="145" ht="26.1" customHeight="1" spans="1:18">
      <c r="A145" s="135" t="s">
        <v>3680</v>
      </c>
      <c r="B145" s="131" t="s">
        <v>3681</v>
      </c>
      <c r="C145" s="136" t="str">
        <f>VLOOKUP(A145,伤害计算器!$V$2:$Y$720,3,FALSE)</f>
        <v>カビゴン</v>
      </c>
      <c r="D145" s="136" t="str">
        <f>VLOOKUP(A145,伤害计算器!$V$2:$Y$720,4,FALSE)</f>
        <v>Snorlax</v>
      </c>
      <c r="E145" s="131" t="s">
        <v>3682</v>
      </c>
      <c r="F145" s="131" t="s">
        <v>3683</v>
      </c>
      <c r="G145" s="131" t="s">
        <v>3684</v>
      </c>
      <c r="H145" s="138">
        <v>160</v>
      </c>
      <c r="I145" s="139">
        <v>110</v>
      </c>
      <c r="J145" s="140">
        <v>65</v>
      </c>
      <c r="K145" s="141">
        <v>65</v>
      </c>
      <c r="L145" s="142">
        <v>110</v>
      </c>
      <c r="M145" s="143">
        <v>30</v>
      </c>
      <c r="N145" s="144">
        <v>540</v>
      </c>
      <c r="O145" s="145" t="s">
        <v>267</v>
      </c>
      <c r="P145" s="133" t="s">
        <v>3295</v>
      </c>
      <c r="Q145" s="147">
        <v>460</v>
      </c>
      <c r="R145" s="131"/>
    </row>
    <row r="146" ht="26.1" customHeight="1" spans="1:18">
      <c r="A146" s="135" t="s">
        <v>3685</v>
      </c>
      <c r="B146" s="131" t="s">
        <v>3686</v>
      </c>
      <c r="C146" s="136" t="str">
        <f>VLOOKUP(A146,伤害计算器!$V$2:$Y$720,3,FALSE)</f>
        <v>フリーザー</v>
      </c>
      <c r="D146" s="136" t="str">
        <f>VLOOKUP(A146,伤害计算器!$V$2:$Y$720,4,FALSE)</f>
        <v>Articuno</v>
      </c>
      <c r="E146" s="131" t="s">
        <v>3679</v>
      </c>
      <c r="F146" s="137" t="s">
        <v>3295</v>
      </c>
      <c r="G146" s="131" t="s">
        <v>81</v>
      </c>
      <c r="H146" s="138">
        <v>90</v>
      </c>
      <c r="I146" s="139">
        <v>85</v>
      </c>
      <c r="J146" s="140">
        <v>100</v>
      </c>
      <c r="K146" s="141">
        <v>95</v>
      </c>
      <c r="L146" s="142">
        <v>125</v>
      </c>
      <c r="M146" s="143">
        <v>85</v>
      </c>
      <c r="N146" s="144">
        <v>580</v>
      </c>
      <c r="O146" s="145" t="s">
        <v>100</v>
      </c>
      <c r="P146" s="133" t="s">
        <v>99</v>
      </c>
      <c r="Q146" s="147">
        <v>55.4</v>
      </c>
      <c r="R146" s="131"/>
    </row>
    <row r="147" ht="23.1" customHeight="1" spans="1:18">
      <c r="A147" s="135" t="s">
        <v>3687</v>
      </c>
      <c r="B147" s="131" t="s">
        <v>3688</v>
      </c>
      <c r="C147" s="136" t="str">
        <f>VLOOKUP(A147,伤害计算器!$V$2:$Y$720,3,FALSE)</f>
        <v>サンダー</v>
      </c>
      <c r="D147" s="136" t="str">
        <f>VLOOKUP(A147,伤害计算器!$V$2:$Y$720,4,FALSE)</f>
        <v>Zapdos</v>
      </c>
      <c r="E147" s="131" t="s">
        <v>3679</v>
      </c>
      <c r="F147" s="137" t="s">
        <v>3295</v>
      </c>
      <c r="G147" s="131" t="s">
        <v>562</v>
      </c>
      <c r="H147" s="138">
        <v>90</v>
      </c>
      <c r="I147" s="139">
        <v>90</v>
      </c>
      <c r="J147" s="140">
        <v>85</v>
      </c>
      <c r="K147" s="141">
        <v>125</v>
      </c>
      <c r="L147" s="142">
        <v>90</v>
      </c>
      <c r="M147" s="143">
        <v>100</v>
      </c>
      <c r="N147" s="144">
        <v>580</v>
      </c>
      <c r="O147" s="145" t="s">
        <v>268</v>
      </c>
      <c r="P147" s="133" t="s">
        <v>99</v>
      </c>
      <c r="Q147" s="147">
        <v>52.6</v>
      </c>
      <c r="R147" s="131"/>
    </row>
    <row r="148" ht="23.1" customHeight="1" spans="1:18">
      <c r="A148" s="135" t="s">
        <v>3689</v>
      </c>
      <c r="B148" s="131" t="s">
        <v>3690</v>
      </c>
      <c r="C148" s="136" t="str">
        <f>VLOOKUP(A148,伤害计算器!$V$2:$Y$720,3,FALSE)</f>
        <v>ファイヤー</v>
      </c>
      <c r="D148" s="136" t="str">
        <f>VLOOKUP(A148,伤害计算器!$V$2:$Y$720,4,FALSE)</f>
        <v>Moltres</v>
      </c>
      <c r="E148" s="131" t="s">
        <v>3679</v>
      </c>
      <c r="F148" s="137" t="s">
        <v>3295</v>
      </c>
      <c r="G148" s="131" t="s">
        <v>3508</v>
      </c>
      <c r="H148" s="138">
        <v>90</v>
      </c>
      <c r="I148" s="139">
        <v>100</v>
      </c>
      <c r="J148" s="140">
        <v>90</v>
      </c>
      <c r="K148" s="141">
        <v>125</v>
      </c>
      <c r="L148" s="142">
        <v>85</v>
      </c>
      <c r="M148" s="143">
        <v>90</v>
      </c>
      <c r="N148" s="144">
        <v>580</v>
      </c>
      <c r="O148" s="145" t="s">
        <v>250</v>
      </c>
      <c r="P148" s="133" t="s">
        <v>99</v>
      </c>
      <c r="Q148" s="147">
        <v>60</v>
      </c>
      <c r="R148" s="131"/>
    </row>
    <row r="149" ht="26.1" customHeight="1" spans="1:18">
      <c r="A149" s="135" t="s">
        <v>3691</v>
      </c>
      <c r="B149" s="131" t="s">
        <v>3692</v>
      </c>
      <c r="C149" s="136" t="str">
        <f>VLOOKUP(A149,伤害计算器!$V$2:$Y$720,3,FALSE)</f>
        <v>ミニリュウ</v>
      </c>
      <c r="D149" s="136" t="str">
        <f>VLOOKUP(A149,伤害计算器!$V$2:$Y$720,4,FALSE)</f>
        <v>Dratini</v>
      </c>
      <c r="E149" s="131" t="s">
        <v>3323</v>
      </c>
      <c r="F149" s="137" t="s">
        <v>3295</v>
      </c>
      <c r="G149" s="131" t="s">
        <v>3693</v>
      </c>
      <c r="H149" s="138">
        <v>41</v>
      </c>
      <c r="I149" s="139">
        <v>64</v>
      </c>
      <c r="J149" s="140">
        <v>45</v>
      </c>
      <c r="K149" s="141">
        <v>50</v>
      </c>
      <c r="L149" s="142">
        <v>50</v>
      </c>
      <c r="M149" s="143">
        <v>50</v>
      </c>
      <c r="N149" s="144">
        <v>300</v>
      </c>
      <c r="O149" s="145" t="s">
        <v>274</v>
      </c>
      <c r="P149" s="133" t="s">
        <v>3295</v>
      </c>
      <c r="Q149" s="147">
        <v>3.3</v>
      </c>
      <c r="R149" s="131"/>
    </row>
    <row r="150" ht="26.1" customHeight="1" spans="1:18">
      <c r="A150" s="135" t="s">
        <v>3694</v>
      </c>
      <c r="B150" s="131" t="s">
        <v>3695</v>
      </c>
      <c r="C150" s="136" t="str">
        <f>VLOOKUP(A150,伤害计算器!$V$2:$Y$720,3,FALSE)</f>
        <v>ハクリュー</v>
      </c>
      <c r="D150" s="136" t="str">
        <f>VLOOKUP(A150,伤害计算器!$V$2:$Y$720,4,FALSE)</f>
        <v>Dragonair</v>
      </c>
      <c r="E150" s="131" t="s">
        <v>3323</v>
      </c>
      <c r="F150" s="137" t="s">
        <v>3295</v>
      </c>
      <c r="G150" s="131" t="s">
        <v>73</v>
      </c>
      <c r="H150" s="138">
        <v>61</v>
      </c>
      <c r="I150" s="139">
        <v>84</v>
      </c>
      <c r="J150" s="140">
        <v>65</v>
      </c>
      <c r="K150" s="141">
        <v>70</v>
      </c>
      <c r="L150" s="142">
        <v>70</v>
      </c>
      <c r="M150" s="143">
        <v>70</v>
      </c>
      <c r="N150" s="144">
        <v>420</v>
      </c>
      <c r="O150" s="145" t="s">
        <v>274</v>
      </c>
      <c r="P150" s="133" t="s">
        <v>3295</v>
      </c>
      <c r="Q150" s="147">
        <v>16.5</v>
      </c>
      <c r="R150" s="131"/>
    </row>
    <row r="151" ht="36" customHeight="1" spans="1:18">
      <c r="A151" s="135" t="s">
        <v>3696</v>
      </c>
      <c r="B151" s="131" t="s">
        <v>3697</v>
      </c>
      <c r="C151" s="136" t="str">
        <f>VLOOKUP(A151,伤害计算器!$V$2:$Y$720,3,FALSE)</f>
        <v>カイリュー</v>
      </c>
      <c r="D151" s="136" t="str">
        <f>VLOOKUP(A151,伤害计算器!$V$2:$Y$720,4,FALSE)</f>
        <v>Dragonite</v>
      </c>
      <c r="E151" s="131" t="s">
        <v>3409</v>
      </c>
      <c r="F151" s="137" t="s">
        <v>3295</v>
      </c>
      <c r="G151" s="131" t="s">
        <v>75</v>
      </c>
      <c r="H151" s="138">
        <v>91</v>
      </c>
      <c r="I151" s="139">
        <v>134</v>
      </c>
      <c r="J151" s="140">
        <v>95</v>
      </c>
      <c r="K151" s="141">
        <v>100</v>
      </c>
      <c r="L151" s="142">
        <v>100</v>
      </c>
      <c r="M151" s="143">
        <v>80</v>
      </c>
      <c r="N151" s="144">
        <v>600</v>
      </c>
      <c r="O151" s="145" t="s">
        <v>274</v>
      </c>
      <c r="P151" s="133" t="s">
        <v>99</v>
      </c>
      <c r="Q151" s="147">
        <v>210</v>
      </c>
      <c r="R151" s="131"/>
    </row>
    <row r="152" ht="26.1" customHeight="1" spans="1:18">
      <c r="A152" s="135" t="s">
        <v>3698</v>
      </c>
      <c r="B152" s="131" t="s">
        <v>3699</v>
      </c>
      <c r="C152" s="136" t="str">
        <f>VLOOKUP(A152,伤害计算器!$V$2:$Y$720,3,FALSE)</f>
        <v>ミュウツー</v>
      </c>
      <c r="D152" s="136" t="str">
        <f>VLOOKUP(A152,伤害计算器!$V$2:$Y$720,4,FALSE)</f>
        <v>Mewtwo</v>
      </c>
      <c r="E152" s="131" t="s">
        <v>3679</v>
      </c>
      <c r="F152" s="137" t="s">
        <v>3295</v>
      </c>
      <c r="G152" s="131" t="s">
        <v>3355</v>
      </c>
      <c r="H152" s="138">
        <v>106</v>
      </c>
      <c r="I152" s="139">
        <v>110</v>
      </c>
      <c r="J152" s="140">
        <v>90</v>
      </c>
      <c r="K152" s="141">
        <v>154</v>
      </c>
      <c r="L152" s="142">
        <v>90</v>
      </c>
      <c r="M152" s="143">
        <v>130</v>
      </c>
      <c r="N152" s="144">
        <v>680</v>
      </c>
      <c r="O152" s="145" t="s">
        <v>271</v>
      </c>
      <c r="P152" s="133" t="s">
        <v>3295</v>
      </c>
      <c r="Q152" s="147">
        <v>33</v>
      </c>
      <c r="R152" s="131"/>
    </row>
    <row r="153" ht="24.6" customHeight="1" spans="1:18">
      <c r="A153" s="135" t="s">
        <v>3700</v>
      </c>
      <c r="B153" s="131" t="s">
        <v>3701</v>
      </c>
      <c r="C153" s="136" t="str">
        <f>VLOOKUP(A153,伤害计算器!$V$2:$Y$720,3,FALSE)</f>
        <v>ミュウ</v>
      </c>
      <c r="D153" s="136" t="str">
        <f>VLOOKUP(A153,伤害计算器!$V$2:$Y$720,4,FALSE)</f>
        <v>Mew</v>
      </c>
      <c r="E153" s="131" t="s">
        <v>3471</v>
      </c>
      <c r="F153" s="137" t="s">
        <v>3295</v>
      </c>
      <c r="G153" s="137"/>
      <c r="H153" s="138">
        <v>100</v>
      </c>
      <c r="I153" s="139">
        <v>100</v>
      </c>
      <c r="J153" s="140">
        <v>100</v>
      </c>
      <c r="K153" s="141">
        <v>100</v>
      </c>
      <c r="L153" s="142">
        <v>100</v>
      </c>
      <c r="M153" s="143">
        <v>100</v>
      </c>
      <c r="N153" s="144">
        <v>600</v>
      </c>
      <c r="O153" s="145" t="s">
        <v>271</v>
      </c>
      <c r="P153" s="133" t="s">
        <v>3295</v>
      </c>
      <c r="Q153" s="147">
        <v>4</v>
      </c>
      <c r="R153" s="131"/>
    </row>
    <row r="154" ht="23.1" customHeight="1" spans="1:18">
      <c r="A154" s="135" t="s">
        <v>3702</v>
      </c>
      <c r="B154" s="131" t="s">
        <v>3703</v>
      </c>
      <c r="C154" s="136" t="str">
        <f>VLOOKUP(A154,伤害计算器!$V$2:$Y$720,3,FALSE)</f>
        <v>チコリータ</v>
      </c>
      <c r="D154" s="136" t="str">
        <f>VLOOKUP(A154,伤害计算器!$V$2:$Y$720,4,FALSE)</f>
        <v>Chikorita</v>
      </c>
      <c r="E154" s="131" t="s">
        <v>53</v>
      </c>
      <c r="F154" s="137"/>
      <c r="G154" s="131" t="s">
        <v>3609</v>
      </c>
      <c r="H154" s="138">
        <v>45</v>
      </c>
      <c r="I154" s="139">
        <v>49</v>
      </c>
      <c r="J154" s="140">
        <v>65</v>
      </c>
      <c r="K154" s="141">
        <v>49</v>
      </c>
      <c r="L154" s="142">
        <v>65</v>
      </c>
      <c r="M154" s="143">
        <v>45</v>
      </c>
      <c r="N154" s="144">
        <v>318</v>
      </c>
      <c r="O154" s="145" t="s">
        <v>235</v>
      </c>
      <c r="Q154" s="147">
        <v>6.4</v>
      </c>
      <c r="R154" s="131"/>
    </row>
    <row r="155" ht="26.45" customHeight="1" spans="1:18">
      <c r="A155" s="135" t="s">
        <v>3704</v>
      </c>
      <c r="B155" s="131" t="s">
        <v>3705</v>
      </c>
      <c r="C155" s="136" t="str">
        <f>VLOOKUP(A155,伤害计算器!$V$2:$Y$720,3,FALSE)</f>
        <v>ベイリーフ</v>
      </c>
      <c r="D155" s="136" t="str">
        <f>VLOOKUP(A155,伤害计算器!$V$2:$Y$720,4,FALSE)</f>
        <v>Bayleef</v>
      </c>
      <c r="E155" s="131" t="s">
        <v>53</v>
      </c>
      <c r="F155" s="137"/>
      <c r="G155" s="131" t="s">
        <v>3609</v>
      </c>
      <c r="H155" s="138">
        <v>60</v>
      </c>
      <c r="I155" s="139">
        <v>62</v>
      </c>
      <c r="J155" s="140">
        <v>80</v>
      </c>
      <c r="K155" s="141">
        <v>63</v>
      </c>
      <c r="L155" s="142">
        <v>80</v>
      </c>
      <c r="M155" s="143">
        <v>60</v>
      </c>
      <c r="N155" s="144">
        <v>405</v>
      </c>
      <c r="O155" s="145" t="s">
        <v>235</v>
      </c>
      <c r="Q155" s="147">
        <v>15.8</v>
      </c>
      <c r="R155" s="131"/>
    </row>
    <row r="156" ht="24.95" customHeight="1" spans="1:18">
      <c r="A156" s="135" t="s">
        <v>3706</v>
      </c>
      <c r="B156" s="131" t="s">
        <v>3707</v>
      </c>
      <c r="C156" s="136" t="str">
        <f>VLOOKUP(A156,伤害计算器!$V$2:$Y$720,3,FALSE)</f>
        <v>メガニウム</v>
      </c>
      <c r="D156" s="136" t="str">
        <f>VLOOKUP(A156,伤害计算器!$V$2:$Y$720,4,FALSE)</f>
        <v>Meganium</v>
      </c>
      <c r="E156" s="131" t="s">
        <v>53</v>
      </c>
      <c r="F156" s="137"/>
      <c r="G156" s="131" t="s">
        <v>3609</v>
      </c>
      <c r="H156" s="138">
        <v>80</v>
      </c>
      <c r="I156" s="139">
        <v>82</v>
      </c>
      <c r="J156" s="140">
        <v>100</v>
      </c>
      <c r="K156" s="141">
        <v>83</v>
      </c>
      <c r="L156" s="142">
        <v>100</v>
      </c>
      <c r="M156" s="143">
        <v>80</v>
      </c>
      <c r="N156" s="144">
        <v>525</v>
      </c>
      <c r="O156" s="145" t="s">
        <v>235</v>
      </c>
      <c r="Q156" s="147">
        <v>100.5</v>
      </c>
      <c r="R156" s="131"/>
    </row>
    <row r="157" ht="24.95" customHeight="1" spans="1:18">
      <c r="A157" s="135" t="s">
        <v>3708</v>
      </c>
      <c r="B157" s="131" t="s">
        <v>3709</v>
      </c>
      <c r="C157" s="136" t="str">
        <f>VLOOKUP(A157,伤害计算器!$V$2:$Y$720,3,FALSE)</f>
        <v>ヒノアラシ</v>
      </c>
      <c r="D157" s="136" t="str">
        <f>VLOOKUP(A157,伤害计算器!$V$2:$Y$720,4,FALSE)</f>
        <v>Cyndaquil</v>
      </c>
      <c r="E157" s="131" t="s">
        <v>54</v>
      </c>
      <c r="F157" s="137"/>
      <c r="G157" s="131" t="s">
        <v>542</v>
      </c>
      <c r="H157" s="138">
        <v>39</v>
      </c>
      <c r="I157" s="139">
        <v>52</v>
      </c>
      <c r="J157" s="140">
        <v>43</v>
      </c>
      <c r="K157" s="141">
        <v>60</v>
      </c>
      <c r="L157" s="142">
        <v>50</v>
      </c>
      <c r="M157" s="143">
        <v>65</v>
      </c>
      <c r="N157" s="144">
        <v>309</v>
      </c>
      <c r="O157" s="145" t="s">
        <v>250</v>
      </c>
      <c r="Q157" s="147">
        <v>7.9</v>
      </c>
      <c r="R157" s="131"/>
    </row>
    <row r="158" ht="24.95" customHeight="1" spans="1:18">
      <c r="A158" s="135" t="s">
        <v>3710</v>
      </c>
      <c r="B158" s="131" t="s">
        <v>3711</v>
      </c>
      <c r="C158" s="136" t="str">
        <f>VLOOKUP(A158,伤害计算器!$V$2:$Y$720,3,FALSE)</f>
        <v>マグマラシ</v>
      </c>
      <c r="D158" s="136" t="str">
        <f>VLOOKUP(A158,伤害计算器!$V$2:$Y$720,4,FALSE)</f>
        <v>Quilava</v>
      </c>
      <c r="E158" s="131" t="s">
        <v>54</v>
      </c>
      <c r="F158" s="137"/>
      <c r="G158" s="131" t="s">
        <v>3712</v>
      </c>
      <c r="H158" s="138">
        <v>58</v>
      </c>
      <c r="I158" s="139">
        <v>64</v>
      </c>
      <c r="J158" s="140">
        <v>58</v>
      </c>
      <c r="K158" s="141">
        <v>80</v>
      </c>
      <c r="L158" s="142">
        <v>65</v>
      </c>
      <c r="M158" s="143">
        <v>80</v>
      </c>
      <c r="N158" s="144">
        <v>405</v>
      </c>
      <c r="O158" s="145" t="s">
        <v>250</v>
      </c>
      <c r="Q158" s="147">
        <v>19</v>
      </c>
      <c r="R158" s="131"/>
    </row>
    <row r="159" ht="24.95" customHeight="1" spans="1:18">
      <c r="A159" s="135" t="s">
        <v>3713</v>
      </c>
      <c r="B159" s="131" t="s">
        <v>3714</v>
      </c>
      <c r="C159" s="136" t="str">
        <f>VLOOKUP(A159,伤害计算器!$V$2:$Y$720,3,FALSE)</f>
        <v>バクフーン</v>
      </c>
      <c r="D159" s="136" t="str">
        <f>VLOOKUP(A159,伤害计算器!$V$2:$Y$720,4,FALSE)</f>
        <v>Typhlosion</v>
      </c>
      <c r="E159" s="131" t="s">
        <v>54</v>
      </c>
      <c r="F159" s="137"/>
      <c r="G159" s="131" t="s">
        <v>3712</v>
      </c>
      <c r="H159" s="138">
        <v>78</v>
      </c>
      <c r="I159" s="139">
        <v>84</v>
      </c>
      <c r="J159" s="140">
        <v>78</v>
      </c>
      <c r="K159" s="141">
        <v>109</v>
      </c>
      <c r="L159" s="142">
        <v>85</v>
      </c>
      <c r="M159" s="143">
        <v>100</v>
      </c>
      <c r="N159" s="144">
        <v>534</v>
      </c>
      <c r="O159" s="145" t="s">
        <v>250</v>
      </c>
      <c r="Q159" s="147">
        <v>79.5</v>
      </c>
      <c r="R159" s="131"/>
    </row>
    <row r="160" ht="24.95" customHeight="1" spans="1:18">
      <c r="A160" s="135" t="s">
        <v>3715</v>
      </c>
      <c r="B160" s="131" t="s">
        <v>3716</v>
      </c>
      <c r="C160" s="136" t="str">
        <f>VLOOKUP(A160,伤害计算器!$V$2:$Y$720,3,FALSE)</f>
        <v>ワニノコ</v>
      </c>
      <c r="D160" s="136" t="str">
        <f>VLOOKUP(A160,伤害计算器!$V$2:$Y$720,4,FALSE)</f>
        <v>Totodile</v>
      </c>
      <c r="E160" s="131" t="s">
        <v>55</v>
      </c>
      <c r="F160" s="137"/>
      <c r="G160" s="131" t="s">
        <v>3717</v>
      </c>
      <c r="H160" s="138">
        <v>50</v>
      </c>
      <c r="I160" s="139">
        <v>65</v>
      </c>
      <c r="J160" s="140">
        <v>64</v>
      </c>
      <c r="K160" s="141">
        <v>44</v>
      </c>
      <c r="L160" s="142">
        <v>48</v>
      </c>
      <c r="M160" s="143">
        <v>43</v>
      </c>
      <c r="N160" s="144">
        <v>314</v>
      </c>
      <c r="O160" s="145" t="s">
        <v>251</v>
      </c>
      <c r="Q160" s="147">
        <v>9.5</v>
      </c>
      <c r="R160" s="131"/>
    </row>
    <row r="161" ht="24.95" customHeight="1" spans="1:18">
      <c r="A161" s="135" t="s">
        <v>3718</v>
      </c>
      <c r="B161" s="131" t="s">
        <v>3719</v>
      </c>
      <c r="C161" s="136" t="str">
        <f>VLOOKUP(A161,伤害计算器!$V$2:$Y$720,3,FALSE)</f>
        <v>アリゲイツ</v>
      </c>
      <c r="D161" s="136" t="str">
        <f>VLOOKUP(A161,伤害计算器!$V$2:$Y$720,4,FALSE)</f>
        <v>Croconaw</v>
      </c>
      <c r="E161" s="131" t="s">
        <v>55</v>
      </c>
      <c r="F161" s="137"/>
      <c r="G161" s="131" t="s">
        <v>41</v>
      </c>
      <c r="H161" s="138">
        <v>65</v>
      </c>
      <c r="I161" s="139">
        <v>80</v>
      </c>
      <c r="J161" s="140">
        <v>80</v>
      </c>
      <c r="K161" s="141">
        <v>59</v>
      </c>
      <c r="L161" s="142">
        <v>63</v>
      </c>
      <c r="M161" s="143">
        <v>58</v>
      </c>
      <c r="N161" s="144">
        <v>405</v>
      </c>
      <c r="O161" s="145" t="s">
        <v>251</v>
      </c>
      <c r="Q161" s="147">
        <v>25</v>
      </c>
      <c r="R161" s="131"/>
    </row>
    <row r="162" ht="24.95" customHeight="1" spans="1:18">
      <c r="A162" s="135" t="s">
        <v>3720</v>
      </c>
      <c r="B162" s="131" t="s">
        <v>3721</v>
      </c>
      <c r="C162" s="136" t="str">
        <f>VLOOKUP(A162,伤害计算器!$V$2:$Y$720,3,FALSE)</f>
        <v>オーダイル</v>
      </c>
      <c r="D162" s="136" t="str">
        <f>VLOOKUP(A162,伤害计算器!$V$2:$Y$720,4,FALSE)</f>
        <v>Feraligatr</v>
      </c>
      <c r="E162" s="131" t="s">
        <v>55</v>
      </c>
      <c r="F162" s="137"/>
      <c r="G162" s="131" t="s">
        <v>41</v>
      </c>
      <c r="H162" s="138">
        <v>85</v>
      </c>
      <c r="I162" s="139">
        <v>105</v>
      </c>
      <c r="J162" s="140">
        <v>100</v>
      </c>
      <c r="K162" s="141">
        <v>79</v>
      </c>
      <c r="L162" s="142">
        <v>83</v>
      </c>
      <c r="M162" s="143">
        <v>78</v>
      </c>
      <c r="N162" s="144">
        <v>530</v>
      </c>
      <c r="O162" s="145" t="s">
        <v>251</v>
      </c>
      <c r="Q162" s="147">
        <v>88.8</v>
      </c>
      <c r="R162" s="131"/>
    </row>
    <row r="163" ht="24.95" customHeight="1" spans="1:18">
      <c r="A163" s="135" t="s">
        <v>3722</v>
      </c>
      <c r="B163" s="131" t="s">
        <v>3723</v>
      </c>
      <c r="C163" s="136" t="str">
        <f>VLOOKUP(A163,伤害计算器!$V$2:$Y$720,3,FALSE)</f>
        <v>オタチ</v>
      </c>
      <c r="D163" s="136" t="str">
        <f>VLOOKUP(A163,伤害计算器!$V$2:$Y$720,4,FALSE)</f>
        <v>Sentret</v>
      </c>
      <c r="E163" s="131" t="s">
        <v>3319</v>
      </c>
      <c r="F163" s="131" t="s">
        <v>3336</v>
      </c>
      <c r="G163" s="131" t="s">
        <v>3406</v>
      </c>
      <c r="H163" s="138">
        <v>35</v>
      </c>
      <c r="I163" s="139">
        <v>46</v>
      </c>
      <c r="J163" s="140">
        <v>34</v>
      </c>
      <c r="K163" s="141">
        <v>35</v>
      </c>
      <c r="L163" s="142">
        <v>45</v>
      </c>
      <c r="M163" s="143">
        <v>20</v>
      </c>
      <c r="N163" s="144">
        <v>215</v>
      </c>
      <c r="O163" s="145" t="s">
        <v>267</v>
      </c>
      <c r="Q163" s="147">
        <v>6</v>
      </c>
      <c r="R163" s="131"/>
    </row>
    <row r="164" ht="24.95" customHeight="1" spans="1:18">
      <c r="A164" s="135" t="s">
        <v>3724</v>
      </c>
      <c r="B164" s="131" t="s">
        <v>3725</v>
      </c>
      <c r="C164" s="136" t="str">
        <f>VLOOKUP(A164,伤害计算器!$V$2:$Y$720,3,FALSE)</f>
        <v>オオタチ</v>
      </c>
      <c r="D164" s="136" t="str">
        <f>VLOOKUP(A164,伤害计算器!$V$2:$Y$720,4,FALSE)</f>
        <v>Furret</v>
      </c>
      <c r="E164" s="131" t="s">
        <v>3319</v>
      </c>
      <c r="F164" s="131" t="s">
        <v>3336</v>
      </c>
      <c r="G164" s="131" t="s">
        <v>3406</v>
      </c>
      <c r="H164" s="138">
        <v>85</v>
      </c>
      <c r="I164" s="139">
        <v>76</v>
      </c>
      <c r="J164" s="140">
        <v>64</v>
      </c>
      <c r="K164" s="141">
        <v>45</v>
      </c>
      <c r="L164" s="142">
        <v>55</v>
      </c>
      <c r="M164" s="143">
        <v>90</v>
      </c>
      <c r="N164" s="144">
        <v>415</v>
      </c>
      <c r="O164" s="145" t="s">
        <v>267</v>
      </c>
      <c r="Q164" s="147">
        <v>32.5</v>
      </c>
      <c r="R164" s="131"/>
    </row>
    <row r="165" ht="24.95" customHeight="1" spans="1:18">
      <c r="A165" s="135" t="s">
        <v>3726</v>
      </c>
      <c r="B165" s="131" t="s">
        <v>3727</v>
      </c>
      <c r="C165" s="136" t="str">
        <f>VLOOKUP(A165,伤害计算器!$V$2:$Y$720,3,FALSE)</f>
        <v>ホーホー</v>
      </c>
      <c r="D165" s="136" t="str">
        <f>VLOOKUP(A165,伤害计算器!$V$2:$Y$720,4,FALSE)</f>
        <v>Hoothoot</v>
      </c>
      <c r="E165" s="131" t="s">
        <v>3561</v>
      </c>
      <c r="F165" s="131" t="s">
        <v>3336</v>
      </c>
      <c r="G165" s="131" t="s">
        <v>64</v>
      </c>
      <c r="H165" s="138">
        <v>60</v>
      </c>
      <c r="I165" s="139">
        <v>30</v>
      </c>
      <c r="J165" s="140">
        <v>30</v>
      </c>
      <c r="K165" s="141">
        <v>36</v>
      </c>
      <c r="L165" s="142">
        <v>56</v>
      </c>
      <c r="M165" s="143">
        <v>50</v>
      </c>
      <c r="N165" s="144">
        <v>262</v>
      </c>
      <c r="O165" s="145" t="s">
        <v>267</v>
      </c>
      <c r="P165" s="133" t="s">
        <v>99</v>
      </c>
      <c r="Q165" s="147">
        <v>21.2</v>
      </c>
      <c r="R165" s="131"/>
    </row>
    <row r="166" ht="24.95" customHeight="1" spans="1:18">
      <c r="A166" s="135" t="s">
        <v>3728</v>
      </c>
      <c r="B166" s="131" t="s">
        <v>3729</v>
      </c>
      <c r="C166" s="136" t="str">
        <f>VLOOKUP(A166,伤害计算器!$V$2:$Y$720,3,FALSE)</f>
        <v>ヨルノズク</v>
      </c>
      <c r="D166" s="136" t="str">
        <f>VLOOKUP(A166,伤害计算器!$V$2:$Y$720,4,FALSE)</f>
        <v>Noctowl</v>
      </c>
      <c r="E166" s="131" t="s">
        <v>3561</v>
      </c>
      <c r="F166" s="131" t="s">
        <v>3336</v>
      </c>
      <c r="G166" s="131" t="s">
        <v>64</v>
      </c>
      <c r="H166" s="138">
        <v>100</v>
      </c>
      <c r="I166" s="139">
        <v>50</v>
      </c>
      <c r="J166" s="140">
        <v>50</v>
      </c>
      <c r="K166" s="141">
        <v>76</v>
      </c>
      <c r="L166" s="142">
        <v>96</v>
      </c>
      <c r="M166" s="143">
        <v>70</v>
      </c>
      <c r="N166" s="144">
        <v>442</v>
      </c>
      <c r="O166" s="145" t="s">
        <v>267</v>
      </c>
      <c r="P166" s="133" t="s">
        <v>99</v>
      </c>
      <c r="Q166" s="147">
        <v>40.8</v>
      </c>
      <c r="R166" s="131"/>
    </row>
    <row r="167" ht="24.95" customHeight="1" spans="1:18">
      <c r="A167" s="135" t="s">
        <v>3730</v>
      </c>
      <c r="B167" s="131" t="s">
        <v>3731</v>
      </c>
      <c r="C167" s="136" t="str">
        <f>VLOOKUP(A167,伤害计算器!$V$2:$Y$720,3,FALSE)</f>
        <v>レディバ</v>
      </c>
      <c r="D167" s="136" t="str">
        <f>VLOOKUP(A167,伤害计算器!$V$2:$Y$720,4,FALSE)</f>
        <v>Ledyba</v>
      </c>
      <c r="E167" s="131" t="s">
        <v>3333</v>
      </c>
      <c r="F167" s="131" t="s">
        <v>3527</v>
      </c>
      <c r="G167" s="131" t="s">
        <v>3645</v>
      </c>
      <c r="H167" s="138">
        <v>40</v>
      </c>
      <c r="I167" s="139">
        <v>20</v>
      </c>
      <c r="J167" s="140">
        <v>30</v>
      </c>
      <c r="K167" s="141">
        <v>40</v>
      </c>
      <c r="L167" s="142">
        <v>80</v>
      </c>
      <c r="M167" s="143">
        <v>55</v>
      </c>
      <c r="N167" s="144">
        <v>265</v>
      </c>
      <c r="O167" s="145" t="s">
        <v>272</v>
      </c>
      <c r="P167" s="133" t="s">
        <v>99</v>
      </c>
      <c r="Q167" s="147">
        <v>10.8</v>
      </c>
      <c r="R167" s="131"/>
    </row>
    <row r="168" ht="24.95" customHeight="1" spans="1:18">
      <c r="A168" s="135" t="s">
        <v>3732</v>
      </c>
      <c r="B168" s="131" t="s">
        <v>3733</v>
      </c>
      <c r="C168" s="136" t="str">
        <f>VLOOKUP(A168,伤害计算器!$V$2:$Y$720,3,FALSE)</f>
        <v>レディアン</v>
      </c>
      <c r="D168" s="136" t="str">
        <f>VLOOKUP(A168,伤害计算器!$V$2:$Y$720,4,FALSE)</f>
        <v>Ledian</v>
      </c>
      <c r="E168" s="131" t="s">
        <v>3333</v>
      </c>
      <c r="F168" s="131" t="s">
        <v>3527</v>
      </c>
      <c r="G168" s="131" t="s">
        <v>39</v>
      </c>
      <c r="H168" s="138">
        <v>55</v>
      </c>
      <c r="I168" s="139">
        <v>35</v>
      </c>
      <c r="J168" s="140">
        <v>50</v>
      </c>
      <c r="K168" s="141">
        <v>55</v>
      </c>
      <c r="L168" s="142">
        <v>110</v>
      </c>
      <c r="M168" s="143">
        <v>85</v>
      </c>
      <c r="N168" s="144">
        <v>390</v>
      </c>
      <c r="O168" s="145" t="s">
        <v>272</v>
      </c>
      <c r="P168" s="133" t="s">
        <v>99</v>
      </c>
      <c r="Q168" s="147">
        <v>35.6</v>
      </c>
      <c r="R168" s="131"/>
    </row>
    <row r="169" ht="24.95" customHeight="1" spans="1:18">
      <c r="A169" s="135" t="s">
        <v>3734</v>
      </c>
      <c r="B169" s="131" t="s">
        <v>3735</v>
      </c>
      <c r="C169" s="136" t="str">
        <f>VLOOKUP(A169,伤害计算器!$V$2:$Y$720,3,FALSE)</f>
        <v>イトマル</v>
      </c>
      <c r="D169" s="136" t="str">
        <f>VLOOKUP(A169,伤害计算器!$V$2:$Y$720,4,FALSE)</f>
        <v>Spinarak</v>
      </c>
      <c r="E169" s="131" t="s">
        <v>3333</v>
      </c>
      <c r="F169" s="131" t="s">
        <v>3561</v>
      </c>
      <c r="G169" s="131" t="s">
        <v>65</v>
      </c>
      <c r="H169" s="138">
        <v>40</v>
      </c>
      <c r="I169" s="139">
        <v>60</v>
      </c>
      <c r="J169" s="140">
        <v>40</v>
      </c>
      <c r="K169" s="141">
        <v>40</v>
      </c>
      <c r="L169" s="142">
        <v>40</v>
      </c>
      <c r="M169" s="143">
        <v>30</v>
      </c>
      <c r="N169" s="144">
        <v>250</v>
      </c>
      <c r="O169" s="145" t="s">
        <v>272</v>
      </c>
      <c r="P169" s="133" t="s">
        <v>270</v>
      </c>
      <c r="Q169" s="147">
        <v>8.5</v>
      </c>
      <c r="R169" s="131"/>
    </row>
    <row r="170" ht="24.95" customHeight="1" spans="1:18">
      <c r="A170" s="135" t="s">
        <v>3736</v>
      </c>
      <c r="B170" s="131" t="s">
        <v>3737</v>
      </c>
      <c r="C170" s="136" t="str">
        <f>VLOOKUP(A170,伤害计算器!$V$2:$Y$720,3,FALSE)</f>
        <v>アリアドス</v>
      </c>
      <c r="D170" s="136" t="str">
        <f>VLOOKUP(A170,伤害计算器!$V$2:$Y$720,4,FALSE)</f>
        <v>Ariados</v>
      </c>
      <c r="E170" s="131" t="s">
        <v>3333</v>
      </c>
      <c r="F170" s="131" t="s">
        <v>3561</v>
      </c>
      <c r="G170" s="131" t="s">
        <v>65</v>
      </c>
      <c r="H170" s="138">
        <v>70</v>
      </c>
      <c r="I170" s="139">
        <v>90</v>
      </c>
      <c r="J170" s="140">
        <v>70</v>
      </c>
      <c r="K170" s="141">
        <v>60</v>
      </c>
      <c r="L170" s="142">
        <v>60</v>
      </c>
      <c r="M170" s="143">
        <v>40</v>
      </c>
      <c r="N170" s="144">
        <v>390</v>
      </c>
      <c r="O170" s="145" t="s">
        <v>272</v>
      </c>
      <c r="P170" s="133" t="s">
        <v>270</v>
      </c>
      <c r="Q170" s="147">
        <v>33.5</v>
      </c>
      <c r="R170" s="131"/>
    </row>
    <row r="171" ht="24.95" customHeight="1" spans="1:18">
      <c r="A171" s="135" t="s">
        <v>3738</v>
      </c>
      <c r="B171" s="131" t="s">
        <v>3739</v>
      </c>
      <c r="C171" s="136" t="str">
        <f>VLOOKUP(A171,伤害计算器!$V$2:$Y$720,3,FALSE)</f>
        <v>クロバット</v>
      </c>
      <c r="D171" s="136" t="str">
        <f>VLOOKUP(A171,伤害计算器!$V$2:$Y$720,4,FALSE)</f>
        <v>Crobat</v>
      </c>
      <c r="E171" s="131" t="s">
        <v>3409</v>
      </c>
      <c r="F171" s="137"/>
      <c r="G171" s="131" t="s">
        <v>3410</v>
      </c>
      <c r="H171" s="138">
        <v>85</v>
      </c>
      <c r="I171" s="139">
        <v>90</v>
      </c>
      <c r="J171" s="140">
        <v>80</v>
      </c>
      <c r="K171" s="141">
        <v>70</v>
      </c>
      <c r="L171" s="142">
        <v>80</v>
      </c>
      <c r="M171" s="143">
        <v>130</v>
      </c>
      <c r="N171" s="144">
        <v>535</v>
      </c>
      <c r="O171" s="145" t="s">
        <v>270</v>
      </c>
      <c r="P171" s="133" t="s">
        <v>99</v>
      </c>
      <c r="Q171" s="147">
        <v>75</v>
      </c>
      <c r="R171" s="131"/>
    </row>
    <row r="172" ht="24.95" customHeight="1" spans="1:18">
      <c r="A172" s="135" t="s">
        <v>3740</v>
      </c>
      <c r="B172" s="131" t="s">
        <v>3741</v>
      </c>
      <c r="C172" s="136" t="str">
        <f>VLOOKUP(A172,伤害计算器!$V$2:$Y$720,3,FALSE)</f>
        <v>チョンチー</v>
      </c>
      <c r="D172" s="136" t="str">
        <f>VLOOKUP(A172,伤害计算器!$V$2:$Y$720,4,FALSE)</f>
        <v>Chinchou</v>
      </c>
      <c r="E172" s="131" t="s">
        <v>611</v>
      </c>
      <c r="F172" s="131" t="s">
        <v>3624</v>
      </c>
      <c r="G172" s="131" t="s">
        <v>533</v>
      </c>
      <c r="H172" s="138">
        <v>75</v>
      </c>
      <c r="I172" s="139">
        <v>38</v>
      </c>
      <c r="J172" s="140">
        <v>38</v>
      </c>
      <c r="K172" s="141">
        <v>56</v>
      </c>
      <c r="L172" s="142">
        <v>56</v>
      </c>
      <c r="M172" s="143">
        <v>67</v>
      </c>
      <c r="N172" s="144">
        <v>330</v>
      </c>
      <c r="O172" s="145" t="s">
        <v>251</v>
      </c>
      <c r="P172" s="133" t="s">
        <v>268</v>
      </c>
      <c r="Q172" s="147">
        <v>12</v>
      </c>
      <c r="R172" s="131"/>
    </row>
    <row r="173" ht="24.95" customHeight="1" spans="1:18">
      <c r="A173" s="135" t="s">
        <v>3742</v>
      </c>
      <c r="B173" s="131" t="s">
        <v>3743</v>
      </c>
      <c r="C173" s="136" t="str">
        <f>VLOOKUP(A173,伤害计算器!$V$2:$Y$720,3,FALSE)</f>
        <v>ランターン</v>
      </c>
      <c r="D173" s="136" t="str">
        <f>VLOOKUP(A173,伤害计算器!$V$2:$Y$720,4,FALSE)</f>
        <v>Lanturn</v>
      </c>
      <c r="E173" s="131" t="s">
        <v>611</v>
      </c>
      <c r="F173" s="131" t="s">
        <v>3624</v>
      </c>
      <c r="G173" s="131" t="s">
        <v>533</v>
      </c>
      <c r="H173" s="138">
        <v>125</v>
      </c>
      <c r="I173" s="139">
        <v>58</v>
      </c>
      <c r="J173" s="140">
        <v>58</v>
      </c>
      <c r="K173" s="141">
        <v>76</v>
      </c>
      <c r="L173" s="142">
        <v>76</v>
      </c>
      <c r="M173" s="143">
        <v>67</v>
      </c>
      <c r="N173" s="144">
        <v>460</v>
      </c>
      <c r="O173" s="145" t="s">
        <v>251</v>
      </c>
      <c r="P173" s="133" t="s">
        <v>268</v>
      </c>
      <c r="Q173" s="147">
        <v>22.5</v>
      </c>
      <c r="R173" s="131"/>
    </row>
    <row r="174" ht="24.95" customHeight="1" spans="1:18">
      <c r="A174" s="135" t="s">
        <v>3744</v>
      </c>
      <c r="B174" s="131" t="s">
        <v>3745</v>
      </c>
      <c r="C174" s="136" t="str">
        <f>VLOOKUP(A174,伤害计算器!$V$2:$Y$720,3,FALSE)</f>
        <v>ピチュー</v>
      </c>
      <c r="D174" s="136" t="str">
        <f>VLOOKUP(A174,伤害计算器!$V$2:$Y$720,4,FALSE)</f>
        <v>Pichu</v>
      </c>
      <c r="E174" s="131" t="s">
        <v>3361</v>
      </c>
      <c r="F174" s="137"/>
      <c r="G174" s="131" t="s">
        <v>562</v>
      </c>
      <c r="H174" s="138">
        <v>20</v>
      </c>
      <c r="I174" s="139">
        <v>40</v>
      </c>
      <c r="J174" s="140">
        <v>15</v>
      </c>
      <c r="K174" s="141">
        <v>35</v>
      </c>
      <c r="L174" s="142">
        <v>35</v>
      </c>
      <c r="M174" s="143">
        <v>60</v>
      </c>
      <c r="N174" s="144">
        <v>205</v>
      </c>
      <c r="O174" s="145" t="s">
        <v>268</v>
      </c>
      <c r="Q174" s="147">
        <v>2</v>
      </c>
      <c r="R174" s="131"/>
    </row>
    <row r="175" ht="24.95" customHeight="1" spans="1:18">
      <c r="A175" s="135" t="s">
        <v>3746</v>
      </c>
      <c r="B175" s="131" t="s">
        <v>3747</v>
      </c>
      <c r="C175" s="136" t="str">
        <f>VLOOKUP(A175,伤害计算器!$V$2:$Y$720,3,FALSE)</f>
        <v>ピィ</v>
      </c>
      <c r="D175" s="136" t="str">
        <f>VLOOKUP(A175,伤害计算器!$V$2:$Y$720,4,FALSE)</f>
        <v>Cleffa</v>
      </c>
      <c r="E175" s="131" t="s">
        <v>3390</v>
      </c>
      <c r="F175" s="131" t="s">
        <v>3391</v>
      </c>
      <c r="G175" s="131" t="s">
        <v>3392</v>
      </c>
      <c r="H175" s="138">
        <v>50</v>
      </c>
      <c r="I175" s="139">
        <v>25</v>
      </c>
      <c r="J175" s="140">
        <v>28</v>
      </c>
      <c r="K175" s="141">
        <v>45</v>
      </c>
      <c r="L175" s="142">
        <v>55</v>
      </c>
      <c r="M175" s="143">
        <v>15</v>
      </c>
      <c r="N175" s="144">
        <v>218</v>
      </c>
      <c r="O175" s="145" t="s">
        <v>98</v>
      </c>
      <c r="Q175" s="147">
        <v>3</v>
      </c>
      <c r="R175" s="131"/>
    </row>
    <row r="176" ht="24.95" customHeight="1" spans="1:18">
      <c r="A176" s="135" t="s">
        <v>3748</v>
      </c>
      <c r="B176" s="131" t="s">
        <v>3749</v>
      </c>
      <c r="C176" s="136" t="str">
        <f>VLOOKUP(A176,伤害计算器!$V$2:$Y$720,3,FALSE)</f>
        <v>ププリン</v>
      </c>
      <c r="D176" s="136" t="str">
        <f>VLOOKUP(A176,伤害计算器!$V$2:$Y$720,4,FALSE)</f>
        <v>Igglybuff</v>
      </c>
      <c r="E176" s="131" t="s">
        <v>3390</v>
      </c>
      <c r="F176" s="131" t="s">
        <v>3403</v>
      </c>
      <c r="G176" s="131" t="s">
        <v>3392</v>
      </c>
      <c r="H176" s="138">
        <v>90</v>
      </c>
      <c r="I176" s="139">
        <v>30</v>
      </c>
      <c r="J176" s="140">
        <v>15</v>
      </c>
      <c r="K176" s="141">
        <v>40</v>
      </c>
      <c r="L176" s="142">
        <v>20</v>
      </c>
      <c r="M176" s="143">
        <v>15</v>
      </c>
      <c r="N176" s="144">
        <v>210</v>
      </c>
      <c r="O176" s="145" t="s">
        <v>267</v>
      </c>
      <c r="P176" s="133" t="s">
        <v>98</v>
      </c>
      <c r="Q176" s="147">
        <v>1</v>
      </c>
      <c r="R176" s="131"/>
    </row>
    <row r="177" ht="24.95" customHeight="1" spans="1:18">
      <c r="A177" s="135" t="s">
        <v>3750</v>
      </c>
      <c r="B177" s="131" t="s">
        <v>3751</v>
      </c>
      <c r="C177" s="136" t="str">
        <f>VLOOKUP(A177,伤害计算器!$V$2:$Y$720,3,FALSE)</f>
        <v>トゲピー</v>
      </c>
      <c r="D177" s="136" t="str">
        <f>VLOOKUP(A177,伤害计算器!$V$2:$Y$720,4,FALSE)</f>
        <v>Togepi</v>
      </c>
      <c r="E177" s="131" t="s">
        <v>61</v>
      </c>
      <c r="F177" s="131" t="s">
        <v>3752</v>
      </c>
      <c r="G177" s="131" t="s">
        <v>3753</v>
      </c>
      <c r="H177" s="138">
        <v>35</v>
      </c>
      <c r="I177" s="139">
        <v>20</v>
      </c>
      <c r="J177" s="140">
        <v>65</v>
      </c>
      <c r="K177" s="141">
        <v>40</v>
      </c>
      <c r="L177" s="142">
        <v>65</v>
      </c>
      <c r="M177" s="143">
        <v>20</v>
      </c>
      <c r="N177" s="144">
        <v>245</v>
      </c>
      <c r="O177" s="145" t="s">
        <v>98</v>
      </c>
      <c r="Q177" s="147">
        <v>1.5</v>
      </c>
      <c r="R177" s="131"/>
    </row>
    <row r="178" ht="24.95" customHeight="1" spans="1:18">
      <c r="A178" s="135" t="s">
        <v>3754</v>
      </c>
      <c r="B178" s="131" t="s">
        <v>3755</v>
      </c>
      <c r="C178" s="136" t="str">
        <f>VLOOKUP(A178,伤害计算器!$V$2:$Y$720,3,FALSE)</f>
        <v>トゲチック</v>
      </c>
      <c r="D178" s="136" t="str">
        <f>VLOOKUP(A178,伤害计算器!$V$2:$Y$720,4,FALSE)</f>
        <v>Togetic</v>
      </c>
      <c r="E178" s="131" t="s">
        <v>61</v>
      </c>
      <c r="F178" s="131" t="s">
        <v>3605</v>
      </c>
      <c r="G178" s="131" t="s">
        <v>3756</v>
      </c>
      <c r="H178" s="138">
        <v>55</v>
      </c>
      <c r="I178" s="139">
        <v>40</v>
      </c>
      <c r="J178" s="140">
        <v>85</v>
      </c>
      <c r="K178" s="141">
        <v>80</v>
      </c>
      <c r="L178" s="142">
        <v>105</v>
      </c>
      <c r="M178" s="143">
        <v>40</v>
      </c>
      <c r="N178" s="144">
        <v>405</v>
      </c>
      <c r="O178" s="145" t="s">
        <v>98</v>
      </c>
      <c r="P178" s="133" t="s">
        <v>99</v>
      </c>
      <c r="Q178" s="147">
        <v>3.2</v>
      </c>
      <c r="R178" s="131"/>
    </row>
    <row r="179" ht="24.95" customHeight="1" spans="1:18">
      <c r="A179" s="135" t="s">
        <v>3757</v>
      </c>
      <c r="B179" s="131" t="s">
        <v>3758</v>
      </c>
      <c r="C179" s="136" t="str">
        <f>VLOOKUP(A179,伤害计算器!$V$2:$Y$720,3,FALSE)</f>
        <v>ネイティ</v>
      </c>
      <c r="D179" s="136" t="str">
        <f>VLOOKUP(A179,伤害计算器!$V$2:$Y$720,4,FALSE)</f>
        <v>Natu</v>
      </c>
      <c r="E179" s="131" t="s">
        <v>3471</v>
      </c>
      <c r="F179" s="131" t="s">
        <v>3527</v>
      </c>
      <c r="G179" s="131" t="s">
        <v>3759</v>
      </c>
      <c r="H179" s="138">
        <v>40</v>
      </c>
      <c r="I179" s="139">
        <v>50</v>
      </c>
      <c r="J179" s="140">
        <v>45</v>
      </c>
      <c r="K179" s="141">
        <v>70</v>
      </c>
      <c r="L179" s="142">
        <v>45</v>
      </c>
      <c r="M179" s="143">
        <v>70</v>
      </c>
      <c r="N179" s="144">
        <v>320</v>
      </c>
      <c r="O179" s="145" t="s">
        <v>271</v>
      </c>
      <c r="P179" s="133" t="s">
        <v>99</v>
      </c>
      <c r="Q179" s="147">
        <v>2</v>
      </c>
      <c r="R179" s="131"/>
    </row>
    <row r="180" ht="24.95" customHeight="1" spans="1:18">
      <c r="A180" s="135" t="s">
        <v>3760</v>
      </c>
      <c r="B180" s="131" t="s">
        <v>3761</v>
      </c>
      <c r="C180" s="136" t="str">
        <f>VLOOKUP(A180,伤害计算器!$V$2:$Y$720,3,FALSE)</f>
        <v>ネイティオ</v>
      </c>
      <c r="D180" s="136" t="str">
        <f>VLOOKUP(A180,伤害计算器!$V$2:$Y$720,4,FALSE)</f>
        <v>Xatu</v>
      </c>
      <c r="E180" s="131" t="s">
        <v>3471</v>
      </c>
      <c r="F180" s="131" t="s">
        <v>3527</v>
      </c>
      <c r="G180" s="131" t="s">
        <v>3759</v>
      </c>
      <c r="H180" s="138">
        <v>65</v>
      </c>
      <c r="I180" s="139">
        <v>75</v>
      </c>
      <c r="J180" s="140">
        <v>70</v>
      </c>
      <c r="K180" s="141">
        <v>95</v>
      </c>
      <c r="L180" s="142">
        <v>70</v>
      </c>
      <c r="M180" s="143">
        <v>95</v>
      </c>
      <c r="N180" s="144">
        <v>470</v>
      </c>
      <c r="O180" s="145" t="s">
        <v>271</v>
      </c>
      <c r="P180" s="133" t="s">
        <v>99</v>
      </c>
      <c r="Q180" s="147">
        <v>15</v>
      </c>
      <c r="R180" s="131"/>
    </row>
    <row r="181" ht="24.95" customHeight="1" spans="1:18">
      <c r="A181" s="135" t="s">
        <v>3762</v>
      </c>
      <c r="B181" s="131" t="s">
        <v>3763</v>
      </c>
      <c r="C181" s="136" t="str">
        <f>VLOOKUP(A181,伤害计算器!$V$2:$Y$720,3,FALSE)</f>
        <v>メリープ</v>
      </c>
      <c r="D181" s="136" t="str">
        <f>VLOOKUP(A181,伤害计算器!$V$2:$Y$720,4,FALSE)</f>
        <v>Mareep</v>
      </c>
      <c r="E181" s="131" t="s">
        <v>3361</v>
      </c>
      <c r="F181" s="137"/>
      <c r="G181" s="131" t="s">
        <v>3764</v>
      </c>
      <c r="H181" s="138">
        <v>55</v>
      </c>
      <c r="I181" s="139">
        <v>40</v>
      </c>
      <c r="J181" s="140">
        <v>40</v>
      </c>
      <c r="K181" s="141">
        <v>65</v>
      </c>
      <c r="L181" s="142">
        <v>45</v>
      </c>
      <c r="M181" s="143">
        <v>35</v>
      </c>
      <c r="N181" s="144">
        <v>280</v>
      </c>
      <c r="O181" s="145" t="s">
        <v>268</v>
      </c>
      <c r="Q181" s="147">
        <v>7.8</v>
      </c>
      <c r="R181" s="131"/>
    </row>
    <row r="182" ht="24.95" customHeight="1" spans="1:18">
      <c r="A182" s="135" t="s">
        <v>3765</v>
      </c>
      <c r="B182" s="131" t="s">
        <v>3766</v>
      </c>
      <c r="C182" s="136" t="str">
        <f>VLOOKUP(A182,伤害计算器!$V$2:$Y$720,3,FALSE)</f>
        <v>モココ</v>
      </c>
      <c r="D182" s="136" t="str">
        <f>VLOOKUP(A182,伤害计算器!$V$2:$Y$720,4,FALSE)</f>
        <v>Flaaffy</v>
      </c>
      <c r="E182" s="131" t="s">
        <v>3361</v>
      </c>
      <c r="F182" s="137"/>
      <c r="G182" s="131" t="s">
        <v>3764</v>
      </c>
      <c r="H182" s="138">
        <v>70</v>
      </c>
      <c r="I182" s="139">
        <v>55</v>
      </c>
      <c r="J182" s="140">
        <v>55</v>
      </c>
      <c r="K182" s="141">
        <v>80</v>
      </c>
      <c r="L182" s="142">
        <v>60</v>
      </c>
      <c r="M182" s="143">
        <v>45</v>
      </c>
      <c r="N182" s="144">
        <v>365</v>
      </c>
      <c r="O182" s="145" t="s">
        <v>268</v>
      </c>
      <c r="Q182" s="147">
        <v>13.3</v>
      </c>
      <c r="R182" s="131"/>
    </row>
    <row r="183" ht="24.95" customHeight="1" spans="1:18">
      <c r="A183" s="135" t="s">
        <v>3767</v>
      </c>
      <c r="B183" s="131" t="s">
        <v>3768</v>
      </c>
      <c r="C183" s="136" t="str">
        <f>VLOOKUP(A183,伤害计算器!$V$2:$Y$720,3,FALSE)</f>
        <v>デンリュウ</v>
      </c>
      <c r="D183" s="136" t="str">
        <f>VLOOKUP(A183,伤害计算器!$V$2:$Y$720,4,FALSE)</f>
        <v>Ampharos</v>
      </c>
      <c r="E183" s="131" t="s">
        <v>3361</v>
      </c>
      <c r="F183" s="137"/>
      <c r="G183" s="131" t="s">
        <v>3764</v>
      </c>
      <c r="H183" s="138">
        <v>90</v>
      </c>
      <c r="I183" s="139">
        <v>75</v>
      </c>
      <c r="J183" s="140">
        <v>85</v>
      </c>
      <c r="K183" s="141">
        <v>115</v>
      </c>
      <c r="L183" s="142">
        <v>90</v>
      </c>
      <c r="M183" s="143">
        <v>55</v>
      </c>
      <c r="N183" s="144">
        <v>510</v>
      </c>
      <c r="O183" s="145" t="s">
        <v>268</v>
      </c>
      <c r="Q183" s="147">
        <v>61.5</v>
      </c>
      <c r="R183" s="131"/>
    </row>
    <row r="184" ht="24.95" customHeight="1" spans="1:18">
      <c r="A184" s="135" t="s">
        <v>3767</v>
      </c>
      <c r="B184" s="131" t="s">
        <v>3769</v>
      </c>
      <c r="C184" s="136" t="str">
        <f>VLOOKUP(A184,伤害计算器!$V$2:$Y$720,3,FALSE)</f>
        <v>デンリュウ</v>
      </c>
      <c r="D184" s="136" t="str">
        <f>VLOOKUP(A184,伤害计算器!$V$2:$Y$720,4,FALSE)</f>
        <v>Ampharos</v>
      </c>
      <c r="E184" s="131" t="s">
        <v>83</v>
      </c>
      <c r="F184" s="137"/>
      <c r="G184" s="131" t="s">
        <v>83</v>
      </c>
      <c r="H184" s="138">
        <v>90</v>
      </c>
      <c r="I184" s="139">
        <v>95</v>
      </c>
      <c r="J184" s="140">
        <v>105</v>
      </c>
      <c r="K184" s="141">
        <v>165</v>
      </c>
      <c r="L184" s="142">
        <v>110</v>
      </c>
      <c r="M184" s="143">
        <v>45</v>
      </c>
      <c r="N184" s="144">
        <v>610</v>
      </c>
      <c r="O184" s="145" t="s">
        <v>268</v>
      </c>
      <c r="P184" s="133" t="s">
        <v>274</v>
      </c>
      <c r="Q184" s="133">
        <v>61.5</v>
      </c>
      <c r="R184" s="131"/>
    </row>
    <row r="185" ht="24.95" customHeight="1" spans="1:18">
      <c r="A185" s="135" t="s">
        <v>3770</v>
      </c>
      <c r="B185" s="131" t="s">
        <v>3771</v>
      </c>
      <c r="C185" s="136" t="str">
        <f>VLOOKUP(A185,伤害计算器!$V$2:$Y$720,3,FALSE)</f>
        <v>キレイハナ</v>
      </c>
      <c r="D185" s="136" t="str">
        <f>VLOOKUP(A185,伤害计算器!$V$2:$Y$720,4,FALSE)</f>
        <v>Bellossom</v>
      </c>
      <c r="E185" s="131" t="s">
        <v>3296</v>
      </c>
      <c r="F185" s="137"/>
      <c r="G185" s="131" t="s">
        <v>3606</v>
      </c>
      <c r="H185" s="138">
        <v>75</v>
      </c>
      <c r="I185" s="139">
        <v>80</v>
      </c>
      <c r="J185" s="140">
        <v>95</v>
      </c>
      <c r="K185" s="141">
        <v>90</v>
      </c>
      <c r="L185" s="142">
        <v>100</v>
      </c>
      <c r="M185" s="143">
        <v>50</v>
      </c>
      <c r="N185" s="144">
        <v>490</v>
      </c>
      <c r="O185" s="145" t="s">
        <v>235</v>
      </c>
      <c r="Q185" s="147">
        <v>5.8</v>
      </c>
      <c r="R185" s="131"/>
    </row>
    <row r="186" ht="24.95" customHeight="1" spans="1:18">
      <c r="A186" s="135" t="s">
        <v>3772</v>
      </c>
      <c r="B186" s="131" t="s">
        <v>3773</v>
      </c>
      <c r="C186" s="136" t="str">
        <f>VLOOKUP(A186,伤害计算器!$V$2:$Y$720,3,FALSE)</f>
        <v>マリル</v>
      </c>
      <c r="D186" s="136" t="str">
        <f>VLOOKUP(A186,伤害计算器!$V$2:$Y$720,4,FALSE)</f>
        <v>Marill</v>
      </c>
      <c r="E186" s="131" t="s">
        <v>70</v>
      </c>
      <c r="F186" s="131" t="s">
        <v>49</v>
      </c>
      <c r="G186" s="131" t="s">
        <v>552</v>
      </c>
      <c r="H186" s="138">
        <v>70</v>
      </c>
      <c r="I186" s="139">
        <v>20</v>
      </c>
      <c r="J186" s="140">
        <v>50</v>
      </c>
      <c r="K186" s="141">
        <v>20</v>
      </c>
      <c r="L186" s="142">
        <v>50</v>
      </c>
      <c r="M186" s="143">
        <v>40</v>
      </c>
      <c r="N186" s="144">
        <v>250</v>
      </c>
      <c r="O186" s="145" t="s">
        <v>251</v>
      </c>
      <c r="P186" s="133" t="s">
        <v>98</v>
      </c>
      <c r="Q186" s="147">
        <v>8.5</v>
      </c>
      <c r="R186" s="131"/>
    </row>
    <row r="187" ht="24.95" customHeight="1" spans="1:18">
      <c r="A187" s="135" t="s">
        <v>3774</v>
      </c>
      <c r="B187" s="131" t="s">
        <v>3775</v>
      </c>
      <c r="C187" s="136" t="str">
        <f>VLOOKUP(A187,伤害计算器!$V$2:$Y$720,3,FALSE)</f>
        <v>マリルリ</v>
      </c>
      <c r="D187" s="136" t="str">
        <f>VLOOKUP(A187,伤害计算器!$V$2:$Y$720,4,FALSE)</f>
        <v>Azumarill</v>
      </c>
      <c r="E187" s="131" t="s">
        <v>70</v>
      </c>
      <c r="F187" s="131" t="s">
        <v>49</v>
      </c>
      <c r="G187" s="131" t="s">
        <v>552</v>
      </c>
      <c r="H187" s="138">
        <v>100</v>
      </c>
      <c r="I187" s="139">
        <v>50</v>
      </c>
      <c r="J187" s="140">
        <v>80</v>
      </c>
      <c r="K187" s="141">
        <v>60</v>
      </c>
      <c r="L187" s="142">
        <v>80</v>
      </c>
      <c r="M187" s="143">
        <v>50</v>
      </c>
      <c r="N187" s="144">
        <v>420</v>
      </c>
      <c r="O187" s="145" t="s">
        <v>251</v>
      </c>
      <c r="P187" s="133" t="s">
        <v>98</v>
      </c>
      <c r="Q187" s="147">
        <v>28.5</v>
      </c>
      <c r="R187" s="131"/>
    </row>
    <row r="188" ht="24.95" customHeight="1" spans="1:18">
      <c r="A188" s="135" t="s">
        <v>3776</v>
      </c>
      <c r="B188" s="131" t="s">
        <v>3777</v>
      </c>
      <c r="C188" s="136" t="str">
        <f>VLOOKUP(A188,伤害计算器!$V$2:$Y$720,3,FALSE)</f>
        <v>ウソッキー</v>
      </c>
      <c r="D188" s="136" t="str">
        <f>VLOOKUP(A188,伤害计算器!$V$2:$Y$720,4,FALSE)</f>
        <v>Sudowoodo</v>
      </c>
      <c r="E188" s="131" t="s">
        <v>3500</v>
      </c>
      <c r="F188" s="131" t="s">
        <v>3499</v>
      </c>
      <c r="G188" s="131" t="s">
        <v>3645</v>
      </c>
      <c r="H188" s="138">
        <v>70</v>
      </c>
      <c r="I188" s="139">
        <v>100</v>
      </c>
      <c r="J188" s="140">
        <v>115</v>
      </c>
      <c r="K188" s="141">
        <v>30</v>
      </c>
      <c r="L188" s="142">
        <v>65</v>
      </c>
      <c r="M188" s="143">
        <v>30</v>
      </c>
      <c r="N188" s="144">
        <v>410</v>
      </c>
      <c r="O188" s="145" t="s">
        <v>252</v>
      </c>
      <c r="Q188" s="147">
        <v>38</v>
      </c>
      <c r="R188" s="131"/>
    </row>
    <row r="189" ht="24.95" customHeight="1" spans="1:18">
      <c r="A189" s="135" t="s">
        <v>3778</v>
      </c>
      <c r="B189" s="131" t="s">
        <v>3779</v>
      </c>
      <c r="C189" s="136" t="str">
        <f>VLOOKUP(A189,伤害计算器!$V$2:$Y$720,3,FALSE)</f>
        <v>ニョロトノ</v>
      </c>
      <c r="D189" s="136" t="str">
        <f>VLOOKUP(A189,伤害计算器!$V$2:$Y$720,4,FALSE)</f>
        <v>Politoed</v>
      </c>
      <c r="E189" s="131" t="s">
        <v>533</v>
      </c>
      <c r="F189" s="131" t="s">
        <v>3780</v>
      </c>
      <c r="G189" s="131" t="s">
        <v>3781</v>
      </c>
      <c r="H189" s="138">
        <v>90</v>
      </c>
      <c r="I189" s="139">
        <v>75</v>
      </c>
      <c r="J189" s="140">
        <v>75</v>
      </c>
      <c r="K189" s="141">
        <v>90</v>
      </c>
      <c r="L189" s="142">
        <v>100</v>
      </c>
      <c r="M189" s="143">
        <v>70</v>
      </c>
      <c r="N189" s="144">
        <v>500</v>
      </c>
      <c r="O189" s="145" t="s">
        <v>251</v>
      </c>
      <c r="Q189" s="147">
        <v>33.9</v>
      </c>
      <c r="R189" s="131"/>
    </row>
    <row r="190" ht="24.95" customHeight="1" spans="1:18">
      <c r="A190" s="135" t="s">
        <v>3782</v>
      </c>
      <c r="B190" s="131" t="s">
        <v>3783</v>
      </c>
      <c r="C190" s="136" t="str">
        <f>VLOOKUP(A190,伤害计算器!$V$2:$Y$720,3,FALSE)</f>
        <v>ハネッコ</v>
      </c>
      <c r="D190" s="136" t="str">
        <f>VLOOKUP(A190,伤害计算器!$V$2:$Y$720,4,FALSE)</f>
        <v>Hoppip</v>
      </c>
      <c r="E190" s="131" t="s">
        <v>3296</v>
      </c>
      <c r="F190" s="131" t="s">
        <v>3609</v>
      </c>
      <c r="G190" s="131" t="s">
        <v>3410</v>
      </c>
      <c r="H190" s="138">
        <v>35</v>
      </c>
      <c r="I190" s="139">
        <v>35</v>
      </c>
      <c r="J190" s="140">
        <v>40</v>
      </c>
      <c r="K190" s="141">
        <v>35</v>
      </c>
      <c r="L190" s="142">
        <v>55</v>
      </c>
      <c r="M190" s="143">
        <v>50</v>
      </c>
      <c r="N190" s="144">
        <v>250</v>
      </c>
      <c r="O190" s="145" t="s">
        <v>235</v>
      </c>
      <c r="P190" s="133" t="s">
        <v>99</v>
      </c>
      <c r="Q190" s="147">
        <v>0.5</v>
      </c>
      <c r="R190" s="131"/>
    </row>
    <row r="191" ht="24.95" customHeight="1" spans="1:18">
      <c r="A191" s="135" t="s">
        <v>3784</v>
      </c>
      <c r="B191" s="131" t="s">
        <v>3785</v>
      </c>
      <c r="C191" s="136" t="str">
        <f>VLOOKUP(A191,伤害计算器!$V$2:$Y$720,3,FALSE)</f>
        <v>ポポッコ</v>
      </c>
      <c r="D191" s="136" t="str">
        <f>VLOOKUP(A191,伤害计算器!$V$2:$Y$720,4,FALSE)</f>
        <v>Skiploom</v>
      </c>
      <c r="E191" s="131" t="s">
        <v>3296</v>
      </c>
      <c r="F191" s="131" t="s">
        <v>3609</v>
      </c>
      <c r="G191" s="131" t="s">
        <v>3410</v>
      </c>
      <c r="H191" s="138">
        <v>55</v>
      </c>
      <c r="I191" s="139">
        <v>45</v>
      </c>
      <c r="J191" s="140">
        <v>50</v>
      </c>
      <c r="K191" s="141">
        <v>45</v>
      </c>
      <c r="L191" s="142">
        <v>65</v>
      </c>
      <c r="M191" s="143">
        <v>80</v>
      </c>
      <c r="N191" s="144">
        <v>340</v>
      </c>
      <c r="O191" s="145" t="s">
        <v>235</v>
      </c>
      <c r="P191" s="133" t="s">
        <v>99</v>
      </c>
      <c r="Q191" s="147">
        <v>1</v>
      </c>
      <c r="R191" s="131"/>
    </row>
    <row r="192" ht="24.95" customHeight="1" spans="1:18">
      <c r="A192" s="135" t="s">
        <v>3786</v>
      </c>
      <c r="B192" s="131" t="s">
        <v>3787</v>
      </c>
      <c r="C192" s="136" t="str">
        <f>VLOOKUP(A192,伤害计算器!$V$2:$Y$720,3,FALSE)</f>
        <v>ワタッコ</v>
      </c>
      <c r="D192" s="136" t="str">
        <f>VLOOKUP(A192,伤害计算器!$V$2:$Y$720,4,FALSE)</f>
        <v>Jumpluff</v>
      </c>
      <c r="E192" s="131" t="s">
        <v>3296</v>
      </c>
      <c r="F192" s="131" t="s">
        <v>3609</v>
      </c>
      <c r="G192" s="131" t="s">
        <v>3410</v>
      </c>
      <c r="H192" s="138">
        <v>75</v>
      </c>
      <c r="I192" s="139">
        <v>55</v>
      </c>
      <c r="J192" s="140">
        <v>70</v>
      </c>
      <c r="K192" s="141">
        <v>55</v>
      </c>
      <c r="L192" s="142">
        <v>95</v>
      </c>
      <c r="M192" s="143">
        <v>110</v>
      </c>
      <c r="N192" s="144">
        <v>460</v>
      </c>
      <c r="O192" s="145" t="s">
        <v>235</v>
      </c>
      <c r="P192" s="133" t="s">
        <v>99</v>
      </c>
      <c r="Q192" s="147">
        <v>3</v>
      </c>
      <c r="R192" s="131"/>
    </row>
    <row r="193" ht="24.95" customHeight="1" spans="1:18">
      <c r="A193" s="135" t="s">
        <v>3788</v>
      </c>
      <c r="B193" s="131" t="s">
        <v>3789</v>
      </c>
      <c r="C193" s="136" t="str">
        <f>VLOOKUP(A193,伤害计算器!$V$2:$Y$720,3,FALSE)</f>
        <v>エイパム</v>
      </c>
      <c r="D193" s="136" t="str">
        <f>VLOOKUP(A193,伤害计算器!$V$2:$Y$720,4,FALSE)</f>
        <v>Aipom</v>
      </c>
      <c r="E193" s="131" t="s">
        <v>3319</v>
      </c>
      <c r="F193" s="131" t="s">
        <v>3790</v>
      </c>
      <c r="G193" s="131" t="s">
        <v>3791</v>
      </c>
      <c r="H193" s="138">
        <v>55</v>
      </c>
      <c r="I193" s="139">
        <v>70</v>
      </c>
      <c r="J193" s="140">
        <v>55</v>
      </c>
      <c r="K193" s="141">
        <v>40</v>
      </c>
      <c r="L193" s="142">
        <v>55</v>
      </c>
      <c r="M193" s="143">
        <v>85</v>
      </c>
      <c r="N193" s="144">
        <v>360</v>
      </c>
      <c r="O193" s="145" t="s">
        <v>267</v>
      </c>
      <c r="Q193" s="147">
        <v>11.5</v>
      </c>
      <c r="R193" s="131"/>
    </row>
    <row r="194" ht="24.95" customHeight="1" spans="1:18">
      <c r="A194" s="135" t="s">
        <v>3792</v>
      </c>
      <c r="B194" s="131" t="s">
        <v>3793</v>
      </c>
      <c r="C194" s="136" t="str">
        <f>VLOOKUP(A194,伤害计算器!$V$2:$Y$720,3,FALSE)</f>
        <v>ヒマナッツ</v>
      </c>
      <c r="D194" s="136" t="str">
        <f>VLOOKUP(A194,伤害计算器!$V$2:$Y$720,4,FALSE)</f>
        <v>Sunkern</v>
      </c>
      <c r="E194" s="131" t="s">
        <v>3296</v>
      </c>
      <c r="F194" s="131" t="s">
        <v>3794</v>
      </c>
      <c r="G194" s="131" t="s">
        <v>3795</v>
      </c>
      <c r="H194" s="138">
        <v>30</v>
      </c>
      <c r="I194" s="139">
        <v>30</v>
      </c>
      <c r="J194" s="140">
        <v>30</v>
      </c>
      <c r="K194" s="141">
        <v>30</v>
      </c>
      <c r="L194" s="142">
        <v>30</v>
      </c>
      <c r="M194" s="143">
        <v>30</v>
      </c>
      <c r="N194" s="144">
        <v>180</v>
      </c>
      <c r="O194" s="145" t="s">
        <v>235</v>
      </c>
      <c r="Q194" s="147">
        <v>1.8</v>
      </c>
      <c r="R194" s="131"/>
    </row>
    <row r="195" ht="24.95" customHeight="1" spans="1:18">
      <c r="A195" s="135" t="s">
        <v>3796</v>
      </c>
      <c r="B195" s="131" t="s">
        <v>3797</v>
      </c>
      <c r="C195" s="136" t="str">
        <f>VLOOKUP(A195,伤害计算器!$V$2:$Y$720,3,FALSE)</f>
        <v>キマワリ</v>
      </c>
      <c r="D195" s="136" t="str">
        <f>VLOOKUP(A195,伤害计算器!$V$2:$Y$720,4,FALSE)</f>
        <v>Sunflora</v>
      </c>
      <c r="E195" s="131" t="s">
        <v>3296</v>
      </c>
      <c r="F195" s="131" t="s">
        <v>60</v>
      </c>
      <c r="G195" s="131" t="s">
        <v>3527</v>
      </c>
      <c r="H195" s="138">
        <v>75</v>
      </c>
      <c r="I195" s="139">
        <v>75</v>
      </c>
      <c r="J195" s="140">
        <v>55</v>
      </c>
      <c r="K195" s="141">
        <v>105</v>
      </c>
      <c r="L195" s="142">
        <v>85</v>
      </c>
      <c r="M195" s="143">
        <v>30</v>
      </c>
      <c r="N195" s="144">
        <v>425</v>
      </c>
      <c r="O195" s="145" t="s">
        <v>235</v>
      </c>
      <c r="Q195" s="147">
        <v>8.5</v>
      </c>
      <c r="R195" s="131"/>
    </row>
    <row r="196" ht="24.95" customHeight="1" spans="1:18">
      <c r="A196" s="135" t="s">
        <v>3798</v>
      </c>
      <c r="B196" s="131" t="s">
        <v>3799</v>
      </c>
      <c r="C196" s="136" t="str">
        <f>VLOOKUP(A196,伤害计算器!$V$2:$Y$720,3,FALSE)</f>
        <v>ヤンヤンマ</v>
      </c>
      <c r="D196" s="136" t="str">
        <f>VLOOKUP(A196,伤害计算器!$V$2:$Y$720,4,FALSE)</f>
        <v>Yanma</v>
      </c>
      <c r="E196" s="131" t="s">
        <v>3800</v>
      </c>
      <c r="F196" s="131" t="s">
        <v>67</v>
      </c>
      <c r="G196" s="131" t="s">
        <v>3406</v>
      </c>
      <c r="H196" s="138">
        <v>65</v>
      </c>
      <c r="I196" s="139">
        <v>65</v>
      </c>
      <c r="J196" s="140">
        <v>45</v>
      </c>
      <c r="K196" s="141">
        <v>75</v>
      </c>
      <c r="L196" s="142">
        <v>45</v>
      </c>
      <c r="M196" s="143">
        <v>95</v>
      </c>
      <c r="N196" s="144">
        <v>390</v>
      </c>
      <c r="O196" s="145" t="s">
        <v>272</v>
      </c>
      <c r="P196" s="133" t="s">
        <v>99</v>
      </c>
      <c r="Q196" s="147">
        <v>38</v>
      </c>
      <c r="R196" s="131"/>
    </row>
    <row r="197" ht="24.95" customHeight="1" spans="1:18">
      <c r="A197" s="135" t="s">
        <v>3801</v>
      </c>
      <c r="B197" s="131" t="s">
        <v>3802</v>
      </c>
      <c r="C197" s="136" t="str">
        <f>VLOOKUP(A197,伤害计算器!$V$2:$Y$720,3,FALSE)</f>
        <v>ウパー</v>
      </c>
      <c r="D197" s="136" t="str">
        <f>VLOOKUP(A197,伤害计算器!$V$2:$Y$720,4,FALSE)</f>
        <v>Wooper</v>
      </c>
      <c r="E197" s="131" t="s">
        <v>3424</v>
      </c>
      <c r="F197" s="131" t="s">
        <v>533</v>
      </c>
      <c r="G197" s="131" t="s">
        <v>3395</v>
      </c>
      <c r="H197" s="138">
        <v>55</v>
      </c>
      <c r="I197" s="139">
        <v>45</v>
      </c>
      <c r="J197" s="140">
        <v>45</v>
      </c>
      <c r="K197" s="141">
        <v>25</v>
      </c>
      <c r="L197" s="142">
        <v>25</v>
      </c>
      <c r="M197" s="143">
        <v>15</v>
      </c>
      <c r="N197" s="144">
        <v>210</v>
      </c>
      <c r="O197" s="145" t="s">
        <v>251</v>
      </c>
      <c r="P197" s="133" t="s">
        <v>237</v>
      </c>
      <c r="Q197" s="147">
        <v>8.5</v>
      </c>
      <c r="R197" s="131"/>
    </row>
    <row r="198" ht="24.95" customHeight="1" spans="1:18">
      <c r="A198" s="135" t="s">
        <v>3803</v>
      </c>
      <c r="B198" s="131" t="s">
        <v>3804</v>
      </c>
      <c r="C198" s="136" t="str">
        <f>VLOOKUP(A198,伤害计算器!$V$2:$Y$720,3,FALSE)</f>
        <v>ヌオー</v>
      </c>
      <c r="D198" s="136" t="str">
        <f>VLOOKUP(A198,伤害计算器!$V$2:$Y$720,4,FALSE)</f>
        <v>Quagsire</v>
      </c>
      <c r="E198" s="131" t="s">
        <v>3424</v>
      </c>
      <c r="F198" s="131" t="s">
        <v>533</v>
      </c>
      <c r="G198" s="131" t="s">
        <v>3395</v>
      </c>
      <c r="H198" s="138">
        <v>95</v>
      </c>
      <c r="I198" s="139">
        <v>85</v>
      </c>
      <c r="J198" s="140">
        <v>85</v>
      </c>
      <c r="K198" s="141">
        <v>65</v>
      </c>
      <c r="L198" s="142">
        <v>65</v>
      </c>
      <c r="M198" s="143">
        <v>35</v>
      </c>
      <c r="N198" s="144">
        <v>430</v>
      </c>
      <c r="O198" s="145" t="s">
        <v>251</v>
      </c>
      <c r="P198" s="133" t="s">
        <v>237</v>
      </c>
      <c r="Q198" s="147">
        <v>75</v>
      </c>
      <c r="R198" s="131"/>
    </row>
    <row r="199" ht="24.95" customHeight="1" spans="1:18">
      <c r="A199" s="135" t="s">
        <v>3805</v>
      </c>
      <c r="B199" s="131" t="s">
        <v>3806</v>
      </c>
      <c r="C199" s="136" t="str">
        <f>VLOOKUP(A199,伤害计算器!$V$2:$Y$720,3,FALSE)</f>
        <v>エーフィ</v>
      </c>
      <c r="D199" s="136" t="str">
        <f>VLOOKUP(A199,伤害计算器!$V$2:$Y$720,4,FALSE)</f>
        <v>Espeon</v>
      </c>
      <c r="E199" s="131" t="s">
        <v>3471</v>
      </c>
      <c r="F199" s="137"/>
      <c r="G199" s="131" t="s">
        <v>3807</v>
      </c>
      <c r="H199" s="138">
        <v>65</v>
      </c>
      <c r="I199" s="139">
        <v>65</v>
      </c>
      <c r="J199" s="140">
        <v>60</v>
      </c>
      <c r="K199" s="141">
        <v>130</v>
      </c>
      <c r="L199" s="142">
        <v>95</v>
      </c>
      <c r="M199" s="143">
        <v>110</v>
      </c>
      <c r="N199" s="144">
        <v>525</v>
      </c>
      <c r="O199" s="145" t="s">
        <v>271</v>
      </c>
      <c r="Q199" s="147">
        <v>26.5</v>
      </c>
      <c r="R199" s="131"/>
    </row>
    <row r="200" ht="24.95" customHeight="1" spans="1:18">
      <c r="A200" s="135" t="s">
        <v>3808</v>
      </c>
      <c r="B200" s="131" t="s">
        <v>3809</v>
      </c>
      <c r="C200" s="136" t="str">
        <f>VLOOKUP(A200,伤害计算器!$V$2:$Y$720,3,FALSE)</f>
        <v>ブラッキー</v>
      </c>
      <c r="D200" s="136" t="str">
        <f>VLOOKUP(A200,伤害计算器!$V$2:$Y$720,4,FALSE)</f>
        <v>Umbreon</v>
      </c>
      <c r="E200" s="131" t="s">
        <v>3471</v>
      </c>
      <c r="F200" s="137"/>
      <c r="G200" s="131" t="s">
        <v>3409</v>
      </c>
      <c r="H200" s="138">
        <v>95</v>
      </c>
      <c r="I200" s="139">
        <v>65</v>
      </c>
      <c r="J200" s="140">
        <v>110</v>
      </c>
      <c r="K200" s="141">
        <v>60</v>
      </c>
      <c r="L200" s="142">
        <v>130</v>
      </c>
      <c r="M200" s="143">
        <v>65</v>
      </c>
      <c r="N200" s="144">
        <v>525</v>
      </c>
      <c r="O200" s="145" t="s">
        <v>275</v>
      </c>
      <c r="Q200" s="147">
        <v>27</v>
      </c>
      <c r="R200" s="131"/>
    </row>
    <row r="201" ht="24.95" customHeight="1" spans="1:18">
      <c r="A201" s="135" t="s">
        <v>3810</v>
      </c>
      <c r="B201" s="131" t="s">
        <v>3811</v>
      </c>
      <c r="C201" s="136" t="str">
        <f>VLOOKUP(A201,伤害计算器!$V$2:$Y$720,3,FALSE)</f>
        <v>ヤミカラス</v>
      </c>
      <c r="D201" s="136" t="str">
        <f>VLOOKUP(A201,伤害计算器!$V$2:$Y$720,4,FALSE)</f>
        <v>Murkrow</v>
      </c>
      <c r="E201" s="131" t="s">
        <v>3561</v>
      </c>
      <c r="F201" s="131" t="s">
        <v>3756</v>
      </c>
      <c r="G201" s="131" t="s">
        <v>3812</v>
      </c>
      <c r="H201" s="138">
        <v>60</v>
      </c>
      <c r="I201" s="139">
        <v>85</v>
      </c>
      <c r="J201" s="140">
        <v>42</v>
      </c>
      <c r="K201" s="141">
        <v>85</v>
      </c>
      <c r="L201" s="142">
        <v>42</v>
      </c>
      <c r="M201" s="143">
        <v>91</v>
      </c>
      <c r="N201" s="144">
        <v>405</v>
      </c>
      <c r="O201" s="145" t="s">
        <v>275</v>
      </c>
      <c r="P201" s="133" t="s">
        <v>99</v>
      </c>
      <c r="Q201" s="147">
        <v>2.1</v>
      </c>
      <c r="R201" s="131"/>
    </row>
    <row r="202" ht="24.95" customHeight="1" spans="1:18">
      <c r="A202" s="135" t="s">
        <v>3813</v>
      </c>
      <c r="B202" s="131" t="s">
        <v>3814</v>
      </c>
      <c r="C202" s="136" t="str">
        <f>VLOOKUP(A202,伤害计算器!$V$2:$Y$720,3,FALSE)</f>
        <v>ヤドキング</v>
      </c>
      <c r="D202" s="136" t="str">
        <f>VLOOKUP(A202,伤害计算器!$V$2:$Y$720,4,FALSE)</f>
        <v>Slowking</v>
      </c>
      <c r="E202" s="131" t="s">
        <v>3513</v>
      </c>
      <c r="F202" s="131" t="s">
        <v>3514</v>
      </c>
      <c r="G202" s="131" t="s">
        <v>3515</v>
      </c>
      <c r="H202" s="138">
        <v>95</v>
      </c>
      <c r="I202" s="139">
        <v>75</v>
      </c>
      <c r="J202" s="140">
        <v>80</v>
      </c>
      <c r="K202" s="141">
        <v>100</v>
      </c>
      <c r="L202" s="142">
        <v>110</v>
      </c>
      <c r="M202" s="143">
        <v>30</v>
      </c>
      <c r="N202" s="144">
        <v>490</v>
      </c>
      <c r="O202" s="145" t="s">
        <v>251</v>
      </c>
      <c r="P202" s="133" t="s">
        <v>271</v>
      </c>
      <c r="Q202" s="147">
        <v>79.5</v>
      </c>
      <c r="R202" s="131"/>
    </row>
    <row r="203" ht="24.95" customHeight="1" spans="1:18">
      <c r="A203" s="135" t="s">
        <v>3815</v>
      </c>
      <c r="B203" s="131" t="s">
        <v>3816</v>
      </c>
      <c r="C203" s="136" t="str">
        <f>VLOOKUP(A203,伤害计算器!$V$2:$Y$720,3,FALSE)</f>
        <v>ムウマ</v>
      </c>
      <c r="D203" s="136" t="str">
        <f>VLOOKUP(A203,伤害计算器!$V$2:$Y$720,4,FALSE)</f>
        <v>Misdreavus</v>
      </c>
      <c r="E203" s="131" t="s">
        <v>582</v>
      </c>
      <c r="F203" s="137"/>
      <c r="G203" s="137"/>
      <c r="H203" s="138">
        <v>60</v>
      </c>
      <c r="I203" s="139">
        <v>60</v>
      </c>
      <c r="J203" s="140">
        <v>60</v>
      </c>
      <c r="K203" s="141">
        <v>85</v>
      </c>
      <c r="L203" s="142">
        <v>85</v>
      </c>
      <c r="M203" s="143">
        <v>85</v>
      </c>
      <c r="N203" s="144">
        <v>435</v>
      </c>
      <c r="O203" s="145" t="s">
        <v>273</v>
      </c>
      <c r="Q203" s="147">
        <v>1</v>
      </c>
      <c r="R203" s="131"/>
    </row>
    <row r="204" ht="24.95" customHeight="1" spans="1:18">
      <c r="A204" s="135" t="s">
        <v>3817</v>
      </c>
      <c r="B204" s="131" t="s">
        <v>3818</v>
      </c>
      <c r="C204" s="136" t="str">
        <f>VLOOKUP(A204,伤害计算器!$V$2:$Y$720,3,FALSE)</f>
        <v>アンノーン</v>
      </c>
      <c r="D204" s="136" t="str">
        <f>VLOOKUP(A204,伤害计算器!$V$2:$Y$720,4,FALSE)</f>
        <v>Unown</v>
      </c>
      <c r="E204" s="131" t="s">
        <v>582</v>
      </c>
      <c r="F204" s="137"/>
      <c r="G204" s="137"/>
      <c r="H204" s="138">
        <v>48</v>
      </c>
      <c r="I204" s="139">
        <v>72</v>
      </c>
      <c r="J204" s="140">
        <v>48</v>
      </c>
      <c r="K204" s="141">
        <v>72</v>
      </c>
      <c r="L204" s="142">
        <v>48</v>
      </c>
      <c r="M204" s="143">
        <v>48</v>
      </c>
      <c r="N204" s="144">
        <v>336</v>
      </c>
      <c r="O204" s="145" t="s">
        <v>271</v>
      </c>
      <c r="Q204" s="147">
        <v>5</v>
      </c>
      <c r="R204" s="131"/>
    </row>
    <row r="205" ht="24.95" customHeight="1" spans="1:18">
      <c r="A205" s="135" t="s">
        <v>3819</v>
      </c>
      <c r="B205" s="131" t="s">
        <v>3820</v>
      </c>
      <c r="C205" s="136" t="str">
        <f>VLOOKUP(A205,伤害计算器!$V$2:$Y$720,3,FALSE)</f>
        <v>ソーナンス</v>
      </c>
      <c r="D205" s="136" t="str">
        <f>VLOOKUP(A205,伤害计算器!$V$2:$Y$720,4,FALSE)</f>
        <v>Wobbuffet</v>
      </c>
      <c r="E205" s="131" t="s">
        <v>3821</v>
      </c>
      <c r="F205" s="137"/>
      <c r="G205" s="131" t="s">
        <v>3822</v>
      </c>
      <c r="H205" s="138">
        <v>190</v>
      </c>
      <c r="I205" s="139">
        <v>33</v>
      </c>
      <c r="J205" s="140">
        <v>58</v>
      </c>
      <c r="K205" s="141">
        <v>33</v>
      </c>
      <c r="L205" s="142">
        <v>58</v>
      </c>
      <c r="M205" s="143">
        <v>33</v>
      </c>
      <c r="N205" s="144">
        <v>405</v>
      </c>
      <c r="O205" s="145" t="s">
        <v>271</v>
      </c>
      <c r="Q205" s="147">
        <v>28.5</v>
      </c>
      <c r="R205" s="131"/>
    </row>
    <row r="206" ht="24.95" customHeight="1" spans="1:18">
      <c r="A206" s="135" t="s">
        <v>3823</v>
      </c>
      <c r="B206" s="131" t="s">
        <v>3824</v>
      </c>
      <c r="C206" s="136" t="str">
        <f>VLOOKUP(A206,伤害计算器!$V$2:$Y$720,3,FALSE)</f>
        <v>キリンリキ</v>
      </c>
      <c r="D206" s="136" t="str">
        <f>VLOOKUP(A206,伤害计算器!$V$2:$Y$720,4,FALSE)</f>
        <v>Girafarig</v>
      </c>
      <c r="E206" s="131" t="s">
        <v>3409</v>
      </c>
      <c r="F206" s="131" t="s">
        <v>3527</v>
      </c>
      <c r="G206" s="131" t="s">
        <v>552</v>
      </c>
      <c r="H206" s="138">
        <v>70</v>
      </c>
      <c r="I206" s="139">
        <v>80</v>
      </c>
      <c r="J206" s="140">
        <v>65</v>
      </c>
      <c r="K206" s="141">
        <v>90</v>
      </c>
      <c r="L206" s="142">
        <v>65</v>
      </c>
      <c r="M206" s="143">
        <v>85</v>
      </c>
      <c r="N206" s="144">
        <v>455</v>
      </c>
      <c r="O206" s="145" t="s">
        <v>267</v>
      </c>
      <c r="P206" s="133" t="s">
        <v>271</v>
      </c>
      <c r="Q206" s="147">
        <v>41.5</v>
      </c>
      <c r="R206" s="131"/>
    </row>
    <row r="207" ht="24.95" customHeight="1" spans="1:18">
      <c r="A207" s="135" t="s">
        <v>3825</v>
      </c>
      <c r="B207" s="131" t="s">
        <v>3826</v>
      </c>
      <c r="C207" s="136" t="str">
        <f>VLOOKUP(A207,伤害计算器!$V$2:$Y$720,3,FALSE)</f>
        <v>クヌギダマ</v>
      </c>
      <c r="D207" s="136" t="str">
        <f>VLOOKUP(A207,伤害计算器!$V$2:$Y$720,4,FALSE)</f>
        <v>Pineco</v>
      </c>
      <c r="E207" s="131" t="s">
        <v>3500</v>
      </c>
      <c r="F207" s="137"/>
      <c r="G207" s="131" t="s">
        <v>3827</v>
      </c>
      <c r="H207" s="138">
        <v>50</v>
      </c>
      <c r="I207" s="139">
        <v>65</v>
      </c>
      <c r="J207" s="140">
        <v>90</v>
      </c>
      <c r="K207" s="141">
        <v>35</v>
      </c>
      <c r="L207" s="142">
        <v>35</v>
      </c>
      <c r="M207" s="143">
        <v>15</v>
      </c>
      <c r="N207" s="144">
        <v>290</v>
      </c>
      <c r="O207" s="145" t="s">
        <v>272</v>
      </c>
      <c r="Q207" s="147">
        <v>7.2</v>
      </c>
      <c r="R207" s="131"/>
    </row>
    <row r="208" ht="24.95" customHeight="1" spans="1:18">
      <c r="A208" s="135" t="s">
        <v>3828</v>
      </c>
      <c r="B208" s="131" t="s">
        <v>3829</v>
      </c>
      <c r="C208" s="136" t="str">
        <f>VLOOKUP(A208,伤害计算器!$V$2:$Y$720,3,FALSE)</f>
        <v>フォレトス</v>
      </c>
      <c r="D208" s="136" t="str">
        <f>VLOOKUP(A208,伤害计算器!$V$2:$Y$720,4,FALSE)</f>
        <v>Forretress</v>
      </c>
      <c r="E208" s="131" t="s">
        <v>3500</v>
      </c>
      <c r="F208" s="137"/>
      <c r="G208" s="131" t="s">
        <v>3546</v>
      </c>
      <c r="H208" s="138">
        <v>75</v>
      </c>
      <c r="I208" s="139">
        <v>90</v>
      </c>
      <c r="J208" s="140">
        <v>140</v>
      </c>
      <c r="K208" s="141">
        <v>60</v>
      </c>
      <c r="L208" s="142">
        <v>60</v>
      </c>
      <c r="M208" s="143">
        <v>40</v>
      </c>
      <c r="N208" s="144">
        <v>465</v>
      </c>
      <c r="O208" s="145" t="s">
        <v>272</v>
      </c>
      <c r="P208" s="133" t="s">
        <v>276</v>
      </c>
      <c r="Q208" s="147">
        <v>125.8</v>
      </c>
      <c r="R208" s="131"/>
    </row>
    <row r="209" ht="24.95" customHeight="1" spans="1:18">
      <c r="A209" s="135" t="s">
        <v>3830</v>
      </c>
      <c r="B209" s="131" t="s">
        <v>3831</v>
      </c>
      <c r="C209" s="136" t="str">
        <f>VLOOKUP(A209,伤害计算器!$V$2:$Y$720,3,FALSE)</f>
        <v>ノコッチ</v>
      </c>
      <c r="D209" s="136" t="str">
        <f>VLOOKUP(A209,伤害计算器!$V$2:$Y$720,4,FALSE)</f>
        <v>Dunsparce</v>
      </c>
      <c r="E209" s="131" t="s">
        <v>3605</v>
      </c>
      <c r="F209" s="131" t="s">
        <v>3832</v>
      </c>
      <c r="G209" s="131" t="s">
        <v>3833</v>
      </c>
      <c r="H209" s="138">
        <v>100</v>
      </c>
      <c r="I209" s="139">
        <v>70</v>
      </c>
      <c r="J209" s="140">
        <v>70</v>
      </c>
      <c r="K209" s="141">
        <v>65</v>
      </c>
      <c r="L209" s="142">
        <v>65</v>
      </c>
      <c r="M209" s="143">
        <v>45</v>
      </c>
      <c r="N209" s="144">
        <v>415</v>
      </c>
      <c r="O209" s="145" t="s">
        <v>267</v>
      </c>
      <c r="Q209" s="147">
        <v>14</v>
      </c>
      <c r="R209" s="131"/>
    </row>
    <row r="210" ht="24.95" customHeight="1" spans="1:18">
      <c r="A210" s="135" t="s">
        <v>3834</v>
      </c>
      <c r="B210" s="131" t="s">
        <v>3835</v>
      </c>
      <c r="C210" s="136" t="str">
        <f>VLOOKUP(A210,伤害计算器!$V$2:$Y$720,3,FALSE)</f>
        <v>グライガー</v>
      </c>
      <c r="D210" s="136" t="str">
        <f>VLOOKUP(A210,伤害计算器!$V$2:$Y$720,4,FALSE)</f>
        <v>Gligar</v>
      </c>
      <c r="E210" s="131" t="s">
        <v>3569</v>
      </c>
      <c r="F210" s="131" t="s">
        <v>80</v>
      </c>
      <c r="G210" s="131" t="s">
        <v>3682</v>
      </c>
      <c r="H210" s="138">
        <v>65</v>
      </c>
      <c r="I210" s="139">
        <v>75</v>
      </c>
      <c r="J210" s="140">
        <v>105</v>
      </c>
      <c r="K210" s="141">
        <v>35</v>
      </c>
      <c r="L210" s="142">
        <v>65</v>
      </c>
      <c r="M210" s="143">
        <v>85</v>
      </c>
      <c r="N210" s="144">
        <v>430</v>
      </c>
      <c r="O210" s="145" t="s">
        <v>237</v>
      </c>
      <c r="P210" s="133" t="s">
        <v>99</v>
      </c>
      <c r="Q210" s="147">
        <v>64.8</v>
      </c>
      <c r="R210" s="131"/>
    </row>
    <row r="211" ht="24.95" customHeight="1" spans="1:18">
      <c r="A211" s="135" t="s">
        <v>3836</v>
      </c>
      <c r="B211" s="131" t="s">
        <v>3837</v>
      </c>
      <c r="C211" s="136" t="str">
        <f>VLOOKUP(A211,伤害计算器!$V$2:$Y$720,3,FALSE)</f>
        <v>ハガネール</v>
      </c>
      <c r="D211" s="136" t="str">
        <f>VLOOKUP(A211,伤害计算器!$V$2:$Y$720,4,FALSE)</f>
        <v>Steelix</v>
      </c>
      <c r="E211" s="131" t="s">
        <v>3499</v>
      </c>
      <c r="F211" s="131" t="s">
        <v>3500</v>
      </c>
      <c r="G211" s="131" t="s">
        <v>41</v>
      </c>
      <c r="H211" s="138">
        <v>75</v>
      </c>
      <c r="I211" s="139">
        <v>85</v>
      </c>
      <c r="J211" s="140">
        <v>200</v>
      </c>
      <c r="K211" s="141">
        <v>55</v>
      </c>
      <c r="L211" s="142">
        <v>65</v>
      </c>
      <c r="M211" s="143">
        <v>30</v>
      </c>
      <c r="N211" s="144">
        <v>510</v>
      </c>
      <c r="O211" s="145" t="s">
        <v>276</v>
      </c>
      <c r="P211" s="133" t="s">
        <v>237</v>
      </c>
      <c r="Q211" s="147">
        <v>400</v>
      </c>
      <c r="R211" s="131"/>
    </row>
    <row r="212" ht="24.95" customHeight="1" spans="1:18">
      <c r="A212" s="135" t="s">
        <v>3836</v>
      </c>
      <c r="B212" s="147" t="s">
        <v>3838</v>
      </c>
      <c r="C212" s="136" t="str">
        <f>VLOOKUP(A212,伤害计算器!$V$2:$Y$720,3,FALSE)</f>
        <v>ハガネール</v>
      </c>
      <c r="D212" s="136" t="str">
        <f>VLOOKUP(A212,伤害计算器!$V$2:$Y$720,4,FALSE)</f>
        <v>Steelix</v>
      </c>
      <c r="E212" s="131" t="s">
        <v>40</v>
      </c>
      <c r="F212" s="136"/>
      <c r="G212" s="131" t="s">
        <v>40</v>
      </c>
      <c r="H212" s="138">
        <v>75</v>
      </c>
      <c r="I212" s="139">
        <v>125</v>
      </c>
      <c r="J212" s="140">
        <v>230</v>
      </c>
      <c r="K212" s="141">
        <v>55</v>
      </c>
      <c r="L212" s="142">
        <v>95</v>
      </c>
      <c r="M212" s="143">
        <v>30</v>
      </c>
      <c r="N212" s="144">
        <v>610</v>
      </c>
      <c r="O212" s="145" t="s">
        <v>276</v>
      </c>
      <c r="P212" s="133" t="s">
        <v>237</v>
      </c>
      <c r="Q212" s="147">
        <v>400</v>
      </c>
      <c r="R212" s="131"/>
    </row>
    <row r="213" ht="24.95" customHeight="1" spans="1:18">
      <c r="A213" s="135" t="s">
        <v>3839</v>
      </c>
      <c r="B213" s="131" t="s">
        <v>3840</v>
      </c>
      <c r="C213" s="136" t="str">
        <f>VLOOKUP(A213,伤害计算器!$V$2:$Y$720,3,FALSE)</f>
        <v>ブルー</v>
      </c>
      <c r="D213" s="136" t="str">
        <f>VLOOKUP(A213,伤害计算器!$V$2:$Y$720,4,FALSE)</f>
        <v>Snubbull</v>
      </c>
      <c r="E213" s="131" t="s">
        <v>3354</v>
      </c>
      <c r="F213" s="131" t="s">
        <v>3832</v>
      </c>
      <c r="G213" s="131" t="s">
        <v>3833</v>
      </c>
      <c r="H213" s="138">
        <v>60</v>
      </c>
      <c r="I213" s="139">
        <v>80</v>
      </c>
      <c r="J213" s="140">
        <v>50</v>
      </c>
      <c r="K213" s="141">
        <v>40</v>
      </c>
      <c r="L213" s="142">
        <v>40</v>
      </c>
      <c r="M213" s="143">
        <v>30</v>
      </c>
      <c r="N213" s="144">
        <v>300</v>
      </c>
      <c r="O213" s="145" t="s">
        <v>98</v>
      </c>
      <c r="Q213" s="147">
        <v>7.8</v>
      </c>
      <c r="R213" s="131"/>
    </row>
    <row r="214" ht="24.95" customHeight="1" spans="1:18">
      <c r="A214" s="135" t="s">
        <v>3841</v>
      </c>
      <c r="B214" s="131" t="s">
        <v>3842</v>
      </c>
      <c r="C214" s="136" t="str">
        <f>VLOOKUP(A214,伤害计算器!$V$2:$Y$720,3,FALSE)</f>
        <v>グランブル</v>
      </c>
      <c r="D214" s="136" t="str">
        <f>VLOOKUP(A214,伤害计算器!$V$2:$Y$720,4,FALSE)</f>
        <v>Granbull</v>
      </c>
      <c r="E214" s="131" t="s">
        <v>3354</v>
      </c>
      <c r="F214" s="131" t="s">
        <v>3843</v>
      </c>
      <c r="G214" s="131" t="s">
        <v>3833</v>
      </c>
      <c r="H214" s="138">
        <v>90</v>
      </c>
      <c r="I214" s="139">
        <v>120</v>
      </c>
      <c r="J214" s="140">
        <v>75</v>
      </c>
      <c r="K214" s="141">
        <v>60</v>
      </c>
      <c r="L214" s="142">
        <v>60</v>
      </c>
      <c r="M214" s="143">
        <v>45</v>
      </c>
      <c r="N214" s="144">
        <v>450</v>
      </c>
      <c r="O214" s="145" t="s">
        <v>98</v>
      </c>
      <c r="Q214" s="147">
        <v>48.7</v>
      </c>
      <c r="R214" s="131"/>
    </row>
    <row r="215" ht="24.95" customHeight="1" spans="1:18">
      <c r="A215" s="135" t="s">
        <v>3844</v>
      </c>
      <c r="B215" s="131" t="s">
        <v>3845</v>
      </c>
      <c r="C215" s="136" t="str">
        <f>VLOOKUP(A215,伤害计算器!$V$2:$Y$720,3,FALSE)</f>
        <v>ハリーセン</v>
      </c>
      <c r="D215" s="136" t="str">
        <f>VLOOKUP(A215,伤害计算器!$V$2:$Y$720,4,FALSE)</f>
        <v>Qwilfish</v>
      </c>
      <c r="E215" s="131" t="s">
        <v>3373</v>
      </c>
      <c r="F215" s="131" t="s">
        <v>3448</v>
      </c>
      <c r="G215" s="131" t="s">
        <v>3354</v>
      </c>
      <c r="H215" s="138">
        <v>65</v>
      </c>
      <c r="I215" s="139">
        <v>95</v>
      </c>
      <c r="J215" s="140">
        <v>75</v>
      </c>
      <c r="K215" s="141">
        <v>55</v>
      </c>
      <c r="L215" s="142">
        <v>55</v>
      </c>
      <c r="M215" s="143">
        <v>85</v>
      </c>
      <c r="N215" s="144">
        <v>430</v>
      </c>
      <c r="O215" s="145" t="s">
        <v>251</v>
      </c>
      <c r="P215" s="133" t="s">
        <v>270</v>
      </c>
      <c r="Q215" s="147">
        <v>3.9</v>
      </c>
      <c r="R215" s="131"/>
    </row>
    <row r="216" ht="24.95" customHeight="1" spans="1:18">
      <c r="A216" s="135" t="s">
        <v>3846</v>
      </c>
      <c r="B216" s="131" t="s">
        <v>3847</v>
      </c>
      <c r="C216" s="136" t="str">
        <f>VLOOKUP(A216,伤害计算器!$V$2:$Y$720,3,FALSE)</f>
        <v>ハッサム</v>
      </c>
      <c r="D216" s="136" t="str">
        <f>VLOOKUP(A216,伤害计算器!$V$2:$Y$720,4,FALSE)</f>
        <v>Scizor</v>
      </c>
      <c r="E216" s="131" t="s">
        <v>3333</v>
      </c>
      <c r="F216" s="131" t="s">
        <v>36</v>
      </c>
      <c r="G216" s="131" t="s">
        <v>3848</v>
      </c>
      <c r="H216" s="138">
        <v>70</v>
      </c>
      <c r="I216" s="139">
        <v>130</v>
      </c>
      <c r="J216" s="140">
        <v>100</v>
      </c>
      <c r="K216" s="141">
        <v>55</v>
      </c>
      <c r="L216" s="142">
        <v>80</v>
      </c>
      <c r="M216" s="143">
        <v>65</v>
      </c>
      <c r="N216" s="144">
        <v>500</v>
      </c>
      <c r="O216" s="145" t="s">
        <v>272</v>
      </c>
      <c r="P216" s="133" t="s">
        <v>276</v>
      </c>
      <c r="Q216" s="147">
        <v>118</v>
      </c>
      <c r="R216" s="131"/>
    </row>
    <row r="217" ht="24.95" customHeight="1" spans="1:18">
      <c r="A217" s="135" t="s">
        <v>3846</v>
      </c>
      <c r="B217" s="131" t="s">
        <v>3849</v>
      </c>
      <c r="C217" s="136" t="str">
        <f>VLOOKUP(A217,伤害计算器!$V$2:$Y$720,3,FALSE)</f>
        <v>ハッサム</v>
      </c>
      <c r="D217" s="136" t="str">
        <f>VLOOKUP(A217,伤害计算器!$V$2:$Y$720,4,FALSE)</f>
        <v>Scizor</v>
      </c>
      <c r="E217" s="131" t="s">
        <v>36</v>
      </c>
      <c r="F217" s="137"/>
      <c r="G217" s="131" t="s">
        <v>36</v>
      </c>
      <c r="H217" s="138">
        <v>70</v>
      </c>
      <c r="I217" s="139">
        <v>150</v>
      </c>
      <c r="J217" s="140">
        <v>140</v>
      </c>
      <c r="K217" s="141">
        <v>65</v>
      </c>
      <c r="L217" s="142">
        <v>100</v>
      </c>
      <c r="M217" s="143">
        <v>75</v>
      </c>
      <c r="N217" s="144">
        <v>600</v>
      </c>
      <c r="O217" s="145" t="s">
        <v>272</v>
      </c>
      <c r="P217" s="133" t="s">
        <v>276</v>
      </c>
      <c r="Q217" s="147">
        <v>125</v>
      </c>
      <c r="R217" s="131"/>
    </row>
    <row r="218" ht="24.95" customHeight="1" spans="1:18">
      <c r="A218" s="135" t="s">
        <v>3850</v>
      </c>
      <c r="B218" s="131" t="s">
        <v>3851</v>
      </c>
      <c r="C218" s="136" t="str">
        <f>VLOOKUP(A218,伤害计算器!$V$2:$Y$720,3,FALSE)</f>
        <v>ツボツボ</v>
      </c>
      <c r="D218" s="136" t="str">
        <f>VLOOKUP(A218,伤害计算器!$V$2:$Y$720,4,FALSE)</f>
        <v>Shuckle</v>
      </c>
      <c r="E218" s="131" t="s">
        <v>3500</v>
      </c>
      <c r="F218" s="131" t="s">
        <v>3486</v>
      </c>
      <c r="G218" s="131" t="s">
        <v>3852</v>
      </c>
      <c r="H218" s="138">
        <v>20</v>
      </c>
      <c r="I218" s="139">
        <v>10</v>
      </c>
      <c r="J218" s="140">
        <v>230</v>
      </c>
      <c r="K218" s="141">
        <v>10</v>
      </c>
      <c r="L218" s="142">
        <v>230</v>
      </c>
      <c r="M218" s="143">
        <v>5</v>
      </c>
      <c r="N218" s="144">
        <v>505</v>
      </c>
      <c r="O218" s="145" t="s">
        <v>272</v>
      </c>
      <c r="P218" s="133" t="s">
        <v>252</v>
      </c>
      <c r="Q218" s="147">
        <v>20.5</v>
      </c>
      <c r="R218" s="131"/>
    </row>
    <row r="219" ht="24.95" customHeight="1" spans="1:18">
      <c r="A219" s="135" t="s">
        <v>3853</v>
      </c>
      <c r="B219" s="131" t="s">
        <v>3854</v>
      </c>
      <c r="C219" s="136" t="str">
        <f>VLOOKUP(A219,伤害计算器!$V$2:$Y$720,3,FALSE)</f>
        <v>ヘラクロス</v>
      </c>
      <c r="D219" s="136" t="str">
        <f>VLOOKUP(A219,伤害计算器!$V$2:$Y$720,4,FALSE)</f>
        <v>Heracross</v>
      </c>
      <c r="E219" s="131" t="s">
        <v>3333</v>
      </c>
      <c r="F219" s="131" t="s">
        <v>57</v>
      </c>
      <c r="G219" s="131" t="s">
        <v>3640</v>
      </c>
      <c r="H219" s="138">
        <v>80</v>
      </c>
      <c r="I219" s="139">
        <v>125</v>
      </c>
      <c r="J219" s="140">
        <v>75</v>
      </c>
      <c r="K219" s="141">
        <v>40</v>
      </c>
      <c r="L219" s="142">
        <v>95</v>
      </c>
      <c r="M219" s="143">
        <v>85</v>
      </c>
      <c r="N219" s="144">
        <v>500</v>
      </c>
      <c r="O219" s="145" t="s">
        <v>272</v>
      </c>
      <c r="P219" s="133" t="s">
        <v>269</v>
      </c>
      <c r="Q219" s="147">
        <v>54</v>
      </c>
      <c r="R219" s="131"/>
    </row>
    <row r="220" ht="24.95" customHeight="1" spans="1:18">
      <c r="A220" s="135" t="s">
        <v>3853</v>
      </c>
      <c r="B220" s="131" t="s">
        <v>3855</v>
      </c>
      <c r="C220" s="136" t="str">
        <f>VLOOKUP(A220,伤害计算器!$V$2:$Y$720,3,FALSE)</f>
        <v>ヘラクロス</v>
      </c>
      <c r="D220" s="136" t="str">
        <f>VLOOKUP(A220,伤害计算器!$V$2:$Y$720,4,FALSE)</f>
        <v>Heracross</v>
      </c>
      <c r="E220" s="131" t="s">
        <v>3545</v>
      </c>
      <c r="F220" s="137"/>
      <c r="G220" s="131" t="s">
        <v>3545</v>
      </c>
      <c r="H220" s="138">
        <v>80</v>
      </c>
      <c r="I220" s="139">
        <v>185</v>
      </c>
      <c r="J220" s="140">
        <v>115</v>
      </c>
      <c r="K220" s="141">
        <v>40</v>
      </c>
      <c r="L220" s="142">
        <v>105</v>
      </c>
      <c r="M220" s="143">
        <v>75</v>
      </c>
      <c r="N220" s="144">
        <v>600</v>
      </c>
      <c r="O220" s="145" t="s">
        <v>272</v>
      </c>
      <c r="P220" s="133" t="s">
        <v>269</v>
      </c>
      <c r="Q220" s="147">
        <v>62.5</v>
      </c>
      <c r="R220" s="131"/>
    </row>
    <row r="221" ht="24.95" customHeight="1" spans="1:18">
      <c r="A221" s="135" t="s">
        <v>3856</v>
      </c>
      <c r="B221" s="131" t="s">
        <v>3857</v>
      </c>
      <c r="C221" s="136" t="str">
        <f>VLOOKUP(A221,伤害计算器!$V$2:$Y$720,3,FALSE)</f>
        <v>ニューラ</v>
      </c>
      <c r="D221" s="136" t="str">
        <f>VLOOKUP(A221,伤害计算器!$V$2:$Y$720,4,FALSE)</f>
        <v>Sneasel</v>
      </c>
      <c r="E221" s="131" t="s">
        <v>3409</v>
      </c>
      <c r="F221" s="131" t="s">
        <v>3336</v>
      </c>
      <c r="G221" s="131" t="s">
        <v>3858</v>
      </c>
      <c r="H221" s="138">
        <v>55</v>
      </c>
      <c r="I221" s="139">
        <v>95</v>
      </c>
      <c r="J221" s="140">
        <v>55</v>
      </c>
      <c r="K221" s="141">
        <v>35</v>
      </c>
      <c r="L221" s="142">
        <v>75</v>
      </c>
      <c r="M221" s="143">
        <v>115</v>
      </c>
      <c r="N221" s="144">
        <v>430</v>
      </c>
      <c r="O221" s="145" t="s">
        <v>275</v>
      </c>
      <c r="P221" s="133" t="s">
        <v>100</v>
      </c>
      <c r="Q221" s="147">
        <v>28</v>
      </c>
      <c r="R221" s="131"/>
    </row>
    <row r="222" ht="24.95" customHeight="1" spans="1:18">
      <c r="A222" s="135" t="s">
        <v>3859</v>
      </c>
      <c r="B222" s="131" t="s">
        <v>3860</v>
      </c>
      <c r="C222" s="136" t="str">
        <f>VLOOKUP(A222,伤害计算器!$V$2:$Y$720,3,FALSE)</f>
        <v>ヒメグマ</v>
      </c>
      <c r="D222" s="136" t="str">
        <f>VLOOKUP(A222,伤害计算器!$V$2:$Y$720,4,FALSE)</f>
        <v>Teddiursa</v>
      </c>
      <c r="E222" s="131" t="s">
        <v>3441</v>
      </c>
      <c r="F222" s="131" t="s">
        <v>3843</v>
      </c>
      <c r="G222" s="131" t="s">
        <v>3861</v>
      </c>
      <c r="H222" s="138">
        <v>60</v>
      </c>
      <c r="I222" s="139">
        <v>80</v>
      </c>
      <c r="J222" s="140">
        <v>50</v>
      </c>
      <c r="K222" s="141">
        <v>50</v>
      </c>
      <c r="L222" s="142">
        <v>50</v>
      </c>
      <c r="M222" s="143">
        <v>40</v>
      </c>
      <c r="N222" s="144">
        <v>330</v>
      </c>
      <c r="O222" s="145" t="s">
        <v>267</v>
      </c>
      <c r="Q222" s="147">
        <v>8.8</v>
      </c>
      <c r="R222" s="131"/>
    </row>
    <row r="223" ht="24.95" customHeight="1" spans="1:18">
      <c r="A223" s="135" t="s">
        <v>3862</v>
      </c>
      <c r="B223" s="131" t="s">
        <v>3863</v>
      </c>
      <c r="C223" s="136" t="str">
        <f>VLOOKUP(A223,伤害计算器!$V$2:$Y$720,3,FALSE)</f>
        <v>リングマ</v>
      </c>
      <c r="D223" s="136" t="str">
        <f>VLOOKUP(A223,伤害计算器!$V$2:$Y$720,4,FALSE)</f>
        <v>Ursaring</v>
      </c>
      <c r="E223" s="131" t="s">
        <v>57</v>
      </c>
      <c r="F223" s="131" t="s">
        <v>3662</v>
      </c>
      <c r="G223" s="131" t="s">
        <v>3355</v>
      </c>
      <c r="H223" s="138">
        <v>90</v>
      </c>
      <c r="I223" s="139">
        <v>130</v>
      </c>
      <c r="J223" s="140">
        <v>75</v>
      </c>
      <c r="K223" s="141">
        <v>75</v>
      </c>
      <c r="L223" s="142">
        <v>75</v>
      </c>
      <c r="M223" s="143">
        <v>55</v>
      </c>
      <c r="N223" s="144">
        <v>500</v>
      </c>
      <c r="O223" s="145" t="s">
        <v>267</v>
      </c>
      <c r="Q223" s="147">
        <v>125.8</v>
      </c>
      <c r="R223" s="131"/>
    </row>
    <row r="224" ht="24.95" customHeight="1" spans="1:18">
      <c r="A224" s="135" t="s">
        <v>3864</v>
      </c>
      <c r="B224" s="131" t="s">
        <v>3865</v>
      </c>
      <c r="C224" s="136" t="str">
        <f>VLOOKUP(A224,伤害计算器!$V$2:$Y$720,3,FALSE)</f>
        <v>マグマッグ</v>
      </c>
      <c r="D224" s="136" t="str">
        <f>VLOOKUP(A224,伤害计算器!$V$2:$Y$720,4,FALSE)</f>
        <v>Slugma</v>
      </c>
      <c r="E224" s="131" t="s">
        <v>3866</v>
      </c>
      <c r="F224" s="131" t="s">
        <v>3508</v>
      </c>
      <c r="G224" s="131" t="s">
        <v>3558</v>
      </c>
      <c r="H224" s="138">
        <v>40</v>
      </c>
      <c r="I224" s="139">
        <v>40</v>
      </c>
      <c r="J224" s="140">
        <v>40</v>
      </c>
      <c r="K224" s="141">
        <v>70</v>
      </c>
      <c r="L224" s="142">
        <v>40</v>
      </c>
      <c r="M224" s="143">
        <v>20</v>
      </c>
      <c r="N224" s="144">
        <v>250</v>
      </c>
      <c r="O224" s="145" t="s">
        <v>250</v>
      </c>
      <c r="Q224" s="147">
        <v>35</v>
      </c>
      <c r="R224" s="131"/>
    </row>
    <row r="225" ht="24.95" customHeight="1" spans="1:18">
      <c r="A225" s="135" t="s">
        <v>3867</v>
      </c>
      <c r="B225" s="131" t="s">
        <v>3868</v>
      </c>
      <c r="C225" s="136" t="str">
        <f>VLOOKUP(A225,伤害计算器!$V$2:$Y$720,3,FALSE)</f>
        <v>マグカルゴ</v>
      </c>
      <c r="D225" s="136" t="str">
        <f>VLOOKUP(A225,伤害计算器!$V$2:$Y$720,4,FALSE)</f>
        <v>Magcargo</v>
      </c>
      <c r="E225" s="131" t="s">
        <v>3866</v>
      </c>
      <c r="F225" s="131" t="s">
        <v>3508</v>
      </c>
      <c r="G225" s="131" t="s">
        <v>3558</v>
      </c>
      <c r="H225" s="138">
        <v>50</v>
      </c>
      <c r="I225" s="139">
        <v>50</v>
      </c>
      <c r="J225" s="140">
        <v>120</v>
      </c>
      <c r="K225" s="141">
        <v>80</v>
      </c>
      <c r="L225" s="142">
        <v>80</v>
      </c>
      <c r="M225" s="143">
        <v>30</v>
      </c>
      <c r="N225" s="144">
        <v>410</v>
      </c>
      <c r="O225" s="145" t="s">
        <v>250</v>
      </c>
      <c r="P225" s="133" t="s">
        <v>252</v>
      </c>
      <c r="Q225" s="147">
        <v>55</v>
      </c>
      <c r="R225" s="131"/>
    </row>
    <row r="226" ht="24.95" customHeight="1" spans="1:18">
      <c r="A226" s="135" t="s">
        <v>3869</v>
      </c>
      <c r="B226" s="131" t="s">
        <v>3870</v>
      </c>
      <c r="C226" s="136" t="str">
        <f>VLOOKUP(A226,伤害计算器!$V$2:$Y$720,3,FALSE)</f>
        <v>ウリムー</v>
      </c>
      <c r="D226" s="136" t="str">
        <f>VLOOKUP(A226,伤害计算器!$V$2:$Y$720,4,FALSE)</f>
        <v>Swinub</v>
      </c>
      <c r="E226" s="131" t="s">
        <v>3513</v>
      </c>
      <c r="F226" s="131" t="s">
        <v>81</v>
      </c>
      <c r="G226" s="131" t="s">
        <v>70</v>
      </c>
      <c r="H226" s="138">
        <v>50</v>
      </c>
      <c r="I226" s="139">
        <v>50</v>
      </c>
      <c r="J226" s="140">
        <v>40</v>
      </c>
      <c r="K226" s="141">
        <v>30</v>
      </c>
      <c r="L226" s="142">
        <v>30</v>
      </c>
      <c r="M226" s="143">
        <v>50</v>
      </c>
      <c r="N226" s="144">
        <v>250</v>
      </c>
      <c r="O226" s="145" t="s">
        <v>100</v>
      </c>
      <c r="P226" s="133" t="s">
        <v>237</v>
      </c>
      <c r="Q226" s="147">
        <v>6.5</v>
      </c>
      <c r="R226" s="131"/>
    </row>
    <row r="227" ht="24.95" customHeight="1" spans="1:18">
      <c r="A227" s="135" t="s">
        <v>3871</v>
      </c>
      <c r="B227" s="131" t="s">
        <v>3872</v>
      </c>
      <c r="C227" s="136" t="str">
        <f>VLOOKUP(A227,伤害计算器!$V$2:$Y$720,3,FALSE)</f>
        <v>イノムー</v>
      </c>
      <c r="D227" s="136" t="str">
        <f>VLOOKUP(A227,伤害计算器!$V$2:$Y$720,4,FALSE)</f>
        <v>Piloswine</v>
      </c>
      <c r="E227" s="131" t="s">
        <v>3513</v>
      </c>
      <c r="F227" s="131" t="s">
        <v>81</v>
      </c>
      <c r="G227" s="131" t="s">
        <v>70</v>
      </c>
      <c r="H227" s="138">
        <v>100</v>
      </c>
      <c r="I227" s="139">
        <v>100</v>
      </c>
      <c r="J227" s="140">
        <v>80</v>
      </c>
      <c r="K227" s="141">
        <v>60</v>
      </c>
      <c r="L227" s="142">
        <v>60</v>
      </c>
      <c r="M227" s="143">
        <v>50</v>
      </c>
      <c r="N227" s="144">
        <v>450</v>
      </c>
      <c r="O227" s="145" t="s">
        <v>100</v>
      </c>
      <c r="P227" s="133" t="s">
        <v>237</v>
      </c>
      <c r="Q227" s="147">
        <v>55.8</v>
      </c>
      <c r="R227" s="131"/>
    </row>
    <row r="228" ht="24.95" customHeight="1" spans="1:18">
      <c r="A228" s="135" t="s">
        <v>3873</v>
      </c>
      <c r="B228" s="131" t="s">
        <v>3874</v>
      </c>
      <c r="C228" s="136" t="str">
        <f>VLOOKUP(A228,伤害计算器!$V$2:$Y$720,3,FALSE)</f>
        <v>サニーゴ</v>
      </c>
      <c r="D228" s="136" t="str">
        <f>VLOOKUP(A228,伤害计算器!$V$2:$Y$720,4,FALSE)</f>
        <v>Corsola</v>
      </c>
      <c r="E228" s="131" t="s">
        <v>61</v>
      </c>
      <c r="F228" s="131" t="s">
        <v>3604</v>
      </c>
      <c r="G228" s="131" t="s">
        <v>3515</v>
      </c>
      <c r="H228" s="138">
        <v>55</v>
      </c>
      <c r="I228" s="139">
        <v>55</v>
      </c>
      <c r="J228" s="140">
        <v>85</v>
      </c>
      <c r="K228" s="141">
        <v>65</v>
      </c>
      <c r="L228" s="142">
        <v>85</v>
      </c>
      <c r="M228" s="143">
        <v>35</v>
      </c>
      <c r="N228" s="144">
        <v>380</v>
      </c>
      <c r="O228" s="145" t="s">
        <v>251</v>
      </c>
      <c r="P228" s="133" t="s">
        <v>252</v>
      </c>
      <c r="Q228" s="147">
        <v>5</v>
      </c>
      <c r="R228" s="131"/>
    </row>
    <row r="229" ht="24.95" customHeight="1" spans="1:18">
      <c r="A229" s="135" t="s">
        <v>3875</v>
      </c>
      <c r="B229" s="131" t="s">
        <v>3876</v>
      </c>
      <c r="C229" s="136" t="str">
        <f>VLOOKUP(A229,伤害计算器!$V$2:$Y$720,3,FALSE)</f>
        <v>テッポウオ</v>
      </c>
      <c r="D229" s="136" t="str">
        <f>VLOOKUP(A229,伤害计算器!$V$2:$Y$720,4,FALSE)</f>
        <v>Remoraid</v>
      </c>
      <c r="E229" s="131" t="s">
        <v>61</v>
      </c>
      <c r="F229" s="131" t="s">
        <v>65</v>
      </c>
      <c r="G229" s="131" t="s">
        <v>3877</v>
      </c>
      <c r="H229" s="138">
        <v>35</v>
      </c>
      <c r="I229" s="139">
        <v>65</v>
      </c>
      <c r="J229" s="140">
        <v>35</v>
      </c>
      <c r="K229" s="141">
        <v>65</v>
      </c>
      <c r="L229" s="142">
        <v>35</v>
      </c>
      <c r="M229" s="143">
        <v>65</v>
      </c>
      <c r="N229" s="144">
        <v>300</v>
      </c>
      <c r="O229" s="145" t="s">
        <v>251</v>
      </c>
      <c r="Q229" s="147">
        <v>12</v>
      </c>
      <c r="R229" s="131"/>
    </row>
    <row r="230" ht="24.95" customHeight="1" spans="1:18">
      <c r="A230" s="135" t="s">
        <v>3878</v>
      </c>
      <c r="B230" s="131" t="s">
        <v>3879</v>
      </c>
      <c r="C230" s="136" t="str">
        <f>VLOOKUP(A230,伤害计算器!$V$2:$Y$720,3,FALSE)</f>
        <v>オクタン</v>
      </c>
      <c r="D230" s="136" t="str">
        <f>VLOOKUP(A230,伤害计算器!$V$2:$Y$720,4,FALSE)</f>
        <v>Octillery</v>
      </c>
      <c r="E230" s="131" t="s">
        <v>3880</v>
      </c>
      <c r="F230" s="131" t="s">
        <v>65</v>
      </c>
      <c r="G230" s="131" t="s">
        <v>3877</v>
      </c>
      <c r="H230" s="138">
        <v>75</v>
      </c>
      <c r="I230" s="139">
        <v>105</v>
      </c>
      <c r="J230" s="140">
        <v>75</v>
      </c>
      <c r="K230" s="141">
        <v>105</v>
      </c>
      <c r="L230" s="142">
        <v>75</v>
      </c>
      <c r="M230" s="143">
        <v>45</v>
      </c>
      <c r="N230" s="144">
        <v>480</v>
      </c>
      <c r="O230" s="145" t="s">
        <v>251</v>
      </c>
      <c r="Q230" s="147">
        <v>28.5</v>
      </c>
      <c r="R230" s="131"/>
    </row>
    <row r="231" ht="24.95" customHeight="1" spans="1:18">
      <c r="A231" s="135" t="s">
        <v>3881</v>
      </c>
      <c r="B231" s="131" t="s">
        <v>3882</v>
      </c>
      <c r="C231" s="136" t="str">
        <f>VLOOKUP(A231,伤害计算器!$V$2:$Y$720,3,FALSE)</f>
        <v>デリバード</v>
      </c>
      <c r="D231" s="136" t="str">
        <f>VLOOKUP(A231,伤害计算器!$V$2:$Y$720,4,FALSE)</f>
        <v>Delibird</v>
      </c>
      <c r="E231" s="131" t="s">
        <v>3453</v>
      </c>
      <c r="F231" s="131" t="s">
        <v>61</v>
      </c>
      <c r="G231" s="131" t="s">
        <v>3561</v>
      </c>
      <c r="H231" s="138">
        <v>45</v>
      </c>
      <c r="I231" s="139">
        <v>55</v>
      </c>
      <c r="J231" s="140">
        <v>45</v>
      </c>
      <c r="K231" s="141">
        <v>65</v>
      </c>
      <c r="L231" s="142">
        <v>45</v>
      </c>
      <c r="M231" s="143">
        <v>75</v>
      </c>
      <c r="N231" s="144">
        <v>330</v>
      </c>
      <c r="O231" s="145" t="s">
        <v>100</v>
      </c>
      <c r="P231" s="133" t="s">
        <v>99</v>
      </c>
      <c r="Q231" s="147">
        <v>16</v>
      </c>
      <c r="R231" s="131"/>
    </row>
    <row r="232" ht="24.95" customHeight="1" spans="1:18">
      <c r="A232" s="135" t="s">
        <v>3883</v>
      </c>
      <c r="B232" s="131" t="s">
        <v>3884</v>
      </c>
      <c r="C232" s="136" t="str">
        <f>VLOOKUP(A232,伤害计算器!$V$2:$Y$720,3,FALSE)</f>
        <v>マンタイン</v>
      </c>
      <c r="D232" s="136" t="str">
        <f>VLOOKUP(A232,伤害计算器!$V$2:$Y$720,4,FALSE)</f>
        <v>Mantine</v>
      </c>
      <c r="E232" s="131" t="s">
        <v>3448</v>
      </c>
      <c r="F232" s="131" t="s">
        <v>533</v>
      </c>
      <c r="G232" s="131" t="s">
        <v>3619</v>
      </c>
      <c r="H232" s="138">
        <v>65</v>
      </c>
      <c r="I232" s="139">
        <v>40</v>
      </c>
      <c r="J232" s="140">
        <v>70</v>
      </c>
      <c r="K232" s="141">
        <v>80</v>
      </c>
      <c r="L232" s="142">
        <v>140</v>
      </c>
      <c r="M232" s="143">
        <v>70</v>
      </c>
      <c r="N232" s="144">
        <v>465</v>
      </c>
      <c r="O232" s="145" t="s">
        <v>251</v>
      </c>
      <c r="P232" s="133" t="s">
        <v>99</v>
      </c>
      <c r="Q232" s="147">
        <v>220</v>
      </c>
      <c r="R232" s="131"/>
    </row>
    <row r="233" ht="24.95" customHeight="1" spans="1:18">
      <c r="A233" s="135" t="s">
        <v>3885</v>
      </c>
      <c r="B233" s="131" t="s">
        <v>3886</v>
      </c>
      <c r="C233" s="136" t="str">
        <f>VLOOKUP(A233,伤害计算器!$V$2:$Y$720,3,FALSE)</f>
        <v>エアームド</v>
      </c>
      <c r="D233" s="136" t="str">
        <f>VLOOKUP(A233,伤害计算器!$V$2:$Y$720,4,FALSE)</f>
        <v>Skarmory</v>
      </c>
      <c r="E233" s="131" t="s">
        <v>3336</v>
      </c>
      <c r="F233" s="131" t="s">
        <v>3500</v>
      </c>
      <c r="G233" s="131" t="s">
        <v>3558</v>
      </c>
      <c r="H233" s="138">
        <v>65</v>
      </c>
      <c r="I233" s="139">
        <v>80</v>
      </c>
      <c r="J233" s="140">
        <v>140</v>
      </c>
      <c r="K233" s="141">
        <v>40</v>
      </c>
      <c r="L233" s="142">
        <v>70</v>
      </c>
      <c r="M233" s="143">
        <v>70</v>
      </c>
      <c r="N233" s="144">
        <v>465</v>
      </c>
      <c r="O233" s="145" t="s">
        <v>276</v>
      </c>
      <c r="P233" s="133" t="s">
        <v>99</v>
      </c>
      <c r="Q233" s="147">
        <v>50.5</v>
      </c>
      <c r="R233" s="131"/>
    </row>
    <row r="234" ht="24.95" customHeight="1" spans="1:18">
      <c r="A234" s="135" t="s">
        <v>3887</v>
      </c>
      <c r="B234" s="131" t="s">
        <v>3888</v>
      </c>
      <c r="C234" s="136" t="str">
        <f>VLOOKUP(A234,伤害计算器!$V$2:$Y$720,3,FALSE)</f>
        <v>デルビル</v>
      </c>
      <c r="D234" s="136" t="str">
        <f>VLOOKUP(A234,伤害计算器!$V$2:$Y$720,4,FALSE)</f>
        <v>Houndour</v>
      </c>
      <c r="E234" s="131" t="s">
        <v>3527</v>
      </c>
      <c r="F234" s="131" t="s">
        <v>542</v>
      </c>
      <c r="G234" s="131" t="s">
        <v>3355</v>
      </c>
      <c r="H234" s="138">
        <v>45</v>
      </c>
      <c r="I234" s="139">
        <v>60</v>
      </c>
      <c r="J234" s="140">
        <v>30</v>
      </c>
      <c r="K234" s="141">
        <v>80</v>
      </c>
      <c r="L234" s="142">
        <v>50</v>
      </c>
      <c r="M234" s="143">
        <v>65</v>
      </c>
      <c r="N234" s="144">
        <v>330</v>
      </c>
      <c r="O234" s="145" t="s">
        <v>275</v>
      </c>
      <c r="P234" s="133" t="s">
        <v>250</v>
      </c>
      <c r="Q234" s="147">
        <v>10.8</v>
      </c>
      <c r="R234" s="131"/>
    </row>
    <row r="235" ht="24.95" customHeight="1" spans="1:18">
      <c r="A235" s="135" t="s">
        <v>3889</v>
      </c>
      <c r="B235" s="131" t="s">
        <v>3890</v>
      </c>
      <c r="C235" s="136" t="str">
        <f>VLOOKUP(A235,伤害计算器!$V$2:$Y$720,3,FALSE)</f>
        <v>ヘルガー</v>
      </c>
      <c r="D235" s="136" t="str">
        <f>VLOOKUP(A235,伤害计算器!$V$2:$Y$720,4,FALSE)</f>
        <v>Houndoom</v>
      </c>
      <c r="E235" s="131" t="s">
        <v>3527</v>
      </c>
      <c r="F235" s="131" t="s">
        <v>542</v>
      </c>
      <c r="G235" s="131" t="s">
        <v>3355</v>
      </c>
      <c r="H235" s="138">
        <v>75</v>
      </c>
      <c r="I235" s="139">
        <v>90</v>
      </c>
      <c r="J235" s="140">
        <v>50</v>
      </c>
      <c r="K235" s="141">
        <v>110</v>
      </c>
      <c r="L235" s="142">
        <v>80</v>
      </c>
      <c r="M235" s="143">
        <v>95</v>
      </c>
      <c r="N235" s="144">
        <v>500</v>
      </c>
      <c r="O235" s="145" t="s">
        <v>275</v>
      </c>
      <c r="P235" s="133" t="s">
        <v>250</v>
      </c>
      <c r="Q235" s="147">
        <v>35</v>
      </c>
      <c r="R235" s="131"/>
    </row>
    <row r="236" ht="24.95" customHeight="1" spans="1:18">
      <c r="A236" s="135" t="s">
        <v>3889</v>
      </c>
      <c r="B236" s="131" t="s">
        <v>3891</v>
      </c>
      <c r="C236" s="136" t="str">
        <f>VLOOKUP(A236,伤害计算器!$V$2:$Y$720,3,FALSE)</f>
        <v>ヘルガー</v>
      </c>
      <c r="D236" s="136" t="str">
        <f>VLOOKUP(A236,伤害计算器!$V$2:$Y$720,4,FALSE)</f>
        <v>Houndoom</v>
      </c>
      <c r="E236" s="131" t="s">
        <v>60</v>
      </c>
      <c r="F236" s="137"/>
      <c r="G236" s="131" t="s">
        <v>60</v>
      </c>
      <c r="H236" s="138">
        <v>75</v>
      </c>
      <c r="I236" s="139">
        <v>90</v>
      </c>
      <c r="J236" s="140">
        <v>90</v>
      </c>
      <c r="K236" s="141">
        <v>140</v>
      </c>
      <c r="L236" s="142">
        <v>90</v>
      </c>
      <c r="M236" s="143">
        <v>115</v>
      </c>
      <c r="N236" s="144">
        <v>600</v>
      </c>
      <c r="O236" s="145" t="s">
        <v>275</v>
      </c>
      <c r="P236" s="133" t="s">
        <v>250</v>
      </c>
      <c r="Q236" s="147">
        <v>49.5</v>
      </c>
      <c r="R236" s="131"/>
    </row>
    <row r="237" ht="24.95" customHeight="1" spans="1:18">
      <c r="A237" s="135" t="s">
        <v>3892</v>
      </c>
      <c r="B237" s="131" t="s">
        <v>3893</v>
      </c>
      <c r="C237" s="136" t="str">
        <f>VLOOKUP(A237,伤害计算器!$V$2:$Y$720,3,FALSE)</f>
        <v>キングドラ</v>
      </c>
      <c r="D237" s="136" t="str">
        <f>VLOOKUP(A237,伤害计算器!$V$2:$Y$720,4,FALSE)</f>
        <v>Kingdra</v>
      </c>
      <c r="E237" s="131" t="s">
        <v>3448</v>
      </c>
      <c r="F237" s="131" t="s">
        <v>65</v>
      </c>
      <c r="G237" s="131" t="s">
        <v>3424</v>
      </c>
      <c r="H237" s="138">
        <v>75</v>
      </c>
      <c r="I237" s="139">
        <v>95</v>
      </c>
      <c r="J237" s="140">
        <v>95</v>
      </c>
      <c r="K237" s="141">
        <v>95</v>
      </c>
      <c r="L237" s="142">
        <v>95</v>
      </c>
      <c r="M237" s="143">
        <v>85</v>
      </c>
      <c r="N237" s="144">
        <v>540</v>
      </c>
      <c r="O237" s="145" t="s">
        <v>251</v>
      </c>
      <c r="P237" s="133" t="s">
        <v>274</v>
      </c>
      <c r="Q237" s="147">
        <v>152</v>
      </c>
      <c r="R237" s="131"/>
    </row>
    <row r="238" ht="24.95" customHeight="1" spans="1:18">
      <c r="A238" s="135" t="s">
        <v>3894</v>
      </c>
      <c r="B238" s="131" t="s">
        <v>3895</v>
      </c>
      <c r="C238" s="136" t="str">
        <f>VLOOKUP(A238,伤害计算器!$V$2:$Y$720,3,FALSE)</f>
        <v>ゴマゾウ</v>
      </c>
      <c r="D238" s="136" t="str">
        <f>VLOOKUP(A238,伤害计算器!$V$2:$Y$720,4,FALSE)</f>
        <v>Phanpy</v>
      </c>
      <c r="E238" s="131" t="s">
        <v>3441</v>
      </c>
      <c r="F238" s="137"/>
      <c r="G238" s="131" t="s">
        <v>3896</v>
      </c>
      <c r="H238" s="138">
        <v>90</v>
      </c>
      <c r="I238" s="139">
        <v>60</v>
      </c>
      <c r="J238" s="140">
        <v>60</v>
      </c>
      <c r="K238" s="141">
        <v>40</v>
      </c>
      <c r="L238" s="142">
        <v>40</v>
      </c>
      <c r="M238" s="143">
        <v>40</v>
      </c>
      <c r="N238" s="144">
        <v>330</v>
      </c>
      <c r="O238" s="145" t="s">
        <v>237</v>
      </c>
      <c r="Q238" s="147">
        <v>33.5</v>
      </c>
      <c r="R238" s="131"/>
    </row>
    <row r="239" ht="24.95" customHeight="1" spans="1:18">
      <c r="A239" s="135" t="s">
        <v>3897</v>
      </c>
      <c r="B239" s="131" t="s">
        <v>3898</v>
      </c>
      <c r="C239" s="136" t="str">
        <f>VLOOKUP(A239,伤害计算器!$V$2:$Y$720,3,FALSE)</f>
        <v>ドンファン</v>
      </c>
      <c r="D239" s="136" t="str">
        <f>VLOOKUP(A239,伤害计算器!$V$2:$Y$720,4,FALSE)</f>
        <v>Donphan</v>
      </c>
      <c r="E239" s="131" t="s">
        <v>3500</v>
      </c>
      <c r="F239" s="137"/>
      <c r="G239" s="131" t="s">
        <v>80</v>
      </c>
      <c r="H239" s="138">
        <v>90</v>
      </c>
      <c r="I239" s="139">
        <v>120</v>
      </c>
      <c r="J239" s="140">
        <v>120</v>
      </c>
      <c r="K239" s="141">
        <v>60</v>
      </c>
      <c r="L239" s="142">
        <v>60</v>
      </c>
      <c r="M239" s="143">
        <v>50</v>
      </c>
      <c r="N239" s="144">
        <v>500</v>
      </c>
      <c r="O239" s="145" t="s">
        <v>237</v>
      </c>
      <c r="Q239" s="147">
        <v>120</v>
      </c>
      <c r="R239" s="131"/>
    </row>
    <row r="240" ht="24.95" customHeight="1" spans="1:18">
      <c r="A240" s="135" t="s">
        <v>3899</v>
      </c>
      <c r="B240" s="131" t="s">
        <v>3900</v>
      </c>
      <c r="C240" s="136" t="str">
        <f>VLOOKUP(A240,伤害计算器!$V$2:$Y$720,3,FALSE)</f>
        <v>ポリゴン２</v>
      </c>
      <c r="D240" s="136" t="str">
        <f>VLOOKUP(A240,伤害计算器!$V$2:$Y$720,4,FALSE)</f>
        <v>Porygon2</v>
      </c>
      <c r="E240" s="131" t="s">
        <v>3667</v>
      </c>
      <c r="F240" s="131" t="s">
        <v>3668</v>
      </c>
      <c r="G240" s="131" t="s">
        <v>37</v>
      </c>
      <c r="H240" s="138">
        <v>85</v>
      </c>
      <c r="I240" s="139">
        <v>80</v>
      </c>
      <c r="J240" s="140">
        <v>90</v>
      </c>
      <c r="K240" s="141">
        <v>105</v>
      </c>
      <c r="L240" s="142">
        <v>95</v>
      </c>
      <c r="M240" s="143">
        <v>60</v>
      </c>
      <c r="N240" s="144">
        <v>515</v>
      </c>
      <c r="O240" s="145" t="s">
        <v>267</v>
      </c>
      <c r="Q240" s="147">
        <v>32.5</v>
      </c>
      <c r="R240" s="131"/>
    </row>
    <row r="241" ht="24.95" customHeight="1" spans="1:18">
      <c r="A241" s="135" t="s">
        <v>3901</v>
      </c>
      <c r="B241" s="131" t="s">
        <v>3902</v>
      </c>
      <c r="C241" s="136" t="str">
        <f>VLOOKUP(A241,伤害计算器!$V$2:$Y$720,3,FALSE)</f>
        <v>オドシシ</v>
      </c>
      <c r="D241" s="136" t="str">
        <f>VLOOKUP(A241,伤害计算器!$V$2:$Y$720,4,FALSE)</f>
        <v>Stantler</v>
      </c>
      <c r="E241" s="131" t="s">
        <v>3354</v>
      </c>
      <c r="F241" s="131" t="s">
        <v>3406</v>
      </c>
      <c r="G241" s="131" t="s">
        <v>552</v>
      </c>
      <c r="H241" s="138">
        <v>73</v>
      </c>
      <c r="I241" s="139">
        <v>95</v>
      </c>
      <c r="J241" s="140">
        <v>62</v>
      </c>
      <c r="K241" s="141">
        <v>85</v>
      </c>
      <c r="L241" s="142">
        <v>65</v>
      </c>
      <c r="M241" s="143">
        <v>85</v>
      </c>
      <c r="N241" s="144">
        <v>465</v>
      </c>
      <c r="O241" s="145" t="s">
        <v>267</v>
      </c>
      <c r="Q241" s="147">
        <v>71.2</v>
      </c>
      <c r="R241" s="131"/>
    </row>
    <row r="242" ht="24.95" customHeight="1" spans="1:18">
      <c r="A242" s="135" t="s">
        <v>3903</v>
      </c>
      <c r="B242" s="131" t="s">
        <v>3904</v>
      </c>
      <c r="C242" s="136" t="str">
        <f>VLOOKUP(A242,伤害计算器!$V$2:$Y$720,3,FALSE)</f>
        <v>ドーブル</v>
      </c>
      <c r="D242" s="136" t="str">
        <f>VLOOKUP(A242,伤害计算器!$V$2:$Y$720,4,FALSE)</f>
        <v>Smeargle</v>
      </c>
      <c r="E242" s="131" t="s">
        <v>3514</v>
      </c>
      <c r="F242" s="131" t="s">
        <v>36</v>
      </c>
      <c r="G242" s="131" t="s">
        <v>3877</v>
      </c>
      <c r="H242" s="138">
        <v>55</v>
      </c>
      <c r="I242" s="139">
        <v>20</v>
      </c>
      <c r="J242" s="140">
        <v>35</v>
      </c>
      <c r="K242" s="141">
        <v>20</v>
      </c>
      <c r="L242" s="142">
        <v>45</v>
      </c>
      <c r="M242" s="143">
        <v>75</v>
      </c>
      <c r="N242" s="144">
        <v>250</v>
      </c>
      <c r="O242" s="145" t="s">
        <v>267</v>
      </c>
      <c r="Q242" s="147">
        <v>58</v>
      </c>
      <c r="R242" s="131"/>
    </row>
    <row r="243" ht="24.95" customHeight="1" spans="1:18">
      <c r="A243" s="135" t="s">
        <v>3905</v>
      </c>
      <c r="B243" s="131" t="s">
        <v>3906</v>
      </c>
      <c r="C243" s="136" t="str">
        <f>VLOOKUP(A243,伤害计算器!$V$2:$Y$720,3,FALSE)</f>
        <v>バルキー</v>
      </c>
      <c r="D243" s="136" t="str">
        <f>VLOOKUP(A243,伤害计算器!$V$2:$Y$720,4,FALSE)</f>
        <v>Tyrogue</v>
      </c>
      <c r="E243" s="131" t="s">
        <v>57</v>
      </c>
      <c r="F243" s="131" t="s">
        <v>3479</v>
      </c>
      <c r="G243" s="131" t="s">
        <v>3453</v>
      </c>
      <c r="H243" s="138">
        <v>35</v>
      </c>
      <c r="I243" s="139">
        <v>35</v>
      </c>
      <c r="J243" s="140">
        <v>35</v>
      </c>
      <c r="K243" s="141">
        <v>35</v>
      </c>
      <c r="L243" s="142">
        <v>35</v>
      </c>
      <c r="M243" s="143">
        <v>35</v>
      </c>
      <c r="N243" s="144">
        <v>210</v>
      </c>
      <c r="O243" s="145" t="s">
        <v>269</v>
      </c>
      <c r="Q243" s="147">
        <v>21</v>
      </c>
      <c r="R243" s="131"/>
    </row>
    <row r="244" ht="24.95" customHeight="1" spans="1:18">
      <c r="A244" s="135" t="s">
        <v>3907</v>
      </c>
      <c r="B244" s="131" t="s">
        <v>3908</v>
      </c>
      <c r="C244" s="136" t="str">
        <f>VLOOKUP(A244,伤害计算器!$V$2:$Y$720,3,FALSE)</f>
        <v>カポエラー</v>
      </c>
      <c r="D244" s="136" t="str">
        <f>VLOOKUP(A244,伤害计算器!$V$2:$Y$720,4,FALSE)</f>
        <v>Hitmontop</v>
      </c>
      <c r="E244" s="131" t="s">
        <v>3354</v>
      </c>
      <c r="F244" s="131" t="s">
        <v>36</v>
      </c>
      <c r="G244" s="131" t="s">
        <v>3479</v>
      </c>
      <c r="H244" s="138">
        <v>50</v>
      </c>
      <c r="I244" s="139">
        <v>95</v>
      </c>
      <c r="J244" s="140">
        <v>95</v>
      </c>
      <c r="K244" s="141">
        <v>35</v>
      </c>
      <c r="L244" s="142">
        <v>110</v>
      </c>
      <c r="M244" s="143">
        <v>70</v>
      </c>
      <c r="N244" s="144">
        <v>455</v>
      </c>
      <c r="O244" s="145" t="s">
        <v>269</v>
      </c>
      <c r="Q244" s="147">
        <v>48</v>
      </c>
      <c r="R244" s="131"/>
    </row>
    <row r="245" ht="24.95" customHeight="1" spans="1:18">
      <c r="A245" s="135" t="s">
        <v>3909</v>
      </c>
      <c r="B245" s="131" t="s">
        <v>3910</v>
      </c>
      <c r="C245" s="136" t="str">
        <f>VLOOKUP(A245,伤害计算器!$V$2:$Y$720,3,FALSE)</f>
        <v>ムチュール</v>
      </c>
      <c r="D245" s="136" t="str">
        <f>VLOOKUP(A245,伤害计算器!$V$2:$Y$720,4,FALSE)</f>
        <v>Smoochum</v>
      </c>
      <c r="E245" s="131" t="s">
        <v>3513</v>
      </c>
      <c r="F245" s="131" t="s">
        <v>3566</v>
      </c>
      <c r="G245" s="131" t="s">
        <v>3532</v>
      </c>
      <c r="H245" s="138">
        <v>45</v>
      </c>
      <c r="I245" s="139">
        <v>30</v>
      </c>
      <c r="J245" s="140">
        <v>15</v>
      </c>
      <c r="K245" s="141">
        <v>85</v>
      </c>
      <c r="L245" s="142">
        <v>65</v>
      </c>
      <c r="M245" s="143">
        <v>65</v>
      </c>
      <c r="N245" s="144">
        <v>305</v>
      </c>
      <c r="O245" s="145" t="s">
        <v>100</v>
      </c>
      <c r="P245" s="133" t="s">
        <v>271</v>
      </c>
      <c r="Q245" s="147">
        <v>6</v>
      </c>
      <c r="R245" s="131"/>
    </row>
    <row r="246" ht="24.95" customHeight="1" spans="1:18">
      <c r="A246" s="135" t="s">
        <v>3911</v>
      </c>
      <c r="B246" s="131" t="s">
        <v>3912</v>
      </c>
      <c r="C246" s="136" t="str">
        <f>VLOOKUP(A246,伤害计算器!$V$2:$Y$720,3,FALSE)</f>
        <v>エレキッド</v>
      </c>
      <c r="D246" s="136" t="str">
        <f>VLOOKUP(A246,伤害计算器!$V$2:$Y$720,4,FALSE)</f>
        <v>Elekid</v>
      </c>
      <c r="E246" s="131" t="s">
        <v>3361</v>
      </c>
      <c r="F246" s="137"/>
      <c r="G246" s="131" t="s">
        <v>3635</v>
      </c>
      <c r="H246" s="138">
        <v>45</v>
      </c>
      <c r="I246" s="139">
        <v>63</v>
      </c>
      <c r="J246" s="140">
        <v>37</v>
      </c>
      <c r="K246" s="141">
        <v>65</v>
      </c>
      <c r="L246" s="142">
        <v>55</v>
      </c>
      <c r="M246" s="143">
        <v>95</v>
      </c>
      <c r="N246" s="144">
        <v>360</v>
      </c>
      <c r="O246" s="145" t="s">
        <v>268</v>
      </c>
      <c r="Q246" s="147">
        <v>23.5</v>
      </c>
      <c r="R246" s="131"/>
    </row>
    <row r="247" ht="24.95" customHeight="1" spans="1:18">
      <c r="A247" s="135" t="s">
        <v>3913</v>
      </c>
      <c r="B247" s="131" t="s">
        <v>3914</v>
      </c>
      <c r="C247" s="136" t="str">
        <f>VLOOKUP(A247,伤害计算器!$V$2:$Y$720,3,FALSE)</f>
        <v>ブビィ</v>
      </c>
      <c r="D247" s="136" t="str">
        <f>VLOOKUP(A247,伤害计算器!$V$2:$Y$720,4,FALSE)</f>
        <v>Magby</v>
      </c>
      <c r="E247" s="131" t="s">
        <v>3508</v>
      </c>
      <c r="F247" s="137"/>
      <c r="G247" s="131" t="s">
        <v>3453</v>
      </c>
      <c r="H247" s="138">
        <v>45</v>
      </c>
      <c r="I247" s="139">
        <v>75</v>
      </c>
      <c r="J247" s="140">
        <v>37</v>
      </c>
      <c r="K247" s="141">
        <v>70</v>
      </c>
      <c r="L247" s="142">
        <v>55</v>
      </c>
      <c r="M247" s="143">
        <v>83</v>
      </c>
      <c r="N247" s="144">
        <v>365</v>
      </c>
      <c r="O247" s="145" t="s">
        <v>250</v>
      </c>
      <c r="Q247" s="147">
        <v>21.4</v>
      </c>
      <c r="R247" s="131"/>
    </row>
    <row r="248" ht="24.95" customHeight="1" spans="1:18">
      <c r="A248" s="135" t="s">
        <v>3915</v>
      </c>
      <c r="B248" s="131" t="s">
        <v>3916</v>
      </c>
      <c r="C248" s="136" t="str">
        <f>VLOOKUP(A248,伤害计算器!$V$2:$Y$720,3,FALSE)</f>
        <v>ミルタンク</v>
      </c>
      <c r="D248" s="136" t="str">
        <f>VLOOKUP(A248,伤害计算器!$V$2:$Y$720,4,FALSE)</f>
        <v>Miltank</v>
      </c>
      <c r="E248" s="131" t="s">
        <v>70</v>
      </c>
      <c r="F248" s="131" t="s">
        <v>3612</v>
      </c>
      <c r="G248" s="131" t="s">
        <v>552</v>
      </c>
      <c r="H248" s="138">
        <v>95</v>
      </c>
      <c r="I248" s="139">
        <v>80</v>
      </c>
      <c r="J248" s="140">
        <v>105</v>
      </c>
      <c r="K248" s="141">
        <v>40</v>
      </c>
      <c r="L248" s="142">
        <v>70</v>
      </c>
      <c r="M248" s="143">
        <v>100</v>
      </c>
      <c r="N248" s="144">
        <v>490</v>
      </c>
      <c r="O248" s="145" t="s">
        <v>267</v>
      </c>
      <c r="Q248" s="147">
        <v>75.5</v>
      </c>
      <c r="R248" s="131"/>
    </row>
    <row r="249" ht="24.95" customHeight="1" spans="1:18">
      <c r="A249" s="135" t="s">
        <v>3917</v>
      </c>
      <c r="B249" s="131" t="s">
        <v>3918</v>
      </c>
      <c r="C249" s="136" t="str">
        <f>VLOOKUP(A249,伤害计算器!$V$2:$Y$720,3,FALSE)</f>
        <v>ハピナス</v>
      </c>
      <c r="D249" s="136" t="str">
        <f>VLOOKUP(A249,伤害计算器!$V$2:$Y$720,4,FALSE)</f>
        <v>Blissey</v>
      </c>
      <c r="E249" s="131" t="s">
        <v>3604</v>
      </c>
      <c r="F249" s="131" t="s">
        <v>3605</v>
      </c>
      <c r="G249" s="131" t="s">
        <v>3606</v>
      </c>
      <c r="H249" s="138">
        <v>255</v>
      </c>
      <c r="I249" s="139">
        <v>10</v>
      </c>
      <c r="J249" s="140">
        <v>10</v>
      </c>
      <c r="K249" s="141">
        <v>75</v>
      </c>
      <c r="L249" s="142">
        <v>135</v>
      </c>
      <c r="M249" s="143">
        <v>55</v>
      </c>
      <c r="N249" s="144">
        <v>540</v>
      </c>
      <c r="O249" s="145" t="s">
        <v>267</v>
      </c>
      <c r="Q249" s="147">
        <v>46.8</v>
      </c>
      <c r="R249" s="131"/>
    </row>
    <row r="250" ht="24.95" customHeight="1" spans="1:18">
      <c r="A250" s="135" t="s">
        <v>3919</v>
      </c>
      <c r="B250" s="131" t="s">
        <v>3920</v>
      </c>
      <c r="C250" s="136" t="str">
        <f>VLOOKUP(A250,伤害计算器!$V$2:$Y$720,3,FALSE)</f>
        <v>ライコウ</v>
      </c>
      <c r="D250" s="136" t="str">
        <f>VLOOKUP(A250,伤害计算器!$V$2:$Y$720,4,FALSE)</f>
        <v>Raikou</v>
      </c>
      <c r="E250" s="131" t="s">
        <v>3679</v>
      </c>
      <c r="F250" s="137"/>
      <c r="G250" s="131" t="s">
        <v>611</v>
      </c>
      <c r="H250" s="138">
        <v>90</v>
      </c>
      <c r="I250" s="139">
        <v>85</v>
      </c>
      <c r="J250" s="140">
        <v>75</v>
      </c>
      <c r="K250" s="141">
        <v>115</v>
      </c>
      <c r="L250" s="142">
        <v>100</v>
      </c>
      <c r="M250" s="143">
        <v>115</v>
      </c>
      <c r="N250" s="144">
        <v>580</v>
      </c>
      <c r="O250" s="145" t="s">
        <v>268</v>
      </c>
      <c r="Q250" s="147">
        <v>178</v>
      </c>
      <c r="R250" s="131"/>
    </row>
    <row r="251" ht="24.95" customHeight="1" spans="1:18">
      <c r="A251" s="135" t="s">
        <v>3921</v>
      </c>
      <c r="B251" s="131" t="s">
        <v>3922</v>
      </c>
      <c r="C251" s="136" t="str">
        <f>VLOOKUP(A251,伤害计算器!$V$2:$Y$720,3,FALSE)</f>
        <v>エンテイ</v>
      </c>
      <c r="D251" s="136" t="str">
        <f>VLOOKUP(A251,伤害计算器!$V$2:$Y$720,4,FALSE)</f>
        <v>Entei</v>
      </c>
      <c r="E251" s="131" t="s">
        <v>3679</v>
      </c>
      <c r="F251" s="137"/>
      <c r="G251" s="131" t="s">
        <v>542</v>
      </c>
      <c r="H251" s="138">
        <v>115</v>
      </c>
      <c r="I251" s="139">
        <v>115</v>
      </c>
      <c r="J251" s="140">
        <v>85</v>
      </c>
      <c r="K251" s="141">
        <v>90</v>
      </c>
      <c r="L251" s="142">
        <v>75</v>
      </c>
      <c r="M251" s="143">
        <v>100</v>
      </c>
      <c r="N251" s="144">
        <v>580</v>
      </c>
      <c r="O251" s="145" t="s">
        <v>250</v>
      </c>
      <c r="Q251" s="147">
        <v>198</v>
      </c>
      <c r="R251" s="131"/>
    </row>
    <row r="252" ht="24.95" customHeight="1" spans="1:18">
      <c r="A252" s="135" t="s">
        <v>3923</v>
      </c>
      <c r="B252" s="131" t="s">
        <v>3924</v>
      </c>
      <c r="C252" s="136" t="str">
        <f>VLOOKUP(A252,伤害计算器!$V$2:$Y$720,3,FALSE)</f>
        <v>スイクン</v>
      </c>
      <c r="D252" s="136" t="str">
        <f>VLOOKUP(A252,伤害计算器!$V$2:$Y$720,4,FALSE)</f>
        <v>Suicune</v>
      </c>
      <c r="E252" s="131" t="s">
        <v>3679</v>
      </c>
      <c r="F252" s="137"/>
      <c r="G252" s="131" t="s">
        <v>533</v>
      </c>
      <c r="H252" s="138">
        <v>100</v>
      </c>
      <c r="I252" s="139">
        <v>75</v>
      </c>
      <c r="J252" s="140">
        <v>115</v>
      </c>
      <c r="K252" s="141">
        <v>90</v>
      </c>
      <c r="L252" s="142">
        <v>115</v>
      </c>
      <c r="M252" s="143">
        <v>85</v>
      </c>
      <c r="N252" s="144">
        <v>580</v>
      </c>
      <c r="O252" s="145" t="s">
        <v>251</v>
      </c>
      <c r="Q252" s="147">
        <v>187</v>
      </c>
      <c r="R252" s="131"/>
    </row>
    <row r="253" ht="24.95" customHeight="1" spans="1:18">
      <c r="A253" s="135" t="s">
        <v>3925</v>
      </c>
      <c r="B253" s="131" t="s">
        <v>3926</v>
      </c>
      <c r="C253" s="136" t="str">
        <f>VLOOKUP(A253,伤害计算器!$V$2:$Y$720,3,FALSE)</f>
        <v>ヨーギラス</v>
      </c>
      <c r="D253" s="136" t="str">
        <f>VLOOKUP(A253,伤害计算器!$V$2:$Y$720,4,FALSE)</f>
        <v>Larvitar</v>
      </c>
      <c r="E253" s="131" t="s">
        <v>57</v>
      </c>
      <c r="F253" s="137"/>
      <c r="G253" s="131" t="s">
        <v>80</v>
      </c>
      <c r="H253" s="138">
        <v>50</v>
      </c>
      <c r="I253" s="139">
        <v>64</v>
      </c>
      <c r="J253" s="140">
        <v>50</v>
      </c>
      <c r="K253" s="141">
        <v>45</v>
      </c>
      <c r="L253" s="142">
        <v>50</v>
      </c>
      <c r="M253" s="143">
        <v>41</v>
      </c>
      <c r="N253" s="144">
        <v>300</v>
      </c>
      <c r="O253" s="145" t="s">
        <v>252</v>
      </c>
      <c r="P253" s="133" t="s">
        <v>237</v>
      </c>
      <c r="Q253" s="147">
        <v>72</v>
      </c>
      <c r="R253" s="131"/>
    </row>
    <row r="254" ht="24.95" customHeight="1" spans="1:18">
      <c r="A254" s="135" t="s">
        <v>3927</v>
      </c>
      <c r="B254" s="131" t="s">
        <v>3928</v>
      </c>
      <c r="C254" s="136" t="str">
        <f>VLOOKUP(A254,伤害计算器!$V$2:$Y$720,3,FALSE)</f>
        <v>サナギラス</v>
      </c>
      <c r="D254" s="136" t="str">
        <f>VLOOKUP(A254,伤害计算器!$V$2:$Y$720,4,FALSE)</f>
        <v>Pupitar</v>
      </c>
      <c r="E254" s="131" t="s">
        <v>3323</v>
      </c>
      <c r="F254" s="137"/>
      <c r="G254" s="131" t="s">
        <v>3323</v>
      </c>
      <c r="H254" s="138">
        <v>70</v>
      </c>
      <c r="I254" s="139">
        <v>84</v>
      </c>
      <c r="J254" s="140">
        <v>70</v>
      </c>
      <c r="K254" s="141">
        <v>65</v>
      </c>
      <c r="L254" s="142">
        <v>70</v>
      </c>
      <c r="M254" s="143">
        <v>51</v>
      </c>
      <c r="N254" s="144">
        <v>410</v>
      </c>
      <c r="O254" s="145" t="s">
        <v>252</v>
      </c>
      <c r="P254" s="133" t="s">
        <v>237</v>
      </c>
      <c r="Q254" s="147">
        <v>152</v>
      </c>
      <c r="R254" s="131"/>
    </row>
    <row r="255" ht="24.95" customHeight="1" spans="1:18">
      <c r="A255" s="135" t="s">
        <v>3929</v>
      </c>
      <c r="B255" s="131" t="s">
        <v>3930</v>
      </c>
      <c r="C255" s="136" t="str">
        <f>VLOOKUP(A255,伤害计算器!$V$2:$Y$720,3,FALSE)</f>
        <v>バンギラス</v>
      </c>
      <c r="D255" s="136" t="str">
        <f>VLOOKUP(A255,伤害计算器!$V$2:$Y$720,4,FALSE)</f>
        <v>Tyranitar</v>
      </c>
      <c r="E255" s="131" t="s">
        <v>3931</v>
      </c>
      <c r="F255" s="137"/>
      <c r="G255" s="131" t="s">
        <v>3355</v>
      </c>
      <c r="H255" s="138">
        <v>100</v>
      </c>
      <c r="I255" s="139">
        <v>134</v>
      </c>
      <c r="J255" s="140">
        <v>110</v>
      </c>
      <c r="K255" s="141">
        <v>95</v>
      </c>
      <c r="L255" s="142">
        <v>100</v>
      </c>
      <c r="M255" s="143">
        <v>61</v>
      </c>
      <c r="N255" s="144">
        <v>600</v>
      </c>
      <c r="O255" s="145" t="s">
        <v>252</v>
      </c>
      <c r="P255" s="133" t="s">
        <v>275</v>
      </c>
      <c r="Q255" s="147">
        <v>202</v>
      </c>
      <c r="R255" s="131"/>
    </row>
    <row r="256" ht="24.95" customHeight="1" spans="1:18">
      <c r="A256" s="135" t="s">
        <v>3929</v>
      </c>
      <c r="B256" s="131" t="s">
        <v>3932</v>
      </c>
      <c r="C256" s="136" t="str">
        <f>VLOOKUP(A256,伤害计算器!$V$2:$Y$720,3,FALSE)</f>
        <v>バンギラス</v>
      </c>
      <c r="D256" s="136" t="str">
        <f>VLOOKUP(A256,伤害计算器!$V$2:$Y$720,4,FALSE)</f>
        <v>Tyranitar</v>
      </c>
      <c r="E256" s="131" t="s">
        <v>3931</v>
      </c>
      <c r="F256" s="137"/>
      <c r="G256" s="131" t="s">
        <v>3931</v>
      </c>
      <c r="H256" s="138">
        <v>100</v>
      </c>
      <c r="I256" s="139">
        <v>164</v>
      </c>
      <c r="J256" s="140">
        <v>150</v>
      </c>
      <c r="K256" s="141">
        <v>95</v>
      </c>
      <c r="L256" s="142">
        <v>120</v>
      </c>
      <c r="M256" s="143">
        <v>71</v>
      </c>
      <c r="N256" s="144">
        <v>700</v>
      </c>
      <c r="O256" s="145" t="s">
        <v>252</v>
      </c>
      <c r="P256" s="133" t="s">
        <v>275</v>
      </c>
      <c r="Q256" s="147">
        <v>255</v>
      </c>
      <c r="R256" s="131"/>
    </row>
    <row r="257" ht="24.95" customHeight="1" spans="1:18">
      <c r="A257" s="135" t="s">
        <v>3933</v>
      </c>
      <c r="B257" s="131" t="s">
        <v>3934</v>
      </c>
      <c r="C257" s="136" t="str">
        <f>VLOOKUP(A257,伤害计算器!$V$2:$Y$720,3,FALSE)</f>
        <v>ルギア</v>
      </c>
      <c r="D257" s="136" t="str">
        <f>VLOOKUP(A257,伤害计算器!$V$2:$Y$720,4,FALSE)</f>
        <v>Lugia</v>
      </c>
      <c r="E257" s="131" t="s">
        <v>3679</v>
      </c>
      <c r="F257" s="137"/>
      <c r="G257" s="131" t="s">
        <v>75</v>
      </c>
      <c r="H257" s="138">
        <v>106</v>
      </c>
      <c r="I257" s="139">
        <v>90</v>
      </c>
      <c r="J257" s="140">
        <v>130</v>
      </c>
      <c r="K257" s="141">
        <v>90</v>
      </c>
      <c r="L257" s="142">
        <v>154</v>
      </c>
      <c r="M257" s="143">
        <v>110</v>
      </c>
      <c r="N257" s="144">
        <v>680</v>
      </c>
      <c r="O257" s="145" t="s">
        <v>271</v>
      </c>
      <c r="P257" s="133" t="s">
        <v>99</v>
      </c>
      <c r="Q257" s="147">
        <v>216</v>
      </c>
      <c r="R257" s="131"/>
    </row>
    <row r="258" ht="24.95" customHeight="1" spans="1:18">
      <c r="A258" s="135" t="s">
        <v>3935</v>
      </c>
      <c r="B258" s="131" t="s">
        <v>3936</v>
      </c>
      <c r="C258" s="136" t="str">
        <f>VLOOKUP(A258,伤害计算器!$V$2:$Y$720,3,FALSE)</f>
        <v>ホウオウ</v>
      </c>
      <c r="D258" s="136" t="str">
        <f>VLOOKUP(A258,伤害计算器!$V$2:$Y$720,4,FALSE)</f>
        <v>Ho-Oh</v>
      </c>
      <c r="E258" s="131" t="s">
        <v>3679</v>
      </c>
      <c r="F258" s="137"/>
      <c r="G258" s="131" t="s">
        <v>3515</v>
      </c>
      <c r="H258" s="138">
        <v>106</v>
      </c>
      <c r="I258" s="139">
        <v>130</v>
      </c>
      <c r="J258" s="140">
        <v>90</v>
      </c>
      <c r="K258" s="141">
        <v>110</v>
      </c>
      <c r="L258" s="142">
        <v>154</v>
      </c>
      <c r="M258" s="143">
        <v>90</v>
      </c>
      <c r="N258" s="144">
        <v>680</v>
      </c>
      <c r="O258" s="145" t="s">
        <v>250</v>
      </c>
      <c r="P258" s="133" t="s">
        <v>99</v>
      </c>
      <c r="Q258" s="147">
        <v>199</v>
      </c>
      <c r="R258" s="131"/>
    </row>
    <row r="259" ht="24.95" customHeight="1" spans="1:18">
      <c r="A259" s="135" t="s">
        <v>3937</v>
      </c>
      <c r="B259" s="131" t="s">
        <v>3938</v>
      </c>
      <c r="C259" s="136" t="str">
        <f>VLOOKUP(A259,伤害计算器!$V$2:$Y$720,3,FALSE)</f>
        <v>セレビィ</v>
      </c>
      <c r="D259" s="136" t="str">
        <f>VLOOKUP(A259,伤害计算器!$V$2:$Y$720,4,FALSE)</f>
        <v>Celebi</v>
      </c>
      <c r="E259" s="131" t="s">
        <v>3604</v>
      </c>
      <c r="F259" s="137"/>
      <c r="G259" s="137"/>
      <c r="H259" s="138">
        <v>100</v>
      </c>
      <c r="I259" s="139">
        <v>100</v>
      </c>
      <c r="J259" s="140">
        <v>100</v>
      </c>
      <c r="K259" s="141">
        <v>100</v>
      </c>
      <c r="L259" s="142">
        <v>100</v>
      </c>
      <c r="M259" s="143">
        <v>100</v>
      </c>
      <c r="N259" s="144">
        <v>600</v>
      </c>
      <c r="O259" s="145" t="s">
        <v>271</v>
      </c>
      <c r="P259" s="133" t="s">
        <v>235</v>
      </c>
      <c r="Q259" s="147">
        <v>5</v>
      </c>
      <c r="R259" s="131"/>
    </row>
    <row r="260" ht="24.95" customHeight="1" spans="1:18">
      <c r="A260" s="135" t="s">
        <v>3939</v>
      </c>
      <c r="B260" s="131" t="s">
        <v>3940</v>
      </c>
      <c r="C260" s="136" t="str">
        <f>VLOOKUP(A260,伤害计算器!$V$2:$Y$720,3,FALSE)</f>
        <v>キモリ</v>
      </c>
      <c r="D260" s="136" t="str">
        <f>VLOOKUP(A260,伤害计算器!$V$2:$Y$720,4,FALSE)</f>
        <v>Treecko</v>
      </c>
      <c r="E260" s="131" t="s">
        <v>53</v>
      </c>
      <c r="F260" s="137"/>
      <c r="G260" s="131" t="s">
        <v>3941</v>
      </c>
      <c r="H260" s="138">
        <v>40</v>
      </c>
      <c r="I260" s="139">
        <v>45</v>
      </c>
      <c r="J260" s="140">
        <v>35</v>
      </c>
      <c r="K260" s="141">
        <v>65</v>
      </c>
      <c r="L260" s="142">
        <v>55</v>
      </c>
      <c r="M260" s="143">
        <v>70</v>
      </c>
      <c r="N260" s="144">
        <v>310</v>
      </c>
      <c r="O260" s="145" t="s">
        <v>235</v>
      </c>
      <c r="Q260" s="147">
        <v>5</v>
      </c>
      <c r="R260" s="131"/>
    </row>
    <row r="261" ht="24.95" customHeight="1" spans="1:18">
      <c r="A261" s="135" t="s">
        <v>3942</v>
      </c>
      <c r="B261" s="131" t="s">
        <v>3943</v>
      </c>
      <c r="C261" s="136" t="str">
        <f>VLOOKUP(A261,伤害计算器!$V$2:$Y$720,3,FALSE)</f>
        <v>ジュプトル</v>
      </c>
      <c r="D261" s="136" t="str">
        <f>VLOOKUP(A261,伤害计算器!$V$2:$Y$720,4,FALSE)</f>
        <v>Grovyle</v>
      </c>
      <c r="E261" s="131" t="s">
        <v>53</v>
      </c>
      <c r="F261" s="137"/>
      <c r="G261" s="131" t="s">
        <v>3941</v>
      </c>
      <c r="H261" s="138">
        <v>50</v>
      </c>
      <c r="I261" s="139">
        <v>65</v>
      </c>
      <c r="J261" s="140">
        <v>45</v>
      </c>
      <c r="K261" s="141">
        <v>85</v>
      </c>
      <c r="L261" s="142">
        <v>65</v>
      </c>
      <c r="M261" s="143">
        <v>95</v>
      </c>
      <c r="N261" s="144">
        <v>405</v>
      </c>
      <c r="O261" s="145" t="s">
        <v>235</v>
      </c>
      <c r="Q261" s="147">
        <v>21.6</v>
      </c>
      <c r="R261" s="131"/>
    </row>
    <row r="262" ht="24.95" customHeight="1" spans="1:18">
      <c r="A262" s="135" t="s">
        <v>3944</v>
      </c>
      <c r="B262" s="131" t="s">
        <v>3945</v>
      </c>
      <c r="C262" s="136" t="str">
        <f>VLOOKUP(A262,伤害计算器!$V$2:$Y$720,3,FALSE)</f>
        <v>ジュカイン</v>
      </c>
      <c r="D262" s="136" t="str">
        <f>VLOOKUP(A262,伤害计算器!$V$2:$Y$720,4,FALSE)</f>
        <v>Sceptile</v>
      </c>
      <c r="E262" s="131" t="s">
        <v>53</v>
      </c>
      <c r="F262" s="137"/>
      <c r="G262" s="131" t="s">
        <v>3589</v>
      </c>
      <c r="H262" s="138">
        <v>70</v>
      </c>
      <c r="I262" s="139">
        <v>85</v>
      </c>
      <c r="J262" s="140">
        <v>65</v>
      </c>
      <c r="K262" s="141">
        <v>105</v>
      </c>
      <c r="L262" s="142">
        <v>85</v>
      </c>
      <c r="M262" s="143">
        <v>120</v>
      </c>
      <c r="N262" s="144">
        <v>530</v>
      </c>
      <c r="O262" s="145" t="s">
        <v>235</v>
      </c>
      <c r="Q262" s="147">
        <v>52.2</v>
      </c>
      <c r="R262" s="131"/>
    </row>
    <row r="263" ht="24.95" customHeight="1" spans="1:18">
      <c r="A263" s="135" t="s">
        <v>3944</v>
      </c>
      <c r="B263" s="147" t="s">
        <v>3946</v>
      </c>
      <c r="C263" s="136" t="str">
        <f>VLOOKUP(A263,伤害计算器!$V$2:$Y$720,3,FALSE)</f>
        <v>ジュカイン</v>
      </c>
      <c r="D263" s="136" t="str">
        <f>VLOOKUP(A263,伤害计算器!$V$2:$Y$720,4,FALSE)</f>
        <v>Sceptile</v>
      </c>
      <c r="E263" s="147" t="s">
        <v>562</v>
      </c>
      <c r="F263" s="137"/>
      <c r="G263" s="136" t="s">
        <v>562</v>
      </c>
      <c r="H263" s="138">
        <v>70</v>
      </c>
      <c r="I263" s="139">
        <v>110</v>
      </c>
      <c r="J263" s="140">
        <v>75</v>
      </c>
      <c r="K263" s="141">
        <v>145</v>
      </c>
      <c r="L263" s="142">
        <v>85</v>
      </c>
      <c r="M263" s="143">
        <v>145</v>
      </c>
      <c r="N263" s="144">
        <v>630</v>
      </c>
      <c r="O263" s="145" t="s">
        <v>235</v>
      </c>
      <c r="P263" s="133" t="s">
        <v>274</v>
      </c>
      <c r="Q263" s="147">
        <v>55.2</v>
      </c>
      <c r="R263" s="131"/>
    </row>
    <row r="264" ht="24.95" customHeight="1" spans="1:18">
      <c r="A264" s="135" t="s">
        <v>3947</v>
      </c>
      <c r="B264" s="131" t="s">
        <v>3948</v>
      </c>
      <c r="C264" s="136" t="str">
        <f>VLOOKUP(A264,伤害计算器!$V$2:$Y$720,3,FALSE)</f>
        <v>アチャモ</v>
      </c>
      <c r="D264" s="136" t="str">
        <f>VLOOKUP(A264,伤害计算器!$V$2:$Y$720,4,FALSE)</f>
        <v>Torchic</v>
      </c>
      <c r="E264" s="131" t="s">
        <v>54</v>
      </c>
      <c r="F264" s="137"/>
      <c r="G264" s="131" t="s">
        <v>3949</v>
      </c>
      <c r="H264" s="138">
        <v>45</v>
      </c>
      <c r="I264" s="139">
        <v>60</v>
      </c>
      <c r="J264" s="140">
        <v>40</v>
      </c>
      <c r="K264" s="141">
        <v>70</v>
      </c>
      <c r="L264" s="142">
        <v>50</v>
      </c>
      <c r="M264" s="143">
        <v>45</v>
      </c>
      <c r="N264" s="144">
        <v>310</v>
      </c>
      <c r="O264" s="145" t="s">
        <v>250</v>
      </c>
      <c r="Q264" s="147">
        <v>2.5</v>
      </c>
      <c r="R264" s="131"/>
    </row>
    <row r="265" ht="24.95" customHeight="1" spans="1:18">
      <c r="A265" s="135" t="s">
        <v>3950</v>
      </c>
      <c r="B265" s="131" t="s">
        <v>3951</v>
      </c>
      <c r="C265" s="136" t="str">
        <f>VLOOKUP(A265,伤害计算器!$V$2:$Y$720,3,FALSE)</f>
        <v>ワカシャモ</v>
      </c>
      <c r="D265" s="136" t="str">
        <f>VLOOKUP(A265,伤害计算器!$V$2:$Y$720,4,FALSE)</f>
        <v>Combusken</v>
      </c>
      <c r="E265" s="131" t="s">
        <v>54</v>
      </c>
      <c r="F265" s="137"/>
      <c r="G265" s="131" t="s">
        <v>3800</v>
      </c>
      <c r="H265" s="138">
        <v>60</v>
      </c>
      <c r="I265" s="139">
        <v>85</v>
      </c>
      <c r="J265" s="140">
        <v>60</v>
      </c>
      <c r="K265" s="141">
        <v>85</v>
      </c>
      <c r="L265" s="142">
        <v>60</v>
      </c>
      <c r="M265" s="143">
        <v>55</v>
      </c>
      <c r="N265" s="144">
        <v>405</v>
      </c>
      <c r="O265" s="145" t="s">
        <v>250</v>
      </c>
      <c r="P265" s="133" t="s">
        <v>269</v>
      </c>
      <c r="Q265" s="147">
        <v>19.5</v>
      </c>
      <c r="R265" s="131"/>
    </row>
    <row r="266" ht="24.95" customHeight="1" spans="1:18">
      <c r="A266" s="135" t="s">
        <v>3952</v>
      </c>
      <c r="B266" s="131" t="s">
        <v>3953</v>
      </c>
      <c r="C266" s="136" t="str">
        <f>VLOOKUP(A266,伤害计算器!$V$2:$Y$720,3,FALSE)</f>
        <v>バシャーモ</v>
      </c>
      <c r="D266" s="136" t="str">
        <f>VLOOKUP(A266,伤害计算器!$V$2:$Y$720,4,FALSE)</f>
        <v>Blaziken</v>
      </c>
      <c r="E266" s="131" t="s">
        <v>54</v>
      </c>
      <c r="F266" s="137"/>
      <c r="G266" s="131" t="s">
        <v>3800</v>
      </c>
      <c r="H266" s="138">
        <v>80</v>
      </c>
      <c r="I266" s="139">
        <v>120</v>
      </c>
      <c r="J266" s="140">
        <v>70</v>
      </c>
      <c r="K266" s="141">
        <v>110</v>
      </c>
      <c r="L266" s="142">
        <v>70</v>
      </c>
      <c r="M266" s="143">
        <v>80</v>
      </c>
      <c r="N266" s="144">
        <v>530</v>
      </c>
      <c r="O266" s="145" t="s">
        <v>250</v>
      </c>
      <c r="P266" s="133" t="s">
        <v>269</v>
      </c>
      <c r="Q266" s="147">
        <v>52</v>
      </c>
      <c r="R266" s="131"/>
    </row>
    <row r="267" ht="24.95" customHeight="1" spans="1:18">
      <c r="A267" s="135" t="s">
        <v>3952</v>
      </c>
      <c r="B267" s="131" t="s">
        <v>3954</v>
      </c>
      <c r="C267" s="136" t="str">
        <f>VLOOKUP(A267,伤害计算器!$V$2:$Y$720,3,FALSE)</f>
        <v>バシャーモ</v>
      </c>
      <c r="D267" s="136" t="str">
        <f>VLOOKUP(A267,伤害计算器!$V$2:$Y$720,4,FALSE)</f>
        <v>Blaziken</v>
      </c>
      <c r="E267" s="131" t="s">
        <v>3800</v>
      </c>
      <c r="F267" s="137"/>
      <c r="G267" s="131" t="s">
        <v>3800</v>
      </c>
      <c r="H267" s="138">
        <v>80</v>
      </c>
      <c r="I267" s="139">
        <v>160</v>
      </c>
      <c r="J267" s="140">
        <v>80</v>
      </c>
      <c r="K267" s="141">
        <v>130</v>
      </c>
      <c r="L267" s="142">
        <v>80</v>
      </c>
      <c r="M267" s="143">
        <v>100</v>
      </c>
      <c r="N267" s="144">
        <v>630</v>
      </c>
      <c r="O267" s="145" t="s">
        <v>250</v>
      </c>
      <c r="P267" s="133" t="s">
        <v>269</v>
      </c>
      <c r="Q267" s="133">
        <v>52</v>
      </c>
      <c r="R267" s="131"/>
    </row>
    <row r="268" ht="24.95" customHeight="1" spans="1:18">
      <c r="A268" s="135" t="s">
        <v>3955</v>
      </c>
      <c r="B268" s="131" t="s">
        <v>3956</v>
      </c>
      <c r="C268" s="136" t="str">
        <f>VLOOKUP(A268,伤害计算器!$V$2:$Y$720,3,FALSE)</f>
        <v>ミズゴロウ</v>
      </c>
      <c r="D268" s="136" t="str">
        <f>VLOOKUP(A268,伤害计算器!$V$2:$Y$720,4,FALSE)</f>
        <v>Mudkip</v>
      </c>
      <c r="E268" s="131" t="s">
        <v>55</v>
      </c>
      <c r="F268" s="137"/>
      <c r="G268" s="131" t="s">
        <v>3780</v>
      </c>
      <c r="H268" s="138">
        <v>50</v>
      </c>
      <c r="I268" s="139">
        <v>70</v>
      </c>
      <c r="J268" s="140">
        <v>50</v>
      </c>
      <c r="K268" s="141">
        <v>50</v>
      </c>
      <c r="L268" s="142">
        <v>50</v>
      </c>
      <c r="M268" s="143">
        <v>40</v>
      </c>
      <c r="N268" s="144">
        <v>310</v>
      </c>
      <c r="O268" s="145" t="s">
        <v>251</v>
      </c>
      <c r="Q268" s="147">
        <v>7.6</v>
      </c>
      <c r="R268" s="131"/>
    </row>
    <row r="269" ht="24.95" customHeight="1" spans="1:18">
      <c r="A269" s="135" t="s">
        <v>3957</v>
      </c>
      <c r="B269" s="131" t="s">
        <v>3958</v>
      </c>
      <c r="C269" s="136" t="str">
        <f>VLOOKUP(A269,伤害计算器!$V$2:$Y$720,3,FALSE)</f>
        <v>ヌマクロー</v>
      </c>
      <c r="D269" s="136" t="str">
        <f>VLOOKUP(A269,伤害计算器!$V$2:$Y$720,4,FALSE)</f>
        <v>Marshtomp</v>
      </c>
      <c r="E269" s="131" t="s">
        <v>55</v>
      </c>
      <c r="F269" s="137"/>
      <c r="G269" s="131" t="s">
        <v>3424</v>
      </c>
      <c r="H269" s="138">
        <v>70</v>
      </c>
      <c r="I269" s="139">
        <v>85</v>
      </c>
      <c r="J269" s="140">
        <v>70</v>
      </c>
      <c r="K269" s="141">
        <v>60</v>
      </c>
      <c r="L269" s="142">
        <v>70</v>
      </c>
      <c r="M269" s="143">
        <v>50</v>
      </c>
      <c r="N269" s="144">
        <v>405</v>
      </c>
      <c r="O269" s="145" t="s">
        <v>251</v>
      </c>
      <c r="P269" s="133" t="s">
        <v>237</v>
      </c>
      <c r="Q269" s="147">
        <v>28</v>
      </c>
      <c r="R269" s="131"/>
    </row>
    <row r="270" ht="24.95" customHeight="1" spans="1:18">
      <c r="A270" s="135" t="s">
        <v>3959</v>
      </c>
      <c r="B270" s="131" t="s">
        <v>3960</v>
      </c>
      <c r="C270" s="136" t="str">
        <f>VLOOKUP(A270,伤害计算器!$V$2:$Y$720,3,FALSE)</f>
        <v>ラグラージ</v>
      </c>
      <c r="D270" s="136" t="str">
        <f>VLOOKUP(A270,伤害计算器!$V$2:$Y$720,4,FALSE)</f>
        <v>Swampert</v>
      </c>
      <c r="E270" s="131" t="s">
        <v>55</v>
      </c>
      <c r="F270" s="137"/>
      <c r="G270" s="131" t="s">
        <v>3424</v>
      </c>
      <c r="H270" s="138">
        <v>100</v>
      </c>
      <c r="I270" s="139">
        <v>110</v>
      </c>
      <c r="J270" s="140">
        <v>90</v>
      </c>
      <c r="K270" s="141">
        <v>85</v>
      </c>
      <c r="L270" s="142">
        <v>90</v>
      </c>
      <c r="M270" s="143">
        <v>60</v>
      </c>
      <c r="N270" s="144">
        <v>535</v>
      </c>
      <c r="O270" s="145" t="s">
        <v>251</v>
      </c>
      <c r="P270" s="133" t="s">
        <v>237</v>
      </c>
      <c r="Q270" s="147">
        <v>81.9</v>
      </c>
      <c r="R270" s="131"/>
    </row>
    <row r="271" ht="24.95" customHeight="1" spans="1:18">
      <c r="A271" s="135" t="s">
        <v>3959</v>
      </c>
      <c r="B271" s="147" t="s">
        <v>3961</v>
      </c>
      <c r="C271" s="136" t="str">
        <f>VLOOKUP(A271,伤害计算器!$V$2:$Y$720,3,FALSE)</f>
        <v>ラグラージ</v>
      </c>
      <c r="D271" s="136" t="str">
        <f>VLOOKUP(A271,伤害计算器!$V$2:$Y$720,4,FALSE)</f>
        <v>Swampert</v>
      </c>
      <c r="E271" s="147" t="s">
        <v>3448</v>
      </c>
      <c r="F271" s="137"/>
      <c r="G271" s="136" t="s">
        <v>3448</v>
      </c>
      <c r="H271" s="138">
        <v>100</v>
      </c>
      <c r="I271" s="139">
        <v>150</v>
      </c>
      <c r="J271" s="140">
        <v>110</v>
      </c>
      <c r="K271" s="141">
        <v>95</v>
      </c>
      <c r="L271" s="142">
        <v>110</v>
      </c>
      <c r="M271" s="143">
        <v>70</v>
      </c>
      <c r="N271" s="144">
        <v>635</v>
      </c>
      <c r="O271" s="145" t="s">
        <v>251</v>
      </c>
      <c r="P271" s="133" t="s">
        <v>237</v>
      </c>
      <c r="Q271" s="147">
        <v>102</v>
      </c>
      <c r="R271" s="131"/>
    </row>
    <row r="272" ht="24.95" customHeight="1" spans="1:18">
      <c r="A272" s="135" t="s">
        <v>3962</v>
      </c>
      <c r="B272" s="131" t="s">
        <v>3963</v>
      </c>
      <c r="C272" s="136" t="str">
        <f>VLOOKUP(A272,伤害计算器!$V$2:$Y$720,3,FALSE)</f>
        <v>ポチエナ</v>
      </c>
      <c r="D272" s="136" t="str">
        <f>VLOOKUP(A272,伤害计算器!$V$2:$Y$720,4,FALSE)</f>
        <v>Poochyena</v>
      </c>
      <c r="E272" s="131" t="s">
        <v>3319</v>
      </c>
      <c r="F272" s="131" t="s">
        <v>3843</v>
      </c>
      <c r="G272" s="131" t="s">
        <v>3833</v>
      </c>
      <c r="H272" s="138">
        <v>35</v>
      </c>
      <c r="I272" s="139">
        <v>55</v>
      </c>
      <c r="J272" s="140">
        <v>35</v>
      </c>
      <c r="K272" s="141">
        <v>30</v>
      </c>
      <c r="L272" s="142">
        <v>30</v>
      </c>
      <c r="M272" s="143">
        <v>35</v>
      </c>
      <c r="N272" s="144">
        <v>220</v>
      </c>
      <c r="O272" s="145" t="s">
        <v>275</v>
      </c>
      <c r="Q272" s="147">
        <v>13.6</v>
      </c>
      <c r="R272" s="131"/>
    </row>
    <row r="273" ht="24.95" customHeight="1" spans="1:18">
      <c r="A273" s="135" t="s">
        <v>3964</v>
      </c>
      <c r="B273" s="131" t="s">
        <v>3965</v>
      </c>
      <c r="C273" s="136" t="str">
        <f>VLOOKUP(A273,伤害计算器!$V$2:$Y$720,3,FALSE)</f>
        <v>グラエナ</v>
      </c>
      <c r="D273" s="136" t="str">
        <f>VLOOKUP(A273,伤害计算器!$V$2:$Y$720,4,FALSE)</f>
        <v>Mightyena</v>
      </c>
      <c r="E273" s="131" t="s">
        <v>3354</v>
      </c>
      <c r="F273" s="131" t="s">
        <v>3843</v>
      </c>
      <c r="G273" s="131" t="s">
        <v>3966</v>
      </c>
      <c r="H273" s="138">
        <v>70</v>
      </c>
      <c r="I273" s="139">
        <v>90</v>
      </c>
      <c r="J273" s="140">
        <v>70</v>
      </c>
      <c r="K273" s="141">
        <v>60</v>
      </c>
      <c r="L273" s="142">
        <v>60</v>
      </c>
      <c r="M273" s="143">
        <v>70</v>
      </c>
      <c r="N273" s="144">
        <v>420</v>
      </c>
      <c r="O273" s="145" t="s">
        <v>275</v>
      </c>
      <c r="Q273" s="147">
        <v>37</v>
      </c>
      <c r="R273" s="131"/>
    </row>
    <row r="274" ht="24.95" customHeight="1" spans="1:18">
      <c r="A274" s="135" t="s">
        <v>3967</v>
      </c>
      <c r="B274" s="131" t="s">
        <v>3968</v>
      </c>
      <c r="C274" s="136" t="str">
        <f>VLOOKUP(A274,伤害计算器!$V$2:$Y$720,3,FALSE)</f>
        <v>ジグザグマ</v>
      </c>
      <c r="D274" s="136" t="str">
        <f>VLOOKUP(A274,伤害计算器!$V$2:$Y$720,4,FALSE)</f>
        <v>Zigzagoon</v>
      </c>
      <c r="E274" s="131" t="s">
        <v>3441</v>
      </c>
      <c r="F274" s="131" t="s">
        <v>3486</v>
      </c>
      <c r="G274" s="131" t="s">
        <v>3662</v>
      </c>
      <c r="H274" s="138">
        <v>38</v>
      </c>
      <c r="I274" s="139">
        <v>30</v>
      </c>
      <c r="J274" s="140">
        <v>41</v>
      </c>
      <c r="K274" s="141">
        <v>30</v>
      </c>
      <c r="L274" s="142">
        <v>41</v>
      </c>
      <c r="M274" s="143">
        <v>60</v>
      </c>
      <c r="N274" s="144">
        <v>240</v>
      </c>
      <c r="O274" s="145" t="s">
        <v>267</v>
      </c>
      <c r="Q274" s="147">
        <v>17.5</v>
      </c>
      <c r="R274" s="131"/>
    </row>
    <row r="275" ht="24.95" customHeight="1" spans="1:18">
      <c r="A275" s="135" t="s">
        <v>3969</v>
      </c>
      <c r="B275" s="131" t="s">
        <v>3970</v>
      </c>
      <c r="C275" s="136" t="str">
        <f>VLOOKUP(A275,伤害计算器!$V$2:$Y$720,3,FALSE)</f>
        <v>マッスグマ</v>
      </c>
      <c r="D275" s="136" t="str">
        <f>VLOOKUP(A275,伤害计算器!$V$2:$Y$720,4,FALSE)</f>
        <v>Linoone</v>
      </c>
      <c r="E275" s="131" t="s">
        <v>3441</v>
      </c>
      <c r="F275" s="131" t="s">
        <v>3486</v>
      </c>
      <c r="G275" s="131" t="s">
        <v>3662</v>
      </c>
      <c r="H275" s="138">
        <v>78</v>
      </c>
      <c r="I275" s="139">
        <v>70</v>
      </c>
      <c r="J275" s="140">
        <v>61</v>
      </c>
      <c r="K275" s="141">
        <v>50</v>
      </c>
      <c r="L275" s="142">
        <v>61</v>
      </c>
      <c r="M275" s="143">
        <v>100</v>
      </c>
      <c r="N275" s="144">
        <v>420</v>
      </c>
      <c r="O275" s="145" t="s">
        <v>267</v>
      </c>
      <c r="Q275" s="147">
        <v>32.5</v>
      </c>
      <c r="R275" s="131"/>
    </row>
    <row r="276" ht="24.95" customHeight="1" spans="1:18">
      <c r="A276" s="135" t="s">
        <v>3971</v>
      </c>
      <c r="B276" s="131" t="s">
        <v>3972</v>
      </c>
      <c r="C276" s="136" t="str">
        <f>VLOOKUP(A276,伤害计算器!$V$2:$Y$720,3,FALSE)</f>
        <v>ケムッソ</v>
      </c>
      <c r="D276" s="136" t="str">
        <f>VLOOKUP(A276,伤害计算器!$V$2:$Y$720,4,FALSE)</f>
        <v>Wurmple</v>
      </c>
      <c r="E276" s="131" t="s">
        <v>3318</v>
      </c>
      <c r="F276" s="137"/>
      <c r="G276" s="131" t="s">
        <v>3319</v>
      </c>
      <c r="H276" s="138">
        <v>45</v>
      </c>
      <c r="I276" s="139">
        <v>45</v>
      </c>
      <c r="J276" s="140">
        <v>35</v>
      </c>
      <c r="K276" s="141">
        <v>20</v>
      </c>
      <c r="L276" s="142">
        <v>30</v>
      </c>
      <c r="M276" s="143">
        <v>20</v>
      </c>
      <c r="N276" s="144">
        <v>195</v>
      </c>
      <c r="O276" s="145" t="s">
        <v>272</v>
      </c>
      <c r="Q276" s="147">
        <v>3.6</v>
      </c>
      <c r="R276" s="131"/>
    </row>
    <row r="277" ht="24.95" customHeight="1" spans="1:18">
      <c r="A277" s="135" t="s">
        <v>3973</v>
      </c>
      <c r="B277" s="131" t="s">
        <v>3974</v>
      </c>
      <c r="C277" s="136" t="str">
        <f>VLOOKUP(A277,伤害计算器!$V$2:$Y$720,3,FALSE)</f>
        <v>カラサリス</v>
      </c>
      <c r="D277" s="136" t="str">
        <f>VLOOKUP(A277,伤害计算器!$V$2:$Y$720,4,FALSE)</f>
        <v>Silcoon</v>
      </c>
      <c r="E277" s="131" t="s">
        <v>3323</v>
      </c>
      <c r="F277" s="137"/>
      <c r="G277" s="131" t="s">
        <v>3323</v>
      </c>
      <c r="H277" s="138">
        <v>50</v>
      </c>
      <c r="I277" s="139">
        <v>35</v>
      </c>
      <c r="J277" s="140">
        <v>55</v>
      </c>
      <c r="K277" s="141">
        <v>25</v>
      </c>
      <c r="L277" s="142">
        <v>25</v>
      </c>
      <c r="M277" s="143">
        <v>15</v>
      </c>
      <c r="N277" s="144">
        <v>205</v>
      </c>
      <c r="O277" s="145" t="s">
        <v>272</v>
      </c>
      <c r="Q277" s="147">
        <v>10</v>
      </c>
      <c r="R277" s="131"/>
    </row>
    <row r="278" ht="24.95" customHeight="1" spans="1:18">
      <c r="A278" s="135" t="s">
        <v>3975</v>
      </c>
      <c r="B278" s="131" t="s">
        <v>3976</v>
      </c>
      <c r="C278" s="136" t="str">
        <f>VLOOKUP(A278,伤害计算器!$V$2:$Y$720,3,FALSE)</f>
        <v>アゲハント</v>
      </c>
      <c r="D278" s="136" t="str">
        <f>VLOOKUP(A278,伤害计算器!$V$2:$Y$720,4,FALSE)</f>
        <v>Beautifly</v>
      </c>
      <c r="E278" s="131" t="s">
        <v>3333</v>
      </c>
      <c r="F278" s="137"/>
      <c r="G278" s="131" t="s">
        <v>3381</v>
      </c>
      <c r="H278" s="138">
        <v>60</v>
      </c>
      <c r="I278" s="139">
        <v>70</v>
      </c>
      <c r="J278" s="140">
        <v>50</v>
      </c>
      <c r="K278" s="141">
        <v>90</v>
      </c>
      <c r="L278" s="142">
        <v>50</v>
      </c>
      <c r="M278" s="143">
        <v>65</v>
      </c>
      <c r="N278" s="144">
        <v>385</v>
      </c>
      <c r="O278" s="145" t="s">
        <v>272</v>
      </c>
      <c r="P278" s="133" t="s">
        <v>99</v>
      </c>
      <c r="Q278" s="147">
        <v>28.4</v>
      </c>
      <c r="R278" s="131"/>
    </row>
    <row r="279" ht="24.95" customHeight="1" spans="1:18">
      <c r="A279" s="135" t="s">
        <v>3977</v>
      </c>
      <c r="B279" s="131" t="s">
        <v>3978</v>
      </c>
      <c r="C279" s="136" t="str">
        <f>VLOOKUP(A279,伤害计算器!$V$2:$Y$720,3,FALSE)</f>
        <v>マユルド</v>
      </c>
      <c r="D279" s="136" t="str">
        <f>VLOOKUP(A279,伤害计算器!$V$2:$Y$720,4,FALSE)</f>
        <v>Cascoon</v>
      </c>
      <c r="E279" s="131" t="s">
        <v>3323</v>
      </c>
      <c r="F279" s="137"/>
      <c r="G279" s="131" t="s">
        <v>3323</v>
      </c>
      <c r="H279" s="138">
        <v>50</v>
      </c>
      <c r="I279" s="139">
        <v>35</v>
      </c>
      <c r="J279" s="140">
        <v>55</v>
      </c>
      <c r="K279" s="141">
        <v>25</v>
      </c>
      <c r="L279" s="142">
        <v>25</v>
      </c>
      <c r="M279" s="143">
        <v>15</v>
      </c>
      <c r="N279" s="144">
        <v>205</v>
      </c>
      <c r="O279" s="145" t="s">
        <v>272</v>
      </c>
      <c r="Q279" s="147">
        <v>11.5</v>
      </c>
      <c r="R279" s="131"/>
    </row>
    <row r="280" ht="24.95" customHeight="1" spans="1:18">
      <c r="A280" s="135" t="s">
        <v>3979</v>
      </c>
      <c r="B280" s="131" t="s">
        <v>3980</v>
      </c>
      <c r="C280" s="136" t="str">
        <f>VLOOKUP(A280,伤害计算器!$V$2:$Y$720,3,FALSE)</f>
        <v>ドクケイル</v>
      </c>
      <c r="D280" s="136" t="str">
        <f>VLOOKUP(A280,伤害计算器!$V$2:$Y$720,4,FALSE)</f>
        <v>Dustox</v>
      </c>
      <c r="E280" s="131" t="s">
        <v>3318</v>
      </c>
      <c r="F280" s="137"/>
      <c r="G280" s="131" t="s">
        <v>67</v>
      </c>
      <c r="H280" s="138">
        <v>60</v>
      </c>
      <c r="I280" s="139">
        <v>50</v>
      </c>
      <c r="J280" s="140">
        <v>70</v>
      </c>
      <c r="K280" s="141">
        <v>50</v>
      </c>
      <c r="L280" s="142">
        <v>90</v>
      </c>
      <c r="M280" s="143">
        <v>65</v>
      </c>
      <c r="N280" s="144">
        <v>385</v>
      </c>
      <c r="O280" s="145" t="s">
        <v>272</v>
      </c>
      <c r="P280" s="133" t="s">
        <v>270</v>
      </c>
      <c r="Q280" s="147">
        <v>31.6</v>
      </c>
      <c r="R280" s="131"/>
    </row>
    <row r="281" ht="24.95" customHeight="1" spans="1:18">
      <c r="A281" s="135" t="s">
        <v>3981</v>
      </c>
      <c r="B281" s="131" t="s">
        <v>3982</v>
      </c>
      <c r="C281" s="136" t="str">
        <f>VLOOKUP(A281,伤害计算器!$V$2:$Y$720,3,FALSE)</f>
        <v>ハスボー</v>
      </c>
      <c r="D281" s="136" t="str">
        <f>VLOOKUP(A281,伤害计算器!$V$2:$Y$720,4,FALSE)</f>
        <v>Lotad</v>
      </c>
      <c r="E281" s="131" t="s">
        <v>3448</v>
      </c>
      <c r="F281" s="131" t="s">
        <v>3311</v>
      </c>
      <c r="G281" s="131" t="s">
        <v>3514</v>
      </c>
      <c r="H281" s="138">
        <v>40</v>
      </c>
      <c r="I281" s="139">
        <v>30</v>
      </c>
      <c r="J281" s="140">
        <v>30</v>
      </c>
      <c r="K281" s="141">
        <v>40</v>
      </c>
      <c r="L281" s="142">
        <v>50</v>
      </c>
      <c r="M281" s="143">
        <v>30</v>
      </c>
      <c r="N281" s="144">
        <v>220</v>
      </c>
      <c r="O281" s="145" t="s">
        <v>251</v>
      </c>
      <c r="P281" s="133" t="s">
        <v>235</v>
      </c>
      <c r="Q281" s="147">
        <v>2.6</v>
      </c>
      <c r="R281" s="131"/>
    </row>
    <row r="282" ht="24.95" customHeight="1" spans="1:18">
      <c r="A282" s="135" t="s">
        <v>3983</v>
      </c>
      <c r="B282" s="131" t="s">
        <v>3984</v>
      </c>
      <c r="C282" s="136" t="str">
        <f>VLOOKUP(A282,伤害计算器!$V$2:$Y$720,3,FALSE)</f>
        <v>ハスブレロ</v>
      </c>
      <c r="D282" s="136" t="str">
        <f>VLOOKUP(A282,伤害计算器!$V$2:$Y$720,4,FALSE)</f>
        <v>Lombre</v>
      </c>
      <c r="E282" s="131" t="s">
        <v>3448</v>
      </c>
      <c r="F282" s="131" t="s">
        <v>3311</v>
      </c>
      <c r="G282" s="131" t="s">
        <v>3514</v>
      </c>
      <c r="H282" s="138">
        <v>60</v>
      </c>
      <c r="I282" s="139">
        <v>50</v>
      </c>
      <c r="J282" s="140">
        <v>50</v>
      </c>
      <c r="K282" s="141">
        <v>60</v>
      </c>
      <c r="L282" s="142">
        <v>70</v>
      </c>
      <c r="M282" s="143">
        <v>50</v>
      </c>
      <c r="N282" s="144">
        <v>340</v>
      </c>
      <c r="O282" s="145" t="s">
        <v>251</v>
      </c>
      <c r="P282" s="133" t="s">
        <v>235</v>
      </c>
      <c r="Q282" s="147">
        <v>32.5</v>
      </c>
      <c r="R282" s="131"/>
    </row>
    <row r="283" ht="24.95" customHeight="1" spans="1:18">
      <c r="A283" s="135" t="s">
        <v>3985</v>
      </c>
      <c r="B283" s="131" t="s">
        <v>3986</v>
      </c>
      <c r="C283" s="136" t="str">
        <f>VLOOKUP(A283,伤害计算器!$V$2:$Y$720,3,FALSE)</f>
        <v>ルンパッパ</v>
      </c>
      <c r="D283" s="136" t="str">
        <f>VLOOKUP(A283,伤害计算器!$V$2:$Y$720,4,FALSE)</f>
        <v>Ludicolo</v>
      </c>
      <c r="E283" s="131" t="s">
        <v>3448</v>
      </c>
      <c r="F283" s="131" t="s">
        <v>3311</v>
      </c>
      <c r="G283" s="131" t="s">
        <v>3514</v>
      </c>
      <c r="H283" s="138">
        <v>80</v>
      </c>
      <c r="I283" s="139">
        <v>70</v>
      </c>
      <c r="J283" s="140">
        <v>70</v>
      </c>
      <c r="K283" s="141">
        <v>90</v>
      </c>
      <c r="L283" s="142">
        <v>100</v>
      </c>
      <c r="M283" s="143">
        <v>70</v>
      </c>
      <c r="N283" s="144">
        <v>480</v>
      </c>
      <c r="O283" s="145" t="s">
        <v>251</v>
      </c>
      <c r="P283" s="133" t="s">
        <v>235</v>
      </c>
      <c r="Q283" s="147">
        <v>55</v>
      </c>
      <c r="R283" s="131"/>
    </row>
    <row r="284" ht="24.95" customHeight="1" spans="1:18">
      <c r="A284" s="135" t="s">
        <v>3987</v>
      </c>
      <c r="B284" s="131" t="s">
        <v>3988</v>
      </c>
      <c r="C284" s="136" t="str">
        <f>VLOOKUP(A284,伤害计算器!$V$2:$Y$720,3,FALSE)</f>
        <v>タネボー</v>
      </c>
      <c r="D284" s="136" t="str">
        <f>VLOOKUP(A284,伤害计算器!$V$2:$Y$720,4,FALSE)</f>
        <v>Seedot</v>
      </c>
      <c r="E284" s="131" t="s">
        <v>3296</v>
      </c>
      <c r="F284" s="131" t="s">
        <v>3795</v>
      </c>
      <c r="G284" s="131" t="s">
        <v>3989</v>
      </c>
      <c r="H284" s="138">
        <v>40</v>
      </c>
      <c r="I284" s="139">
        <v>40</v>
      </c>
      <c r="J284" s="140">
        <v>50</v>
      </c>
      <c r="K284" s="141">
        <v>30</v>
      </c>
      <c r="L284" s="142">
        <v>30</v>
      </c>
      <c r="M284" s="143">
        <v>30</v>
      </c>
      <c r="N284" s="144">
        <v>220</v>
      </c>
      <c r="O284" s="145" t="s">
        <v>235</v>
      </c>
      <c r="Q284" s="147">
        <v>4</v>
      </c>
      <c r="R284" s="131"/>
    </row>
    <row r="285" ht="24.95" customHeight="1" spans="1:18">
      <c r="A285" s="135" t="s">
        <v>3990</v>
      </c>
      <c r="B285" s="131" t="s">
        <v>3991</v>
      </c>
      <c r="C285" s="136" t="str">
        <f>VLOOKUP(A285,伤害计算器!$V$2:$Y$720,3,FALSE)</f>
        <v>コノハナ</v>
      </c>
      <c r="D285" s="136" t="str">
        <f>VLOOKUP(A285,伤害计算器!$V$2:$Y$720,4,FALSE)</f>
        <v>Nuzleaf</v>
      </c>
      <c r="E285" s="131" t="s">
        <v>3296</v>
      </c>
      <c r="F285" s="131" t="s">
        <v>3527</v>
      </c>
      <c r="G285" s="131" t="s">
        <v>3858</v>
      </c>
      <c r="H285" s="138">
        <v>70</v>
      </c>
      <c r="I285" s="139">
        <v>70</v>
      </c>
      <c r="J285" s="140">
        <v>40</v>
      </c>
      <c r="K285" s="141">
        <v>60</v>
      </c>
      <c r="L285" s="142">
        <v>40</v>
      </c>
      <c r="M285" s="143">
        <v>60</v>
      </c>
      <c r="N285" s="144">
        <v>340</v>
      </c>
      <c r="O285" s="145" t="s">
        <v>235</v>
      </c>
      <c r="P285" s="133" t="s">
        <v>275</v>
      </c>
      <c r="Q285" s="147">
        <v>28</v>
      </c>
      <c r="R285" s="131"/>
    </row>
    <row r="286" ht="24.95" customHeight="1" spans="1:18">
      <c r="A286" s="135" t="s">
        <v>3992</v>
      </c>
      <c r="B286" s="131" t="s">
        <v>3993</v>
      </c>
      <c r="C286" s="136" t="str">
        <f>VLOOKUP(A286,伤害计算器!$V$2:$Y$720,3,FALSE)</f>
        <v>ダーテング</v>
      </c>
      <c r="D286" s="136" t="str">
        <f>VLOOKUP(A286,伤害计算器!$V$2:$Y$720,4,FALSE)</f>
        <v>Shiftry</v>
      </c>
      <c r="E286" s="131" t="s">
        <v>3296</v>
      </c>
      <c r="F286" s="131" t="s">
        <v>3527</v>
      </c>
      <c r="G286" s="131" t="s">
        <v>3858</v>
      </c>
      <c r="H286" s="138">
        <v>90</v>
      </c>
      <c r="I286" s="139">
        <v>100</v>
      </c>
      <c r="J286" s="140">
        <v>60</v>
      </c>
      <c r="K286" s="141">
        <v>90</v>
      </c>
      <c r="L286" s="142">
        <v>60</v>
      </c>
      <c r="M286" s="143">
        <v>80</v>
      </c>
      <c r="N286" s="144">
        <v>480</v>
      </c>
      <c r="O286" s="145" t="s">
        <v>235</v>
      </c>
      <c r="P286" s="133" t="s">
        <v>275</v>
      </c>
      <c r="Q286" s="147">
        <v>59.6</v>
      </c>
      <c r="R286" s="131"/>
    </row>
    <row r="287" ht="24.95" customHeight="1" spans="1:18">
      <c r="A287" s="135" t="s">
        <v>3994</v>
      </c>
      <c r="B287" s="131" t="s">
        <v>3995</v>
      </c>
      <c r="C287" s="136" t="str">
        <f>VLOOKUP(A287,伤害计算器!$V$2:$Y$720,3,FALSE)</f>
        <v>スバメ</v>
      </c>
      <c r="D287" s="136" t="str">
        <f>VLOOKUP(A287,伤害计算器!$V$2:$Y$720,4,FALSE)</f>
        <v>Taillow</v>
      </c>
      <c r="E287" s="131" t="s">
        <v>57</v>
      </c>
      <c r="F287" s="137"/>
      <c r="G287" s="131" t="s">
        <v>3612</v>
      </c>
      <c r="H287" s="138">
        <v>40</v>
      </c>
      <c r="I287" s="139">
        <v>55</v>
      </c>
      <c r="J287" s="140">
        <v>30</v>
      </c>
      <c r="K287" s="141">
        <v>30</v>
      </c>
      <c r="L287" s="142">
        <v>30</v>
      </c>
      <c r="M287" s="143">
        <v>85</v>
      </c>
      <c r="N287" s="144">
        <v>270</v>
      </c>
      <c r="O287" s="145" t="s">
        <v>267</v>
      </c>
      <c r="P287" s="133" t="s">
        <v>99</v>
      </c>
      <c r="Q287" s="147">
        <v>2.3</v>
      </c>
      <c r="R287" s="131"/>
    </row>
    <row r="288" ht="24.95" customHeight="1" spans="1:18">
      <c r="A288" s="135" t="s">
        <v>3996</v>
      </c>
      <c r="B288" s="131" t="s">
        <v>3997</v>
      </c>
      <c r="C288" s="136" t="str">
        <f>VLOOKUP(A288,伤害计算器!$V$2:$Y$720,3,FALSE)</f>
        <v>オオスバメ</v>
      </c>
      <c r="D288" s="136" t="str">
        <f>VLOOKUP(A288,伤害计算器!$V$2:$Y$720,4,FALSE)</f>
        <v>Swellow</v>
      </c>
      <c r="E288" s="131" t="s">
        <v>57</v>
      </c>
      <c r="F288" s="137"/>
      <c r="G288" s="131" t="s">
        <v>3612</v>
      </c>
      <c r="H288" s="138">
        <v>60</v>
      </c>
      <c r="I288" s="139">
        <v>85</v>
      </c>
      <c r="J288" s="140">
        <v>60</v>
      </c>
      <c r="K288" s="141">
        <v>50</v>
      </c>
      <c r="L288" s="142">
        <v>50</v>
      </c>
      <c r="M288" s="143">
        <v>125</v>
      </c>
      <c r="N288" s="144">
        <v>430</v>
      </c>
      <c r="O288" s="145" t="s">
        <v>267</v>
      </c>
      <c r="P288" s="133" t="s">
        <v>99</v>
      </c>
      <c r="Q288" s="147">
        <v>19.8</v>
      </c>
      <c r="R288" s="131"/>
    </row>
    <row r="289" ht="24.95" customHeight="1" spans="1:18">
      <c r="A289" s="135" t="s">
        <v>3998</v>
      </c>
      <c r="B289" s="131" t="s">
        <v>3999</v>
      </c>
      <c r="C289" s="136" t="str">
        <f>VLOOKUP(A289,伤害计算器!$V$2:$Y$720,3,FALSE)</f>
        <v>キャモメ</v>
      </c>
      <c r="D289" s="136" t="str">
        <f>VLOOKUP(A289,伤害计算器!$V$2:$Y$720,4,FALSE)</f>
        <v>Wingull</v>
      </c>
      <c r="E289" s="131" t="s">
        <v>3336</v>
      </c>
      <c r="F289" s="137"/>
      <c r="G289" s="131" t="s">
        <v>3311</v>
      </c>
      <c r="H289" s="138">
        <v>40</v>
      </c>
      <c r="I289" s="139">
        <v>30</v>
      </c>
      <c r="J289" s="140">
        <v>30</v>
      </c>
      <c r="K289" s="141">
        <v>55</v>
      </c>
      <c r="L289" s="142">
        <v>30</v>
      </c>
      <c r="M289" s="143">
        <v>85</v>
      </c>
      <c r="N289" s="144">
        <v>270</v>
      </c>
      <c r="O289" s="145" t="s">
        <v>251</v>
      </c>
      <c r="P289" s="133" t="s">
        <v>99</v>
      </c>
      <c r="Q289" s="147">
        <v>9.5</v>
      </c>
      <c r="R289" s="131"/>
    </row>
    <row r="290" ht="24.95" customHeight="1" spans="1:18">
      <c r="A290" s="135" t="s">
        <v>4000</v>
      </c>
      <c r="B290" s="131" t="s">
        <v>4001</v>
      </c>
      <c r="C290" s="136" t="str">
        <f>VLOOKUP(A290,伤害计算器!$V$2:$Y$720,3,FALSE)</f>
        <v>ペリッパー</v>
      </c>
      <c r="D290" s="136" t="str">
        <f>VLOOKUP(A290,伤害计算器!$V$2:$Y$720,4,FALSE)</f>
        <v>Pelipper</v>
      </c>
      <c r="E290" s="131" t="s">
        <v>3336</v>
      </c>
      <c r="F290" s="137"/>
      <c r="G290" s="131" t="s">
        <v>3311</v>
      </c>
      <c r="H290" s="138">
        <v>60</v>
      </c>
      <c r="I290" s="139">
        <v>50</v>
      </c>
      <c r="J290" s="140">
        <v>100</v>
      </c>
      <c r="K290" s="141">
        <v>85</v>
      </c>
      <c r="L290" s="142">
        <v>70</v>
      </c>
      <c r="M290" s="143">
        <v>65</v>
      </c>
      <c r="N290" s="144">
        <v>430</v>
      </c>
      <c r="O290" s="145" t="s">
        <v>251</v>
      </c>
      <c r="P290" s="133" t="s">
        <v>99</v>
      </c>
      <c r="Q290" s="147">
        <v>28</v>
      </c>
      <c r="R290" s="131"/>
    </row>
    <row r="291" ht="24.95" customHeight="1" spans="1:18">
      <c r="A291" s="135" t="s">
        <v>4002</v>
      </c>
      <c r="B291" s="131" t="s">
        <v>4003</v>
      </c>
      <c r="C291" s="136" t="str">
        <f>VLOOKUP(A291,伤害计算器!$V$2:$Y$720,3,FALSE)</f>
        <v>ラルトス</v>
      </c>
      <c r="D291" s="136" t="str">
        <f>VLOOKUP(A291,伤害计算器!$V$2:$Y$720,4,FALSE)</f>
        <v>Ralts</v>
      </c>
      <c r="E291" s="131" t="s">
        <v>3471</v>
      </c>
      <c r="F291" s="131" t="s">
        <v>3667</v>
      </c>
      <c r="G291" s="131" t="s">
        <v>3822</v>
      </c>
      <c r="H291" s="138">
        <v>28</v>
      </c>
      <c r="I291" s="139">
        <v>25</v>
      </c>
      <c r="J291" s="140">
        <v>25</v>
      </c>
      <c r="K291" s="141">
        <v>45</v>
      </c>
      <c r="L291" s="142">
        <v>35</v>
      </c>
      <c r="M291" s="143">
        <v>40</v>
      </c>
      <c r="N291" s="144">
        <v>198</v>
      </c>
      <c r="O291" s="145" t="s">
        <v>271</v>
      </c>
      <c r="P291" s="133" t="s">
        <v>98</v>
      </c>
      <c r="Q291" s="147">
        <v>6.6</v>
      </c>
      <c r="R291" s="131"/>
    </row>
    <row r="292" ht="24.95" customHeight="1" spans="1:18">
      <c r="A292" s="135" t="s">
        <v>4004</v>
      </c>
      <c r="B292" s="131" t="s">
        <v>4005</v>
      </c>
      <c r="C292" s="136" t="str">
        <f>VLOOKUP(A292,伤害计算器!$V$2:$Y$720,3,FALSE)</f>
        <v>キルリア</v>
      </c>
      <c r="D292" s="136" t="str">
        <f>VLOOKUP(A292,伤害计算器!$V$2:$Y$720,4,FALSE)</f>
        <v>Kirlia</v>
      </c>
      <c r="E292" s="131" t="s">
        <v>3471</v>
      </c>
      <c r="F292" s="131" t="s">
        <v>3667</v>
      </c>
      <c r="G292" s="131" t="s">
        <v>3822</v>
      </c>
      <c r="H292" s="138">
        <v>38</v>
      </c>
      <c r="I292" s="139">
        <v>35</v>
      </c>
      <c r="J292" s="140">
        <v>35</v>
      </c>
      <c r="K292" s="141">
        <v>65</v>
      </c>
      <c r="L292" s="142">
        <v>55</v>
      </c>
      <c r="M292" s="143">
        <v>50</v>
      </c>
      <c r="N292" s="144">
        <v>278</v>
      </c>
      <c r="O292" s="145" t="s">
        <v>271</v>
      </c>
      <c r="P292" s="133" t="s">
        <v>98</v>
      </c>
      <c r="Q292" s="147">
        <v>20.2</v>
      </c>
      <c r="R292" s="131"/>
    </row>
    <row r="293" ht="24.95" customHeight="1" spans="1:18">
      <c r="A293" s="135" t="s">
        <v>4006</v>
      </c>
      <c r="B293" s="131" t="s">
        <v>4007</v>
      </c>
      <c r="C293" s="136" t="str">
        <f>VLOOKUP(A293,伤害计算器!$V$2:$Y$720,3,FALSE)</f>
        <v>サーナイト</v>
      </c>
      <c r="D293" s="136" t="str">
        <f>VLOOKUP(A293,伤害计算器!$V$2:$Y$720,4,FALSE)</f>
        <v>Gardevoir</v>
      </c>
      <c r="E293" s="131" t="s">
        <v>3471</v>
      </c>
      <c r="F293" s="131" t="s">
        <v>3667</v>
      </c>
      <c r="G293" s="131" t="s">
        <v>3822</v>
      </c>
      <c r="H293" s="138">
        <v>68</v>
      </c>
      <c r="I293" s="139">
        <v>65</v>
      </c>
      <c r="J293" s="140">
        <v>65</v>
      </c>
      <c r="K293" s="141">
        <v>125</v>
      </c>
      <c r="L293" s="142">
        <v>115</v>
      </c>
      <c r="M293" s="143">
        <v>80</v>
      </c>
      <c r="N293" s="144">
        <v>518</v>
      </c>
      <c r="O293" s="145" t="s">
        <v>271</v>
      </c>
      <c r="P293" s="133" t="s">
        <v>98</v>
      </c>
      <c r="Q293" s="147">
        <v>48.4</v>
      </c>
      <c r="R293" s="131"/>
    </row>
    <row r="294" ht="24.95" customHeight="1" spans="1:18">
      <c r="A294" s="135" t="s">
        <v>4006</v>
      </c>
      <c r="B294" s="131" t="s">
        <v>4008</v>
      </c>
      <c r="C294" s="136" t="str">
        <f>VLOOKUP(A294,伤害计算器!$V$2:$Y$720,3,FALSE)</f>
        <v>サーナイト</v>
      </c>
      <c r="D294" s="136" t="str">
        <f>VLOOKUP(A294,伤害计算器!$V$2:$Y$720,4,FALSE)</f>
        <v>Gardevoir</v>
      </c>
      <c r="E294" s="131" t="s">
        <v>50</v>
      </c>
      <c r="F294" s="137"/>
      <c r="G294" s="131" t="s">
        <v>50</v>
      </c>
      <c r="H294" s="138">
        <v>68</v>
      </c>
      <c r="I294" s="139">
        <v>85</v>
      </c>
      <c r="J294" s="140">
        <v>65</v>
      </c>
      <c r="K294" s="141">
        <v>165</v>
      </c>
      <c r="L294" s="142">
        <v>135</v>
      </c>
      <c r="M294" s="143">
        <v>100</v>
      </c>
      <c r="N294" s="144">
        <v>618</v>
      </c>
      <c r="O294" s="145" t="s">
        <v>271</v>
      </c>
      <c r="P294" s="133" t="s">
        <v>98</v>
      </c>
      <c r="Q294" s="133">
        <v>48.4</v>
      </c>
      <c r="R294" s="131"/>
    </row>
    <row r="295" ht="24.95" customHeight="1" spans="1:18">
      <c r="A295" s="135" t="s">
        <v>4009</v>
      </c>
      <c r="B295" s="131" t="s">
        <v>4010</v>
      </c>
      <c r="C295" s="136" t="str">
        <f>VLOOKUP(A295,伤害计算器!$V$2:$Y$720,3,FALSE)</f>
        <v>アメタマ</v>
      </c>
      <c r="D295" s="136" t="str">
        <f>VLOOKUP(A295,伤害计算器!$V$2:$Y$720,4,FALSE)</f>
        <v>Surskit</v>
      </c>
      <c r="E295" s="131" t="s">
        <v>3448</v>
      </c>
      <c r="F295" s="137"/>
      <c r="G295" s="131" t="s">
        <v>3311</v>
      </c>
      <c r="H295" s="138">
        <v>40</v>
      </c>
      <c r="I295" s="139">
        <v>30</v>
      </c>
      <c r="J295" s="140">
        <v>32</v>
      </c>
      <c r="K295" s="141">
        <v>50</v>
      </c>
      <c r="L295" s="142">
        <v>52</v>
      </c>
      <c r="M295" s="143">
        <v>65</v>
      </c>
      <c r="N295" s="144">
        <v>269</v>
      </c>
      <c r="O295" s="145" t="s">
        <v>272</v>
      </c>
      <c r="P295" s="133" t="s">
        <v>251</v>
      </c>
      <c r="Q295" s="147">
        <v>1.7</v>
      </c>
      <c r="R295" s="131"/>
    </row>
    <row r="296" ht="24.95" customHeight="1" spans="1:18">
      <c r="A296" s="135" t="s">
        <v>4011</v>
      </c>
      <c r="B296" s="131" t="s">
        <v>4012</v>
      </c>
      <c r="C296" s="136" t="str">
        <f>VLOOKUP(A296,伤害计算器!$V$2:$Y$720,3,FALSE)</f>
        <v>アメモース</v>
      </c>
      <c r="D296" s="136" t="str">
        <f>VLOOKUP(A296,伤害计算器!$V$2:$Y$720,4,FALSE)</f>
        <v>Masquerain</v>
      </c>
      <c r="E296" s="131" t="s">
        <v>3354</v>
      </c>
      <c r="F296" s="137"/>
      <c r="G296" s="131" t="s">
        <v>3355</v>
      </c>
      <c r="H296" s="138">
        <v>70</v>
      </c>
      <c r="I296" s="139">
        <v>60</v>
      </c>
      <c r="J296" s="140">
        <v>62</v>
      </c>
      <c r="K296" s="141">
        <v>80</v>
      </c>
      <c r="L296" s="142">
        <v>82</v>
      </c>
      <c r="M296" s="143">
        <v>60</v>
      </c>
      <c r="N296" s="144">
        <v>414</v>
      </c>
      <c r="O296" s="145" t="s">
        <v>272</v>
      </c>
      <c r="P296" s="133" t="s">
        <v>99</v>
      </c>
      <c r="Q296" s="147">
        <v>3.6</v>
      </c>
      <c r="R296" s="131"/>
    </row>
    <row r="297" ht="24.95" customHeight="1" spans="1:18">
      <c r="A297" s="135" t="s">
        <v>4013</v>
      </c>
      <c r="B297" s="131" t="s">
        <v>4014</v>
      </c>
      <c r="C297" s="136" t="str">
        <f>VLOOKUP(A297,伤害计算器!$V$2:$Y$720,3,FALSE)</f>
        <v>キノココ</v>
      </c>
      <c r="D297" s="136" t="str">
        <f>VLOOKUP(A297,伤害计算器!$V$2:$Y$720,4,FALSE)</f>
        <v>Shroomish</v>
      </c>
      <c r="E297" s="131" t="s">
        <v>3420</v>
      </c>
      <c r="F297" s="131" t="s">
        <v>4015</v>
      </c>
      <c r="G297" s="131" t="s">
        <v>3843</v>
      </c>
      <c r="H297" s="138">
        <v>60</v>
      </c>
      <c r="I297" s="139">
        <v>40</v>
      </c>
      <c r="J297" s="140">
        <v>60</v>
      </c>
      <c r="K297" s="141">
        <v>40</v>
      </c>
      <c r="L297" s="142">
        <v>60</v>
      </c>
      <c r="M297" s="143">
        <v>35</v>
      </c>
      <c r="N297" s="144">
        <v>295</v>
      </c>
      <c r="O297" s="145" t="s">
        <v>235</v>
      </c>
      <c r="Q297" s="147">
        <v>4.5</v>
      </c>
      <c r="R297" s="131"/>
    </row>
    <row r="298" ht="24.95" customHeight="1" spans="1:18">
      <c r="A298" s="135" t="s">
        <v>4016</v>
      </c>
      <c r="B298" s="131" t="s">
        <v>4017</v>
      </c>
      <c r="C298" s="136" t="str">
        <f>VLOOKUP(A298,伤害计算器!$V$2:$Y$720,3,FALSE)</f>
        <v>キノガッサ</v>
      </c>
      <c r="D298" s="136" t="str">
        <f>VLOOKUP(A298,伤害计算器!$V$2:$Y$720,4,FALSE)</f>
        <v>Breloom</v>
      </c>
      <c r="E298" s="131" t="s">
        <v>3420</v>
      </c>
      <c r="F298" s="131" t="s">
        <v>4018</v>
      </c>
      <c r="G298" s="131" t="s">
        <v>36</v>
      </c>
      <c r="H298" s="138">
        <v>60</v>
      </c>
      <c r="I298" s="139">
        <v>130</v>
      </c>
      <c r="J298" s="140">
        <v>80</v>
      </c>
      <c r="K298" s="141">
        <v>60</v>
      </c>
      <c r="L298" s="142">
        <v>60</v>
      </c>
      <c r="M298" s="143">
        <v>70</v>
      </c>
      <c r="N298" s="144">
        <v>460</v>
      </c>
      <c r="O298" s="145" t="s">
        <v>235</v>
      </c>
      <c r="P298" s="133" t="s">
        <v>269</v>
      </c>
      <c r="Q298" s="147">
        <v>39.2</v>
      </c>
      <c r="R298" s="131"/>
    </row>
    <row r="299" ht="24.95" customHeight="1" spans="1:18">
      <c r="A299" s="135" t="s">
        <v>4019</v>
      </c>
      <c r="B299" s="131" t="s">
        <v>4020</v>
      </c>
      <c r="C299" s="136" t="str">
        <f>VLOOKUP(A299,伤害计算器!$V$2:$Y$720,3,FALSE)</f>
        <v>ナマケロ</v>
      </c>
      <c r="D299" s="136" t="str">
        <f>VLOOKUP(A299,伤害计算器!$V$2:$Y$720,4,FALSE)</f>
        <v>Slakoth</v>
      </c>
      <c r="E299" s="131" t="s">
        <v>4021</v>
      </c>
      <c r="F299" s="137"/>
      <c r="G299" s="137"/>
      <c r="H299" s="138">
        <v>60</v>
      </c>
      <c r="I299" s="139">
        <v>60</v>
      </c>
      <c r="J299" s="140">
        <v>60</v>
      </c>
      <c r="K299" s="141">
        <v>35</v>
      </c>
      <c r="L299" s="142">
        <v>35</v>
      </c>
      <c r="M299" s="143">
        <v>30</v>
      </c>
      <c r="N299" s="144">
        <v>280</v>
      </c>
      <c r="O299" s="145" t="s">
        <v>267</v>
      </c>
      <c r="Q299" s="147">
        <v>24</v>
      </c>
      <c r="R299" s="131"/>
    </row>
    <row r="300" ht="24.95" customHeight="1" spans="1:18">
      <c r="A300" s="135" t="s">
        <v>4022</v>
      </c>
      <c r="B300" s="131" t="s">
        <v>4023</v>
      </c>
      <c r="C300" s="136" t="str">
        <f>VLOOKUP(A300,伤害计算器!$V$2:$Y$720,3,FALSE)</f>
        <v>ヤルキモノ</v>
      </c>
      <c r="D300" s="136" t="str">
        <f>VLOOKUP(A300,伤害计算器!$V$2:$Y$720,4,FALSE)</f>
        <v>Vigoroth</v>
      </c>
      <c r="E300" s="131" t="s">
        <v>3453</v>
      </c>
      <c r="F300" s="137"/>
      <c r="G300" s="137"/>
      <c r="H300" s="138">
        <v>80</v>
      </c>
      <c r="I300" s="139">
        <v>80</v>
      </c>
      <c r="J300" s="140">
        <v>80</v>
      </c>
      <c r="K300" s="141">
        <v>55</v>
      </c>
      <c r="L300" s="142">
        <v>55</v>
      </c>
      <c r="M300" s="143">
        <v>90</v>
      </c>
      <c r="N300" s="144">
        <v>440</v>
      </c>
      <c r="O300" s="145" t="s">
        <v>267</v>
      </c>
      <c r="Q300" s="147">
        <v>46.5</v>
      </c>
      <c r="R300" s="131"/>
    </row>
    <row r="301" ht="24.95" customHeight="1" spans="1:18">
      <c r="A301" s="135" t="s">
        <v>4024</v>
      </c>
      <c r="B301" s="131" t="s">
        <v>4025</v>
      </c>
      <c r="C301" s="136" t="str">
        <f>VLOOKUP(A301,伤害计算器!$V$2:$Y$720,3,FALSE)</f>
        <v>ケッキング</v>
      </c>
      <c r="D301" s="136" t="str">
        <f>VLOOKUP(A301,伤害计算器!$V$2:$Y$720,4,FALSE)</f>
        <v>Slaking</v>
      </c>
      <c r="E301" s="131" t="s">
        <v>4021</v>
      </c>
      <c r="F301" s="137"/>
      <c r="G301" s="137"/>
      <c r="H301" s="138">
        <v>150</v>
      </c>
      <c r="I301" s="139">
        <v>160</v>
      </c>
      <c r="J301" s="140">
        <v>100</v>
      </c>
      <c r="K301" s="141">
        <v>95</v>
      </c>
      <c r="L301" s="142">
        <v>65</v>
      </c>
      <c r="M301" s="143">
        <v>100</v>
      </c>
      <c r="N301" s="144">
        <v>670</v>
      </c>
      <c r="O301" s="145" t="s">
        <v>267</v>
      </c>
      <c r="Q301" s="147">
        <v>130.5</v>
      </c>
      <c r="R301" s="131"/>
    </row>
    <row r="302" ht="24.95" customHeight="1" spans="1:18">
      <c r="A302" s="135" t="s">
        <v>4026</v>
      </c>
      <c r="B302" s="131" t="s">
        <v>4027</v>
      </c>
      <c r="C302" s="136" t="str">
        <f>VLOOKUP(A302,伤害计算器!$V$2:$Y$720,3,FALSE)</f>
        <v>ツチニン</v>
      </c>
      <c r="D302" s="136" t="str">
        <f>VLOOKUP(A302,伤害计算器!$V$2:$Y$720,4,FALSE)</f>
        <v>Nincada</v>
      </c>
      <c r="E302" s="131" t="s">
        <v>67</v>
      </c>
      <c r="F302" s="137"/>
      <c r="G302" s="131" t="s">
        <v>3319</v>
      </c>
      <c r="H302" s="138">
        <v>31</v>
      </c>
      <c r="I302" s="139">
        <v>45</v>
      </c>
      <c r="J302" s="140">
        <v>90</v>
      </c>
      <c r="K302" s="141">
        <v>30</v>
      </c>
      <c r="L302" s="142">
        <v>30</v>
      </c>
      <c r="M302" s="143">
        <v>40</v>
      </c>
      <c r="N302" s="144">
        <v>266</v>
      </c>
      <c r="O302" s="145" t="s">
        <v>272</v>
      </c>
      <c r="P302" s="133" t="s">
        <v>237</v>
      </c>
      <c r="Q302" s="147">
        <v>5.5</v>
      </c>
      <c r="R302" s="131"/>
    </row>
    <row r="303" ht="24.95" customHeight="1" spans="1:18">
      <c r="A303" s="135" t="s">
        <v>4028</v>
      </c>
      <c r="B303" s="131" t="s">
        <v>4029</v>
      </c>
      <c r="C303" s="136" t="str">
        <f>VLOOKUP(A303,伤害计算器!$V$2:$Y$720,3,FALSE)</f>
        <v>テッカニン</v>
      </c>
      <c r="D303" s="136" t="str">
        <f>VLOOKUP(A303,伤害计算器!$V$2:$Y$720,4,FALSE)</f>
        <v>Ninjask</v>
      </c>
      <c r="E303" s="131" t="s">
        <v>3800</v>
      </c>
      <c r="F303" s="137"/>
      <c r="G303" s="131" t="s">
        <v>3410</v>
      </c>
      <c r="H303" s="138">
        <v>61</v>
      </c>
      <c r="I303" s="139">
        <v>90</v>
      </c>
      <c r="J303" s="140">
        <v>45</v>
      </c>
      <c r="K303" s="141">
        <v>50</v>
      </c>
      <c r="L303" s="142">
        <v>50</v>
      </c>
      <c r="M303" s="143">
        <v>160</v>
      </c>
      <c r="N303" s="144">
        <v>456</v>
      </c>
      <c r="O303" s="145" t="s">
        <v>272</v>
      </c>
      <c r="P303" s="133" t="s">
        <v>99</v>
      </c>
      <c r="Q303" s="147">
        <v>12</v>
      </c>
      <c r="R303" s="131"/>
    </row>
    <row r="304" ht="24.95" customHeight="1" spans="1:18">
      <c r="A304" s="135" t="s">
        <v>4030</v>
      </c>
      <c r="B304" s="131" t="s">
        <v>4031</v>
      </c>
      <c r="C304" s="136" t="str">
        <f>VLOOKUP(A304,伤害计算器!$V$2:$Y$720,3,FALSE)</f>
        <v>ヌケニン</v>
      </c>
      <c r="D304" s="136" t="str">
        <f>VLOOKUP(A304,伤害计算器!$V$2:$Y$720,4,FALSE)</f>
        <v>Shedinja</v>
      </c>
      <c r="E304" s="131" t="s">
        <v>601</v>
      </c>
      <c r="F304" s="137"/>
      <c r="G304" s="131" t="s">
        <v>601</v>
      </c>
      <c r="H304" s="138">
        <v>1</v>
      </c>
      <c r="I304" s="139">
        <v>90</v>
      </c>
      <c r="J304" s="140">
        <v>45</v>
      </c>
      <c r="K304" s="141">
        <v>30</v>
      </c>
      <c r="L304" s="142">
        <v>30</v>
      </c>
      <c r="M304" s="143">
        <v>40</v>
      </c>
      <c r="N304" s="144">
        <v>236</v>
      </c>
      <c r="O304" s="145" t="s">
        <v>272</v>
      </c>
      <c r="P304" s="133" t="s">
        <v>273</v>
      </c>
      <c r="Q304" s="147">
        <v>1.2</v>
      </c>
      <c r="R304" s="131"/>
    </row>
    <row r="305" ht="24.95" customHeight="1" spans="1:18">
      <c r="A305" s="135" t="s">
        <v>4032</v>
      </c>
      <c r="B305" s="131" t="s">
        <v>4033</v>
      </c>
      <c r="C305" s="136" t="str">
        <f>VLOOKUP(A305,伤害计算器!$V$2:$Y$720,3,FALSE)</f>
        <v>ゴニョニョ</v>
      </c>
      <c r="D305" s="136" t="str">
        <f>VLOOKUP(A305,伤害计算器!$V$2:$Y$720,4,FALSE)</f>
        <v>Whismur</v>
      </c>
      <c r="E305" s="131" t="s">
        <v>591</v>
      </c>
      <c r="F305" s="137"/>
      <c r="G305" s="131" t="s">
        <v>3833</v>
      </c>
      <c r="H305" s="138">
        <v>64</v>
      </c>
      <c r="I305" s="139">
        <v>51</v>
      </c>
      <c r="J305" s="140">
        <v>23</v>
      </c>
      <c r="K305" s="141">
        <v>51</v>
      </c>
      <c r="L305" s="142">
        <v>23</v>
      </c>
      <c r="M305" s="143">
        <v>28</v>
      </c>
      <c r="N305" s="144">
        <v>240</v>
      </c>
      <c r="O305" s="145" t="s">
        <v>267</v>
      </c>
      <c r="Q305" s="147">
        <v>16.3</v>
      </c>
      <c r="R305" s="131"/>
    </row>
    <row r="306" ht="24.95" customHeight="1" spans="1:18">
      <c r="A306" s="135" t="s">
        <v>4034</v>
      </c>
      <c r="B306" s="131" t="s">
        <v>4035</v>
      </c>
      <c r="C306" s="136" t="str">
        <f>VLOOKUP(A306,伤害计算器!$V$2:$Y$720,3,FALSE)</f>
        <v>ドゴーム</v>
      </c>
      <c r="D306" s="136" t="str">
        <f>VLOOKUP(A306,伤害计算器!$V$2:$Y$720,4,FALSE)</f>
        <v>Loudred</v>
      </c>
      <c r="E306" s="131" t="s">
        <v>591</v>
      </c>
      <c r="F306" s="137"/>
      <c r="G306" s="131" t="s">
        <v>4036</v>
      </c>
      <c r="H306" s="138">
        <v>84</v>
      </c>
      <c r="I306" s="139">
        <v>71</v>
      </c>
      <c r="J306" s="140">
        <v>43</v>
      </c>
      <c r="K306" s="141">
        <v>71</v>
      </c>
      <c r="L306" s="142">
        <v>43</v>
      </c>
      <c r="M306" s="143">
        <v>48</v>
      </c>
      <c r="N306" s="144">
        <v>360</v>
      </c>
      <c r="O306" s="145" t="s">
        <v>267</v>
      </c>
      <c r="Q306" s="147">
        <v>40.5</v>
      </c>
      <c r="R306" s="131"/>
    </row>
    <row r="307" ht="24.95" customHeight="1" spans="1:18">
      <c r="A307" s="135" t="s">
        <v>4037</v>
      </c>
      <c r="B307" s="131" t="s">
        <v>4038</v>
      </c>
      <c r="C307" s="136" t="str">
        <f>VLOOKUP(A307,伤害计算器!$V$2:$Y$720,3,FALSE)</f>
        <v>バクオング</v>
      </c>
      <c r="D307" s="136" t="str">
        <f>VLOOKUP(A307,伤害计算器!$V$2:$Y$720,4,FALSE)</f>
        <v>Exploud</v>
      </c>
      <c r="E307" s="131" t="s">
        <v>591</v>
      </c>
      <c r="F307" s="137"/>
      <c r="G307" s="131" t="s">
        <v>3612</v>
      </c>
      <c r="H307" s="138">
        <v>104</v>
      </c>
      <c r="I307" s="139">
        <v>91</v>
      </c>
      <c r="J307" s="140">
        <v>63</v>
      </c>
      <c r="K307" s="141">
        <v>91</v>
      </c>
      <c r="L307" s="142">
        <v>73</v>
      </c>
      <c r="M307" s="143">
        <v>68</v>
      </c>
      <c r="N307" s="144">
        <v>490</v>
      </c>
      <c r="O307" s="145" t="s">
        <v>267</v>
      </c>
      <c r="Q307" s="147">
        <v>84</v>
      </c>
      <c r="R307" s="131"/>
    </row>
    <row r="308" ht="24.95" customHeight="1" spans="1:18">
      <c r="A308" s="135" t="s">
        <v>4039</v>
      </c>
      <c r="B308" s="131" t="s">
        <v>4040</v>
      </c>
      <c r="C308" s="136" t="str">
        <f>VLOOKUP(A308,伤害计算器!$V$2:$Y$720,3,FALSE)</f>
        <v>マクノシタ</v>
      </c>
      <c r="D308" s="136" t="str">
        <f>VLOOKUP(A308,伤害计算器!$V$2:$Y$720,4,FALSE)</f>
        <v>Makuhita</v>
      </c>
      <c r="E308" s="131" t="s">
        <v>70</v>
      </c>
      <c r="F308" s="131" t="s">
        <v>57</v>
      </c>
      <c r="G308" s="131" t="s">
        <v>41</v>
      </c>
      <c r="H308" s="138">
        <v>72</v>
      </c>
      <c r="I308" s="139">
        <v>60</v>
      </c>
      <c r="J308" s="140">
        <v>30</v>
      </c>
      <c r="K308" s="141">
        <v>20</v>
      </c>
      <c r="L308" s="142">
        <v>30</v>
      </c>
      <c r="M308" s="143">
        <v>25</v>
      </c>
      <c r="N308" s="144">
        <v>237</v>
      </c>
      <c r="O308" s="145" t="s">
        <v>269</v>
      </c>
      <c r="Q308" s="147">
        <v>86.4</v>
      </c>
      <c r="R308" s="131"/>
    </row>
    <row r="309" ht="24.95" customHeight="1" spans="1:18">
      <c r="A309" s="135" t="s">
        <v>4041</v>
      </c>
      <c r="B309" s="131" t="s">
        <v>4042</v>
      </c>
      <c r="C309" s="136" t="str">
        <f>VLOOKUP(A309,伤害计算器!$V$2:$Y$720,3,FALSE)</f>
        <v>ハリテヤマ</v>
      </c>
      <c r="D309" s="136" t="str">
        <f>VLOOKUP(A309,伤害计算器!$V$2:$Y$720,4,FALSE)</f>
        <v>Hariyama</v>
      </c>
      <c r="E309" s="131" t="s">
        <v>70</v>
      </c>
      <c r="F309" s="131" t="s">
        <v>57</v>
      </c>
      <c r="G309" s="131" t="s">
        <v>41</v>
      </c>
      <c r="H309" s="138">
        <v>144</v>
      </c>
      <c r="I309" s="139">
        <v>120</v>
      </c>
      <c r="J309" s="140">
        <v>60</v>
      </c>
      <c r="K309" s="141">
        <v>40</v>
      </c>
      <c r="L309" s="142">
        <v>60</v>
      </c>
      <c r="M309" s="143">
        <v>50</v>
      </c>
      <c r="N309" s="144">
        <v>474</v>
      </c>
      <c r="O309" s="145" t="s">
        <v>269</v>
      </c>
      <c r="Q309" s="147">
        <v>253.8</v>
      </c>
      <c r="R309" s="131"/>
    </row>
    <row r="310" ht="24.95" customHeight="1" spans="1:18">
      <c r="A310" s="135" t="s">
        <v>4043</v>
      </c>
      <c r="B310" s="131" t="s">
        <v>4044</v>
      </c>
      <c r="C310" s="136" t="str">
        <f>VLOOKUP(A310,伤害计算器!$V$2:$Y$720,3,FALSE)</f>
        <v>ルリリ</v>
      </c>
      <c r="D310" s="136" t="str">
        <f>VLOOKUP(A310,伤害计算器!$V$2:$Y$720,4,FALSE)</f>
        <v>Azurill</v>
      </c>
      <c r="E310" s="131" t="s">
        <v>70</v>
      </c>
      <c r="F310" s="131" t="s">
        <v>49</v>
      </c>
      <c r="G310" s="131" t="s">
        <v>552</v>
      </c>
      <c r="H310" s="138">
        <v>50</v>
      </c>
      <c r="I310" s="139">
        <v>20</v>
      </c>
      <c r="J310" s="140">
        <v>40</v>
      </c>
      <c r="K310" s="141">
        <v>20</v>
      </c>
      <c r="L310" s="142">
        <v>40</v>
      </c>
      <c r="M310" s="143">
        <v>20</v>
      </c>
      <c r="N310" s="144">
        <v>190</v>
      </c>
      <c r="O310" s="145" t="s">
        <v>267</v>
      </c>
      <c r="P310" s="133" t="s">
        <v>98</v>
      </c>
      <c r="Q310" s="147">
        <v>2</v>
      </c>
      <c r="R310" s="131"/>
    </row>
    <row r="311" ht="24.95" customHeight="1" spans="1:18">
      <c r="A311" s="135" t="s">
        <v>4045</v>
      </c>
      <c r="B311" s="131" t="s">
        <v>4046</v>
      </c>
      <c r="C311" s="136" t="str">
        <f>VLOOKUP(A311,伤害计算器!$V$2:$Y$720,3,FALSE)</f>
        <v>ノズパス</v>
      </c>
      <c r="D311" s="136" t="str">
        <f>VLOOKUP(A311,伤害计算器!$V$2:$Y$720,4,FALSE)</f>
        <v>Nosepass</v>
      </c>
      <c r="E311" s="131" t="s">
        <v>3500</v>
      </c>
      <c r="F311" s="131" t="s">
        <v>3520</v>
      </c>
      <c r="G311" s="131" t="s">
        <v>40</v>
      </c>
      <c r="H311" s="138">
        <v>30</v>
      </c>
      <c r="I311" s="139">
        <v>45</v>
      </c>
      <c r="J311" s="140">
        <v>135</v>
      </c>
      <c r="K311" s="141">
        <v>45</v>
      </c>
      <c r="L311" s="142">
        <v>90</v>
      </c>
      <c r="M311" s="143">
        <v>30</v>
      </c>
      <c r="N311" s="144">
        <v>375</v>
      </c>
      <c r="O311" s="145" t="s">
        <v>252</v>
      </c>
      <c r="Q311" s="147">
        <v>97</v>
      </c>
      <c r="R311" s="131"/>
    </row>
    <row r="312" ht="24.95" customHeight="1" spans="1:18">
      <c r="A312" s="135" t="s">
        <v>4047</v>
      </c>
      <c r="B312" s="131" t="s">
        <v>4048</v>
      </c>
      <c r="C312" s="136" t="str">
        <f>VLOOKUP(A312,伤害计算器!$V$2:$Y$720,3,FALSE)</f>
        <v>エネコ</v>
      </c>
      <c r="D312" s="136" t="str">
        <f>VLOOKUP(A312,伤害计算器!$V$2:$Y$720,4,FALSE)</f>
        <v>Skitty</v>
      </c>
      <c r="E312" s="131" t="s">
        <v>3390</v>
      </c>
      <c r="F312" s="131" t="s">
        <v>4049</v>
      </c>
      <c r="G312" s="131" t="s">
        <v>3431</v>
      </c>
      <c r="H312" s="138">
        <v>50</v>
      </c>
      <c r="I312" s="139">
        <v>45</v>
      </c>
      <c r="J312" s="140">
        <v>45</v>
      </c>
      <c r="K312" s="141">
        <v>35</v>
      </c>
      <c r="L312" s="142">
        <v>35</v>
      </c>
      <c r="M312" s="143">
        <v>50</v>
      </c>
      <c r="N312" s="144">
        <v>260</v>
      </c>
      <c r="O312" s="145" t="s">
        <v>267</v>
      </c>
      <c r="Q312" s="147">
        <v>11</v>
      </c>
      <c r="R312" s="131"/>
    </row>
    <row r="313" ht="24.95" customHeight="1" spans="1:18">
      <c r="A313" s="135" t="s">
        <v>4050</v>
      </c>
      <c r="B313" s="131" t="s">
        <v>4051</v>
      </c>
      <c r="C313" s="136" t="str">
        <f>VLOOKUP(A313,伤害计算器!$V$2:$Y$720,3,FALSE)</f>
        <v>エネコロロ</v>
      </c>
      <c r="D313" s="136" t="str">
        <f>VLOOKUP(A313,伤害计算器!$V$2:$Y$720,4,FALSE)</f>
        <v>Delcatty</v>
      </c>
      <c r="E313" s="131" t="s">
        <v>3390</v>
      </c>
      <c r="F313" s="131" t="s">
        <v>4049</v>
      </c>
      <c r="G313" s="131" t="s">
        <v>3431</v>
      </c>
      <c r="H313" s="138">
        <v>70</v>
      </c>
      <c r="I313" s="139">
        <v>65</v>
      </c>
      <c r="J313" s="140">
        <v>65</v>
      </c>
      <c r="K313" s="141">
        <v>55</v>
      </c>
      <c r="L313" s="142">
        <v>55</v>
      </c>
      <c r="M313" s="143">
        <v>70</v>
      </c>
      <c r="N313" s="144">
        <v>380</v>
      </c>
      <c r="O313" s="145" t="s">
        <v>267</v>
      </c>
      <c r="Q313" s="147">
        <v>32.6</v>
      </c>
      <c r="R313" s="131"/>
    </row>
    <row r="314" ht="24.95" customHeight="1" spans="1:18">
      <c r="A314" s="135" t="s">
        <v>4052</v>
      </c>
      <c r="B314" s="131" t="s">
        <v>4053</v>
      </c>
      <c r="C314" s="136" t="str">
        <f>VLOOKUP(A314,伤害计算器!$V$2:$Y$720,3,FALSE)</f>
        <v>ヤミラミ</v>
      </c>
      <c r="D314" s="136" t="str">
        <f>VLOOKUP(A314,伤害计算器!$V$2:$Y$720,4,FALSE)</f>
        <v>Sableye</v>
      </c>
      <c r="E314" s="131" t="s">
        <v>3336</v>
      </c>
      <c r="F314" s="131" t="s">
        <v>4054</v>
      </c>
      <c r="G314" s="131" t="s">
        <v>3812</v>
      </c>
      <c r="H314" s="138">
        <v>50</v>
      </c>
      <c r="I314" s="139">
        <v>75</v>
      </c>
      <c r="J314" s="140">
        <v>75</v>
      </c>
      <c r="K314" s="141">
        <v>65</v>
      </c>
      <c r="L314" s="142">
        <v>65</v>
      </c>
      <c r="M314" s="143">
        <v>50</v>
      </c>
      <c r="N314" s="144">
        <v>380</v>
      </c>
      <c r="O314" s="145" t="s">
        <v>275</v>
      </c>
      <c r="P314" s="133" t="s">
        <v>273</v>
      </c>
      <c r="Q314" s="147">
        <v>11</v>
      </c>
      <c r="R314" s="131"/>
    </row>
    <row r="315" ht="24.95" customHeight="1" spans="1:18">
      <c r="A315" s="135" t="s">
        <v>4052</v>
      </c>
      <c r="B315" s="147" t="s">
        <v>4055</v>
      </c>
      <c r="C315" s="136" t="str">
        <f>VLOOKUP(A315,伤害计算器!$V$2:$Y$720,3,FALSE)</f>
        <v>ヤミラミ</v>
      </c>
      <c r="D315" s="136" t="str">
        <f>VLOOKUP(A315,伤害计算器!$V$2:$Y$720,4,FALSE)</f>
        <v>Sableye</v>
      </c>
      <c r="E315" s="147" t="s">
        <v>3759</v>
      </c>
      <c r="F315" s="136"/>
      <c r="G315" s="136" t="s">
        <v>3759</v>
      </c>
      <c r="H315" s="138">
        <v>50</v>
      </c>
      <c r="I315" s="139">
        <v>85</v>
      </c>
      <c r="J315" s="140">
        <v>125</v>
      </c>
      <c r="K315" s="141">
        <v>85</v>
      </c>
      <c r="L315" s="142">
        <v>115</v>
      </c>
      <c r="M315" s="143">
        <v>20</v>
      </c>
      <c r="N315" s="144">
        <v>480</v>
      </c>
      <c r="O315" s="145" t="s">
        <v>275</v>
      </c>
      <c r="P315" s="133" t="s">
        <v>273</v>
      </c>
      <c r="Q315" s="147">
        <v>161</v>
      </c>
      <c r="R315" s="131"/>
    </row>
    <row r="316" ht="24.95" customHeight="1" spans="1:18">
      <c r="A316" s="135" t="s">
        <v>4056</v>
      </c>
      <c r="B316" s="131" t="s">
        <v>4057</v>
      </c>
      <c r="C316" s="136" t="str">
        <f>VLOOKUP(A316,伤害计算器!$V$2:$Y$720,3,FALSE)</f>
        <v>クチート</v>
      </c>
      <c r="D316" s="136" t="str">
        <f>VLOOKUP(A316,伤害计算器!$V$2:$Y$720,4,FALSE)</f>
        <v>Mawile</v>
      </c>
      <c r="E316" s="131" t="s">
        <v>3569</v>
      </c>
      <c r="F316" s="131" t="s">
        <v>3354</v>
      </c>
      <c r="G316" s="131" t="s">
        <v>41</v>
      </c>
      <c r="H316" s="138">
        <v>50</v>
      </c>
      <c r="I316" s="139">
        <v>85</v>
      </c>
      <c r="J316" s="140">
        <v>85</v>
      </c>
      <c r="K316" s="141">
        <v>55</v>
      </c>
      <c r="L316" s="142">
        <v>55</v>
      </c>
      <c r="M316" s="143">
        <v>50</v>
      </c>
      <c r="N316" s="144">
        <v>380</v>
      </c>
      <c r="O316" s="145" t="s">
        <v>276</v>
      </c>
      <c r="P316" s="133" t="s">
        <v>98</v>
      </c>
      <c r="Q316" s="147">
        <v>11.5</v>
      </c>
      <c r="R316" s="131"/>
    </row>
    <row r="317" ht="24.95" customHeight="1" spans="1:18">
      <c r="A317" s="135" t="s">
        <v>4056</v>
      </c>
      <c r="B317" s="131" t="s">
        <v>4058</v>
      </c>
      <c r="C317" s="136" t="str">
        <f>VLOOKUP(A317,伤害计算器!$V$2:$Y$720,3,FALSE)</f>
        <v>クチート</v>
      </c>
      <c r="D317" s="136" t="str">
        <f>VLOOKUP(A317,伤害计算器!$V$2:$Y$720,4,FALSE)</f>
        <v>Mawile</v>
      </c>
      <c r="E317" s="131" t="s">
        <v>49</v>
      </c>
      <c r="F317" s="137"/>
      <c r="G317" s="131" t="s">
        <v>49</v>
      </c>
      <c r="H317" s="138">
        <v>50</v>
      </c>
      <c r="I317" s="139">
        <v>105</v>
      </c>
      <c r="J317" s="140">
        <v>125</v>
      </c>
      <c r="K317" s="141">
        <v>55</v>
      </c>
      <c r="L317" s="142">
        <v>95</v>
      </c>
      <c r="M317" s="143">
        <v>50</v>
      </c>
      <c r="N317" s="144">
        <v>480</v>
      </c>
      <c r="O317" s="145" t="s">
        <v>276</v>
      </c>
      <c r="P317" s="133" t="s">
        <v>98</v>
      </c>
      <c r="Q317" s="147">
        <v>23.5</v>
      </c>
      <c r="R317" s="131"/>
    </row>
    <row r="318" ht="24.95" customHeight="1" spans="1:18">
      <c r="A318" s="135" t="s">
        <v>4059</v>
      </c>
      <c r="B318" s="131" t="s">
        <v>4060</v>
      </c>
      <c r="C318" s="136" t="str">
        <f>VLOOKUP(A318,伤害计算器!$V$2:$Y$720,3,FALSE)</f>
        <v>ココドラ</v>
      </c>
      <c r="D318" s="136" t="str">
        <f>VLOOKUP(A318,伤害计算器!$V$2:$Y$720,4,FALSE)</f>
        <v>Aron</v>
      </c>
      <c r="E318" s="131" t="s">
        <v>3500</v>
      </c>
      <c r="F318" s="131" t="s">
        <v>3499</v>
      </c>
      <c r="G318" s="131" t="s">
        <v>4061</v>
      </c>
      <c r="H318" s="138">
        <v>50</v>
      </c>
      <c r="I318" s="139">
        <v>70</v>
      </c>
      <c r="J318" s="140">
        <v>100</v>
      </c>
      <c r="K318" s="141">
        <v>40</v>
      </c>
      <c r="L318" s="142">
        <v>40</v>
      </c>
      <c r="M318" s="143">
        <v>30</v>
      </c>
      <c r="N318" s="144">
        <v>330</v>
      </c>
      <c r="O318" s="145" t="s">
        <v>276</v>
      </c>
      <c r="P318" s="133" t="s">
        <v>252</v>
      </c>
      <c r="Q318" s="147">
        <v>60</v>
      </c>
      <c r="R318" s="131"/>
    </row>
    <row r="319" ht="24.95" customHeight="1" spans="1:18">
      <c r="A319" s="135" t="s">
        <v>4062</v>
      </c>
      <c r="B319" s="131" t="s">
        <v>4063</v>
      </c>
      <c r="C319" s="136" t="str">
        <f>VLOOKUP(A319,伤害计算器!$V$2:$Y$720,3,FALSE)</f>
        <v>コドラ</v>
      </c>
      <c r="D319" s="136" t="str">
        <f>VLOOKUP(A319,伤害计算器!$V$2:$Y$720,4,FALSE)</f>
        <v>Lairon</v>
      </c>
      <c r="E319" s="131" t="s">
        <v>3500</v>
      </c>
      <c r="F319" s="131" t="s">
        <v>3499</v>
      </c>
      <c r="G319" s="131" t="s">
        <v>4061</v>
      </c>
      <c r="H319" s="138">
        <v>60</v>
      </c>
      <c r="I319" s="139">
        <v>90</v>
      </c>
      <c r="J319" s="140">
        <v>140</v>
      </c>
      <c r="K319" s="141">
        <v>50</v>
      </c>
      <c r="L319" s="142">
        <v>50</v>
      </c>
      <c r="M319" s="143">
        <v>40</v>
      </c>
      <c r="N319" s="144">
        <v>430</v>
      </c>
      <c r="O319" s="145" t="s">
        <v>276</v>
      </c>
      <c r="P319" s="133" t="s">
        <v>252</v>
      </c>
      <c r="Q319" s="147">
        <v>120</v>
      </c>
      <c r="R319" s="131"/>
    </row>
    <row r="320" ht="24.95" customHeight="1" spans="1:18">
      <c r="A320" s="135" t="s">
        <v>4064</v>
      </c>
      <c r="B320" s="131" t="s">
        <v>4065</v>
      </c>
      <c r="C320" s="136" t="str">
        <f>VLOOKUP(A320,伤害计算器!$V$2:$Y$720,3,FALSE)</f>
        <v>ボスゴドラ</v>
      </c>
      <c r="D320" s="136" t="str">
        <f>VLOOKUP(A320,伤害计算器!$V$2:$Y$720,4,FALSE)</f>
        <v>Aggron</v>
      </c>
      <c r="E320" s="131" t="s">
        <v>3500</v>
      </c>
      <c r="F320" s="131" t="s">
        <v>3499</v>
      </c>
      <c r="G320" s="131" t="s">
        <v>4061</v>
      </c>
      <c r="H320" s="138">
        <v>70</v>
      </c>
      <c r="I320" s="139">
        <v>110</v>
      </c>
      <c r="J320" s="140">
        <v>180</v>
      </c>
      <c r="K320" s="141">
        <v>60</v>
      </c>
      <c r="L320" s="142">
        <v>60</v>
      </c>
      <c r="M320" s="143">
        <v>50</v>
      </c>
      <c r="N320" s="144">
        <v>530</v>
      </c>
      <c r="O320" s="145" t="s">
        <v>276</v>
      </c>
      <c r="P320" s="133" t="s">
        <v>252</v>
      </c>
      <c r="Q320" s="147">
        <v>360</v>
      </c>
      <c r="R320" s="131"/>
    </row>
    <row r="321" ht="24.95" customHeight="1" spans="1:18">
      <c r="A321" s="135" t="s">
        <v>4064</v>
      </c>
      <c r="B321" s="131" t="s">
        <v>4066</v>
      </c>
      <c r="C321" s="136" t="str">
        <f>VLOOKUP(A321,伤害计算器!$V$2:$Y$720,3,FALSE)</f>
        <v>ボスゴドラ</v>
      </c>
      <c r="D321" s="136" t="str">
        <f>VLOOKUP(A321,伤害计算器!$V$2:$Y$720,4,FALSE)</f>
        <v>Aggron</v>
      </c>
      <c r="E321" s="131" t="s">
        <v>77</v>
      </c>
      <c r="F321" s="137"/>
      <c r="G321" s="131" t="s">
        <v>4067</v>
      </c>
      <c r="H321" s="138">
        <v>70</v>
      </c>
      <c r="I321" s="139">
        <v>140</v>
      </c>
      <c r="J321" s="140">
        <v>230</v>
      </c>
      <c r="K321" s="141">
        <v>60</v>
      </c>
      <c r="L321" s="142">
        <v>80</v>
      </c>
      <c r="M321" s="143">
        <v>50</v>
      </c>
      <c r="N321" s="144">
        <v>630</v>
      </c>
      <c r="O321" s="145" t="s">
        <v>276</v>
      </c>
      <c r="Q321" s="147">
        <v>395</v>
      </c>
      <c r="R321" s="131"/>
    </row>
    <row r="322" ht="24.95" customHeight="1" spans="1:18">
      <c r="A322" s="135" t="s">
        <v>4068</v>
      </c>
      <c r="B322" s="131" t="s">
        <v>4069</v>
      </c>
      <c r="C322" s="136" t="str">
        <f>VLOOKUP(A322,伤害计算器!$V$2:$Y$720,3,FALSE)</f>
        <v>アサナン</v>
      </c>
      <c r="D322" s="136" t="str">
        <f>VLOOKUP(A322,伤害计算器!$V$2:$Y$720,4,FALSE)</f>
        <v>Meditite</v>
      </c>
      <c r="E322" s="131" t="s">
        <v>4070</v>
      </c>
      <c r="F322" s="137"/>
      <c r="G322" s="131" t="s">
        <v>3822</v>
      </c>
      <c r="H322" s="138">
        <v>30</v>
      </c>
      <c r="I322" s="139">
        <v>40</v>
      </c>
      <c r="J322" s="140">
        <v>55</v>
      </c>
      <c r="K322" s="141">
        <v>40</v>
      </c>
      <c r="L322" s="142">
        <v>55</v>
      </c>
      <c r="M322" s="143">
        <v>60</v>
      </c>
      <c r="N322" s="144">
        <v>280</v>
      </c>
      <c r="O322" s="145" t="s">
        <v>269</v>
      </c>
      <c r="P322" s="133" t="s">
        <v>271</v>
      </c>
      <c r="Q322" s="147">
        <v>11.2</v>
      </c>
      <c r="R322" s="131"/>
    </row>
    <row r="323" ht="24.95" customHeight="1" spans="1:18">
      <c r="A323" s="135" t="s">
        <v>4071</v>
      </c>
      <c r="B323" s="131" t="s">
        <v>4072</v>
      </c>
      <c r="C323" s="136" t="str">
        <f>VLOOKUP(A323,伤害计算器!$V$2:$Y$720,3,FALSE)</f>
        <v>チャーレム</v>
      </c>
      <c r="D323" s="136" t="str">
        <f>VLOOKUP(A323,伤害计算器!$V$2:$Y$720,4,FALSE)</f>
        <v>Medicham</v>
      </c>
      <c r="E323" s="131" t="s">
        <v>4070</v>
      </c>
      <c r="F323" s="137"/>
      <c r="G323" s="131" t="s">
        <v>3822</v>
      </c>
      <c r="H323" s="138">
        <v>60</v>
      </c>
      <c r="I323" s="139">
        <v>60</v>
      </c>
      <c r="J323" s="140">
        <v>75</v>
      </c>
      <c r="K323" s="141">
        <v>60</v>
      </c>
      <c r="L323" s="142">
        <v>75</v>
      </c>
      <c r="M323" s="143">
        <v>80</v>
      </c>
      <c r="N323" s="144">
        <v>410</v>
      </c>
      <c r="O323" s="145" t="s">
        <v>269</v>
      </c>
      <c r="P323" s="133" t="s">
        <v>271</v>
      </c>
      <c r="Q323" s="147">
        <v>31.5</v>
      </c>
      <c r="R323" s="131"/>
    </row>
    <row r="324" ht="24.95" customHeight="1" spans="1:18">
      <c r="A324" s="135" t="s">
        <v>4071</v>
      </c>
      <c r="B324" s="131" t="s">
        <v>4073</v>
      </c>
      <c r="C324" s="136" t="str">
        <f>VLOOKUP(A324,伤害计算器!$V$2:$Y$720,3,FALSE)</f>
        <v>チャーレム</v>
      </c>
      <c r="D324" s="136" t="str">
        <f>VLOOKUP(A324,伤害计算器!$V$2:$Y$720,4,FALSE)</f>
        <v>Medicham</v>
      </c>
      <c r="E324" s="131" t="s">
        <v>49</v>
      </c>
      <c r="F324" s="137"/>
      <c r="G324" s="131" t="s">
        <v>49</v>
      </c>
      <c r="H324" s="138">
        <v>60</v>
      </c>
      <c r="I324" s="139">
        <v>100</v>
      </c>
      <c r="J324" s="140">
        <v>85</v>
      </c>
      <c r="K324" s="141">
        <v>80</v>
      </c>
      <c r="L324" s="142">
        <v>85</v>
      </c>
      <c r="M324" s="143">
        <v>100</v>
      </c>
      <c r="N324" s="144">
        <v>510</v>
      </c>
      <c r="O324" s="145" t="s">
        <v>269</v>
      </c>
      <c r="P324" s="133" t="s">
        <v>271</v>
      </c>
      <c r="Q324" s="133">
        <v>31.5</v>
      </c>
      <c r="R324" s="131"/>
    </row>
    <row r="325" ht="24.95" customHeight="1" spans="1:18">
      <c r="A325" s="135" t="s">
        <v>4074</v>
      </c>
      <c r="B325" s="131" t="s">
        <v>4075</v>
      </c>
      <c r="C325" s="136" t="str">
        <f>VLOOKUP(A325,伤害计算器!$V$2:$Y$720,3,FALSE)</f>
        <v>ラクライ</v>
      </c>
      <c r="D325" s="136" t="str">
        <f>VLOOKUP(A325,伤害计算器!$V$2:$Y$720,4,FALSE)</f>
        <v>Electrike</v>
      </c>
      <c r="E325" s="131" t="s">
        <v>3361</v>
      </c>
      <c r="F325" s="131" t="s">
        <v>3365</v>
      </c>
      <c r="G325" s="131" t="s">
        <v>4076</v>
      </c>
      <c r="H325" s="138">
        <v>40</v>
      </c>
      <c r="I325" s="139">
        <v>45</v>
      </c>
      <c r="J325" s="140">
        <v>40</v>
      </c>
      <c r="K325" s="141">
        <v>65</v>
      </c>
      <c r="L325" s="142">
        <v>40</v>
      </c>
      <c r="M325" s="143">
        <v>65</v>
      </c>
      <c r="N325" s="144">
        <v>295</v>
      </c>
      <c r="O325" s="145" t="s">
        <v>268</v>
      </c>
      <c r="Q325" s="147">
        <v>15.2</v>
      </c>
      <c r="R325" s="131"/>
    </row>
    <row r="326" ht="24.95" customHeight="1" spans="1:18">
      <c r="A326" s="135" t="s">
        <v>4077</v>
      </c>
      <c r="B326" s="131" t="s">
        <v>4078</v>
      </c>
      <c r="C326" s="136" t="str">
        <f>VLOOKUP(A326,伤害计算器!$V$2:$Y$720,3,FALSE)</f>
        <v>ライボルト</v>
      </c>
      <c r="D326" s="136" t="str">
        <f>VLOOKUP(A326,伤害计算器!$V$2:$Y$720,4,FALSE)</f>
        <v>Manectric</v>
      </c>
      <c r="E326" s="131" t="s">
        <v>3361</v>
      </c>
      <c r="F326" s="131" t="s">
        <v>562</v>
      </c>
      <c r="G326" s="131" t="s">
        <v>4079</v>
      </c>
      <c r="H326" s="138">
        <v>70</v>
      </c>
      <c r="I326" s="139">
        <v>75</v>
      </c>
      <c r="J326" s="140">
        <v>60</v>
      </c>
      <c r="K326" s="141">
        <v>105</v>
      </c>
      <c r="L326" s="142">
        <v>60</v>
      </c>
      <c r="M326" s="143">
        <v>105</v>
      </c>
      <c r="N326" s="144">
        <v>475</v>
      </c>
      <c r="O326" s="145" t="s">
        <v>268</v>
      </c>
      <c r="Q326" s="147">
        <v>40.2</v>
      </c>
      <c r="R326" s="131"/>
    </row>
    <row r="327" ht="24.95" customHeight="1" spans="1:18">
      <c r="A327" s="135" t="s">
        <v>4077</v>
      </c>
      <c r="B327" s="131" t="s">
        <v>4080</v>
      </c>
      <c r="C327" s="136" t="str">
        <f>VLOOKUP(A327,伤害计算器!$V$2:$Y$720,3,FALSE)</f>
        <v>ライボルト</v>
      </c>
      <c r="D327" s="136" t="str">
        <f>VLOOKUP(A327,伤害计算器!$V$2:$Y$720,4,FALSE)</f>
        <v>Manectric</v>
      </c>
      <c r="E327" s="131" t="s">
        <v>3354</v>
      </c>
      <c r="F327" s="137"/>
      <c r="G327" s="131" t="s">
        <v>4081</v>
      </c>
      <c r="H327" s="138">
        <v>70</v>
      </c>
      <c r="I327" s="139">
        <v>75</v>
      </c>
      <c r="J327" s="140">
        <v>80</v>
      </c>
      <c r="K327" s="141">
        <v>135</v>
      </c>
      <c r="L327" s="142">
        <v>80</v>
      </c>
      <c r="M327" s="143">
        <v>135</v>
      </c>
      <c r="N327" s="144">
        <v>575</v>
      </c>
      <c r="O327" s="145" t="s">
        <v>268</v>
      </c>
      <c r="Q327" s="147">
        <v>44</v>
      </c>
      <c r="R327" s="131"/>
    </row>
    <row r="328" ht="24.95" customHeight="1" spans="1:18">
      <c r="A328" s="135" t="s">
        <v>4082</v>
      </c>
      <c r="B328" s="131" t="s">
        <v>4083</v>
      </c>
      <c r="C328" s="136" t="str">
        <f>VLOOKUP(A328,伤害计算器!$V$2:$Y$720,3,FALSE)</f>
        <v>プラスル</v>
      </c>
      <c r="D328" s="136" t="str">
        <f>VLOOKUP(A328,伤害计算器!$V$2:$Y$720,4,FALSE)</f>
        <v>Plusle</v>
      </c>
      <c r="E328" s="131" t="s">
        <v>3764</v>
      </c>
      <c r="F328" s="137"/>
      <c r="G328" s="131" t="s">
        <v>562</v>
      </c>
      <c r="H328" s="138">
        <v>60</v>
      </c>
      <c r="I328" s="139">
        <v>50</v>
      </c>
      <c r="J328" s="140">
        <v>40</v>
      </c>
      <c r="K328" s="141">
        <v>85</v>
      </c>
      <c r="L328" s="142">
        <v>75</v>
      </c>
      <c r="M328" s="143">
        <v>95</v>
      </c>
      <c r="N328" s="144">
        <v>405</v>
      </c>
      <c r="O328" s="145" t="s">
        <v>268</v>
      </c>
      <c r="Q328" s="147">
        <v>4.2</v>
      </c>
      <c r="R328" s="131"/>
    </row>
    <row r="329" ht="24.95" customHeight="1" spans="1:18">
      <c r="A329" s="135" t="s">
        <v>4084</v>
      </c>
      <c r="B329" s="131" t="s">
        <v>4085</v>
      </c>
      <c r="C329" s="136" t="str">
        <f>VLOOKUP(A329,伤害计算器!$V$2:$Y$720,3,FALSE)</f>
        <v>マイナン</v>
      </c>
      <c r="D329" s="136" t="str">
        <f>VLOOKUP(A329,伤害计算器!$V$2:$Y$720,4,FALSE)</f>
        <v>Minun</v>
      </c>
      <c r="E329" s="131" t="s">
        <v>4079</v>
      </c>
      <c r="F329" s="137"/>
      <c r="G329" s="131" t="s">
        <v>4086</v>
      </c>
      <c r="H329" s="138">
        <v>60</v>
      </c>
      <c r="I329" s="139">
        <v>40</v>
      </c>
      <c r="J329" s="140">
        <v>50</v>
      </c>
      <c r="K329" s="141">
        <v>75</v>
      </c>
      <c r="L329" s="142">
        <v>85</v>
      </c>
      <c r="M329" s="143">
        <v>95</v>
      </c>
      <c r="N329" s="144">
        <v>405</v>
      </c>
      <c r="O329" s="145" t="s">
        <v>268</v>
      </c>
      <c r="Q329" s="147">
        <v>4.2</v>
      </c>
      <c r="R329" s="131"/>
    </row>
    <row r="330" ht="24.95" customHeight="1" spans="1:18">
      <c r="A330" s="135" t="s">
        <v>4087</v>
      </c>
      <c r="B330" s="131" t="s">
        <v>4088</v>
      </c>
      <c r="C330" s="136" t="str">
        <f>VLOOKUP(A330,伤害计算器!$V$2:$Y$720,3,FALSE)</f>
        <v>バルビート</v>
      </c>
      <c r="D330" s="136" t="str">
        <f>VLOOKUP(A330,伤害计算器!$V$2:$Y$720,4,FALSE)</f>
        <v>Volbeat</v>
      </c>
      <c r="E330" s="131" t="s">
        <v>3624</v>
      </c>
      <c r="F330" s="131" t="s">
        <v>3333</v>
      </c>
      <c r="G330" s="131" t="s">
        <v>3812</v>
      </c>
      <c r="H330" s="138">
        <v>65</v>
      </c>
      <c r="I330" s="139">
        <v>73</v>
      </c>
      <c r="J330" s="140">
        <v>55</v>
      </c>
      <c r="K330" s="141">
        <v>47</v>
      </c>
      <c r="L330" s="142">
        <v>75</v>
      </c>
      <c r="M330" s="143">
        <v>85</v>
      </c>
      <c r="N330" s="144">
        <v>400</v>
      </c>
      <c r="O330" s="145" t="s">
        <v>272</v>
      </c>
      <c r="Q330" s="147">
        <v>17.7</v>
      </c>
      <c r="R330" s="131"/>
    </row>
    <row r="331" ht="24.95" customHeight="1" spans="1:18">
      <c r="A331" s="135" t="s">
        <v>4089</v>
      </c>
      <c r="B331" s="131" t="s">
        <v>4090</v>
      </c>
      <c r="C331" s="136" t="str">
        <f>VLOOKUP(A331,伤害计算器!$V$2:$Y$720,3,FALSE)</f>
        <v>イルミーゼ</v>
      </c>
      <c r="D331" s="136" t="str">
        <f>VLOOKUP(A331,伤害计算器!$V$2:$Y$720,4,FALSE)</f>
        <v>Illumise</v>
      </c>
      <c r="E331" s="131" t="s">
        <v>3513</v>
      </c>
      <c r="F331" s="131" t="s">
        <v>4091</v>
      </c>
      <c r="G331" s="131" t="s">
        <v>4092</v>
      </c>
      <c r="H331" s="138">
        <v>65</v>
      </c>
      <c r="I331" s="139">
        <v>47</v>
      </c>
      <c r="J331" s="140">
        <v>55</v>
      </c>
      <c r="K331" s="141">
        <v>73</v>
      </c>
      <c r="L331" s="142">
        <v>75</v>
      </c>
      <c r="M331" s="143">
        <v>85</v>
      </c>
      <c r="N331" s="144">
        <v>400</v>
      </c>
      <c r="O331" s="145" t="s">
        <v>272</v>
      </c>
      <c r="Q331" s="147">
        <v>17.7</v>
      </c>
      <c r="R331" s="131"/>
    </row>
    <row r="332" ht="24.95" customHeight="1" spans="1:18">
      <c r="A332" s="135" t="s">
        <v>4093</v>
      </c>
      <c r="B332" s="131" t="s">
        <v>4094</v>
      </c>
      <c r="C332" s="136" t="str">
        <f>VLOOKUP(A332,伤害计算器!$V$2:$Y$720,3,FALSE)</f>
        <v>ロゼリア</v>
      </c>
      <c r="D332" s="136" t="str">
        <f>VLOOKUP(A332,伤害计算器!$V$2:$Y$720,4,FALSE)</f>
        <v>Roselia</v>
      </c>
      <c r="E332" s="131" t="s">
        <v>3604</v>
      </c>
      <c r="F332" s="131" t="s">
        <v>3373</v>
      </c>
      <c r="G332" s="131" t="s">
        <v>3609</v>
      </c>
      <c r="H332" s="138">
        <v>50</v>
      </c>
      <c r="I332" s="139">
        <v>60</v>
      </c>
      <c r="J332" s="140">
        <v>45</v>
      </c>
      <c r="K332" s="141">
        <v>100</v>
      </c>
      <c r="L332" s="142">
        <v>80</v>
      </c>
      <c r="M332" s="143">
        <v>65</v>
      </c>
      <c r="N332" s="144">
        <v>400</v>
      </c>
      <c r="O332" s="145" t="s">
        <v>235</v>
      </c>
      <c r="P332" s="133" t="s">
        <v>270</v>
      </c>
      <c r="Q332" s="147">
        <v>2</v>
      </c>
      <c r="R332" s="131"/>
    </row>
    <row r="333" ht="24.95" customHeight="1" spans="1:18">
      <c r="A333" s="135" t="s">
        <v>4095</v>
      </c>
      <c r="B333" s="131" t="s">
        <v>4096</v>
      </c>
      <c r="C333" s="136" t="str">
        <f>VLOOKUP(A333,伤害计算器!$V$2:$Y$720,3,FALSE)</f>
        <v>ゴクリン</v>
      </c>
      <c r="D333" s="136" t="str">
        <f>VLOOKUP(A333,伤害计算器!$V$2:$Y$720,4,FALSE)</f>
        <v>Gulpin</v>
      </c>
      <c r="E333" s="131" t="s">
        <v>3494</v>
      </c>
      <c r="F333" s="131" t="s">
        <v>3538</v>
      </c>
      <c r="G333" s="131" t="s">
        <v>3486</v>
      </c>
      <c r="H333" s="138">
        <v>70</v>
      </c>
      <c r="I333" s="139">
        <v>43</v>
      </c>
      <c r="J333" s="140">
        <v>53</v>
      </c>
      <c r="K333" s="141">
        <v>43</v>
      </c>
      <c r="L333" s="142">
        <v>53</v>
      </c>
      <c r="M333" s="143">
        <v>40</v>
      </c>
      <c r="N333" s="144">
        <v>302</v>
      </c>
      <c r="O333" s="145" t="s">
        <v>270</v>
      </c>
      <c r="Q333" s="147">
        <v>10.3</v>
      </c>
      <c r="R333" s="131"/>
    </row>
    <row r="334" ht="24.95" customHeight="1" spans="1:18">
      <c r="A334" s="135" t="s">
        <v>4097</v>
      </c>
      <c r="B334" s="131" t="s">
        <v>4098</v>
      </c>
      <c r="C334" s="136" t="str">
        <f>VLOOKUP(A334,伤害计算器!$V$2:$Y$720,3,FALSE)</f>
        <v>マルノーム</v>
      </c>
      <c r="D334" s="136" t="str">
        <f>VLOOKUP(A334,伤害计算器!$V$2:$Y$720,4,FALSE)</f>
        <v>Swalot</v>
      </c>
      <c r="E334" s="131" t="s">
        <v>3494</v>
      </c>
      <c r="F334" s="131" t="s">
        <v>4099</v>
      </c>
      <c r="G334" s="131" t="s">
        <v>3684</v>
      </c>
      <c r="H334" s="138">
        <v>100</v>
      </c>
      <c r="I334" s="139">
        <v>73</v>
      </c>
      <c r="J334" s="140">
        <v>83</v>
      </c>
      <c r="K334" s="141">
        <v>73</v>
      </c>
      <c r="L334" s="142">
        <v>83</v>
      </c>
      <c r="M334" s="143">
        <v>55</v>
      </c>
      <c r="N334" s="144">
        <v>467</v>
      </c>
      <c r="O334" s="145" t="s">
        <v>270</v>
      </c>
      <c r="Q334" s="147">
        <v>80</v>
      </c>
      <c r="R334" s="131"/>
    </row>
    <row r="335" ht="24.95" customHeight="1" spans="1:18">
      <c r="A335" s="135" t="s">
        <v>4100</v>
      </c>
      <c r="B335" s="131" t="s">
        <v>4101</v>
      </c>
      <c r="C335" s="136" t="str">
        <f>VLOOKUP(A335,伤害计算器!$V$2:$Y$720,3,FALSE)</f>
        <v>キバニア</v>
      </c>
      <c r="D335" s="136" t="str">
        <f>VLOOKUP(A335,伤害计算器!$V$2:$Y$720,4,FALSE)</f>
        <v>Carvanha</v>
      </c>
      <c r="E335" s="131" t="s">
        <v>4102</v>
      </c>
      <c r="F335" s="137"/>
      <c r="G335" s="131" t="s">
        <v>3800</v>
      </c>
      <c r="H335" s="138">
        <v>45</v>
      </c>
      <c r="I335" s="139">
        <v>90</v>
      </c>
      <c r="J335" s="140">
        <v>20</v>
      </c>
      <c r="K335" s="141">
        <v>65</v>
      </c>
      <c r="L335" s="142">
        <v>20</v>
      </c>
      <c r="M335" s="143">
        <v>65</v>
      </c>
      <c r="N335" s="144">
        <v>305</v>
      </c>
      <c r="O335" s="145" t="s">
        <v>251</v>
      </c>
      <c r="P335" s="133" t="s">
        <v>275</v>
      </c>
      <c r="Q335" s="147">
        <v>20.8</v>
      </c>
      <c r="R335" s="131"/>
    </row>
    <row r="336" ht="24.95" customHeight="1" spans="1:18">
      <c r="A336" s="135" t="s">
        <v>4103</v>
      </c>
      <c r="B336" s="131" t="s">
        <v>4104</v>
      </c>
      <c r="C336" s="136" t="str">
        <f>VLOOKUP(A336,伤害计算器!$V$2:$Y$720,3,FALSE)</f>
        <v>サメハダー</v>
      </c>
      <c r="D336" s="136" t="str">
        <f>VLOOKUP(A336,伤害计算器!$V$2:$Y$720,4,FALSE)</f>
        <v>Sharpedo</v>
      </c>
      <c r="E336" s="131" t="s">
        <v>4102</v>
      </c>
      <c r="F336" s="137"/>
      <c r="G336" s="131" t="s">
        <v>3800</v>
      </c>
      <c r="H336" s="138">
        <v>70</v>
      </c>
      <c r="I336" s="139">
        <v>120</v>
      </c>
      <c r="J336" s="140">
        <v>40</v>
      </c>
      <c r="K336" s="141">
        <v>95</v>
      </c>
      <c r="L336" s="142">
        <v>40</v>
      </c>
      <c r="M336" s="143">
        <v>95</v>
      </c>
      <c r="N336" s="144">
        <v>460</v>
      </c>
      <c r="O336" s="145" t="s">
        <v>251</v>
      </c>
      <c r="P336" s="133" t="s">
        <v>275</v>
      </c>
      <c r="Q336" s="147">
        <v>88.8</v>
      </c>
      <c r="R336" s="131"/>
    </row>
    <row r="337" ht="24.95" customHeight="1" spans="1:18">
      <c r="A337" s="135" t="s">
        <v>4103</v>
      </c>
      <c r="B337" s="147" t="s">
        <v>4105</v>
      </c>
      <c r="C337" s="136" t="str">
        <f>VLOOKUP(A337,伤害计算器!$V$2:$Y$720,3,FALSE)</f>
        <v>サメハダー</v>
      </c>
      <c r="D337" s="136" t="str">
        <f>VLOOKUP(A337,伤害计算器!$V$2:$Y$720,4,FALSE)</f>
        <v>Sharpedo</v>
      </c>
      <c r="E337" s="147" t="s">
        <v>43</v>
      </c>
      <c r="F337" s="137"/>
      <c r="G337" s="147" t="s">
        <v>43</v>
      </c>
      <c r="H337" s="138">
        <v>70</v>
      </c>
      <c r="I337" s="139">
        <v>140</v>
      </c>
      <c r="J337" s="140">
        <v>70</v>
      </c>
      <c r="K337" s="141">
        <v>110</v>
      </c>
      <c r="L337" s="142">
        <v>65</v>
      </c>
      <c r="M337" s="143">
        <v>105</v>
      </c>
      <c r="N337" s="144">
        <v>560</v>
      </c>
      <c r="O337" s="145" t="s">
        <v>251</v>
      </c>
      <c r="P337" s="133" t="s">
        <v>275</v>
      </c>
      <c r="Q337" s="147">
        <v>130.3</v>
      </c>
      <c r="R337" s="131"/>
    </row>
    <row r="338" ht="24.95" customHeight="1" spans="1:18">
      <c r="A338" s="135" t="s">
        <v>4106</v>
      </c>
      <c r="B338" s="131" t="s">
        <v>4107</v>
      </c>
      <c r="C338" s="136" t="str">
        <f>VLOOKUP(A338,伤害计算器!$V$2:$Y$720,3,FALSE)</f>
        <v>ホエルコ</v>
      </c>
      <c r="D338" s="136" t="str">
        <f>VLOOKUP(A338,伤害计算器!$V$2:$Y$720,4,FALSE)</f>
        <v>Wailmer</v>
      </c>
      <c r="E338" s="131" t="s">
        <v>3619</v>
      </c>
      <c r="F338" s="131" t="s">
        <v>4108</v>
      </c>
      <c r="G338" s="131" t="s">
        <v>4109</v>
      </c>
      <c r="H338" s="138">
        <v>130</v>
      </c>
      <c r="I338" s="139">
        <v>70</v>
      </c>
      <c r="J338" s="140">
        <v>35</v>
      </c>
      <c r="K338" s="141">
        <v>70</v>
      </c>
      <c r="L338" s="142">
        <v>35</v>
      </c>
      <c r="M338" s="143">
        <v>60</v>
      </c>
      <c r="N338" s="144">
        <v>400</v>
      </c>
      <c r="O338" s="145" t="s">
        <v>251</v>
      </c>
      <c r="Q338" s="147">
        <v>130</v>
      </c>
      <c r="R338" s="131"/>
    </row>
    <row r="339" ht="24.95" customHeight="1" spans="1:18">
      <c r="A339" s="135" t="s">
        <v>4110</v>
      </c>
      <c r="B339" s="131" t="s">
        <v>4111</v>
      </c>
      <c r="C339" s="136" t="str">
        <f>VLOOKUP(A339,伤害计算器!$V$2:$Y$720,3,FALSE)</f>
        <v>ホエルオー</v>
      </c>
      <c r="D339" s="136" t="str">
        <f>VLOOKUP(A339,伤害计算器!$V$2:$Y$720,4,FALSE)</f>
        <v>Wailord</v>
      </c>
      <c r="E339" s="131" t="s">
        <v>3619</v>
      </c>
      <c r="F339" s="131" t="s">
        <v>3513</v>
      </c>
      <c r="G339" s="131" t="s">
        <v>3679</v>
      </c>
      <c r="H339" s="138">
        <v>170</v>
      </c>
      <c r="I339" s="139">
        <v>90</v>
      </c>
      <c r="J339" s="140">
        <v>45</v>
      </c>
      <c r="K339" s="141">
        <v>90</v>
      </c>
      <c r="L339" s="142">
        <v>45</v>
      </c>
      <c r="M339" s="143">
        <v>60</v>
      </c>
      <c r="N339" s="144">
        <v>500</v>
      </c>
      <c r="O339" s="145" t="s">
        <v>251</v>
      </c>
      <c r="Q339" s="147">
        <v>398</v>
      </c>
      <c r="R339" s="131"/>
    </row>
    <row r="340" ht="24.95" customHeight="1" spans="1:18">
      <c r="A340" s="135" t="s">
        <v>4112</v>
      </c>
      <c r="B340" s="131" t="s">
        <v>4113</v>
      </c>
      <c r="C340" s="136" t="str">
        <f>VLOOKUP(A340,伤害计算器!$V$2:$Y$720,3,FALSE)</f>
        <v>ドンメル</v>
      </c>
      <c r="D340" s="136" t="str">
        <f>VLOOKUP(A340,伤害计算器!$V$2:$Y$720,4,FALSE)</f>
        <v>Numel</v>
      </c>
      <c r="E340" s="131" t="s">
        <v>3513</v>
      </c>
      <c r="F340" s="131" t="s">
        <v>4114</v>
      </c>
      <c r="G340" s="131" t="s">
        <v>3514</v>
      </c>
      <c r="H340" s="138">
        <v>60</v>
      </c>
      <c r="I340" s="139">
        <v>60</v>
      </c>
      <c r="J340" s="140">
        <v>40</v>
      </c>
      <c r="K340" s="141">
        <v>65</v>
      </c>
      <c r="L340" s="142">
        <v>45</v>
      </c>
      <c r="M340" s="143">
        <v>35</v>
      </c>
      <c r="N340" s="144">
        <v>305</v>
      </c>
      <c r="O340" s="145" t="s">
        <v>250</v>
      </c>
      <c r="P340" s="133" t="s">
        <v>237</v>
      </c>
      <c r="Q340" s="147">
        <v>24</v>
      </c>
      <c r="R340" s="131"/>
    </row>
    <row r="341" ht="24.95" customHeight="1" spans="1:18">
      <c r="A341" s="135" t="s">
        <v>4115</v>
      </c>
      <c r="B341" s="131" t="s">
        <v>4116</v>
      </c>
      <c r="C341" s="136" t="str">
        <f>VLOOKUP(A341,伤害计算器!$V$2:$Y$720,3,FALSE)</f>
        <v>バクーダ</v>
      </c>
      <c r="D341" s="136" t="str">
        <f>VLOOKUP(A341,伤害计算器!$V$2:$Y$720,4,FALSE)</f>
        <v>Camerupt</v>
      </c>
      <c r="E341" s="131" t="s">
        <v>3866</v>
      </c>
      <c r="F341" s="131" t="s">
        <v>4117</v>
      </c>
      <c r="G341" s="131" t="s">
        <v>3454</v>
      </c>
      <c r="H341" s="138">
        <v>70</v>
      </c>
      <c r="I341" s="139">
        <v>100</v>
      </c>
      <c r="J341" s="140">
        <v>70</v>
      </c>
      <c r="K341" s="141">
        <v>105</v>
      </c>
      <c r="L341" s="142">
        <v>75</v>
      </c>
      <c r="M341" s="143">
        <v>40</v>
      </c>
      <c r="N341" s="144">
        <v>460</v>
      </c>
      <c r="O341" s="145" t="s">
        <v>250</v>
      </c>
      <c r="P341" s="133" t="s">
        <v>237</v>
      </c>
      <c r="Q341" s="147">
        <v>220</v>
      </c>
      <c r="R341" s="131"/>
    </row>
    <row r="342" ht="24.95" customHeight="1" spans="1:18">
      <c r="A342" s="135" t="s">
        <v>4115</v>
      </c>
      <c r="B342" s="147" t="s">
        <v>4118</v>
      </c>
      <c r="C342" s="136" t="str">
        <f>VLOOKUP(A342,伤害计算器!$V$2:$Y$720,3,FALSE)</f>
        <v>バクーダ</v>
      </c>
      <c r="D342" s="136" t="str">
        <f>VLOOKUP(A342,伤害计算器!$V$2:$Y$720,4,FALSE)</f>
        <v>Camerupt</v>
      </c>
      <c r="E342" s="147" t="s">
        <v>41</v>
      </c>
      <c r="F342" s="136"/>
      <c r="G342" s="136" t="s">
        <v>41</v>
      </c>
      <c r="H342" s="138">
        <v>70</v>
      </c>
      <c r="I342" s="139">
        <v>120</v>
      </c>
      <c r="J342" s="140">
        <v>100</v>
      </c>
      <c r="K342" s="141">
        <v>145</v>
      </c>
      <c r="L342" s="142">
        <v>105</v>
      </c>
      <c r="M342" s="143">
        <v>20</v>
      </c>
      <c r="N342" s="144">
        <v>560</v>
      </c>
      <c r="O342" s="145" t="s">
        <v>250</v>
      </c>
      <c r="P342" s="133" t="s">
        <v>237</v>
      </c>
      <c r="Q342" s="147">
        <v>320.5</v>
      </c>
      <c r="R342" s="131"/>
    </row>
    <row r="343" ht="24.95" customHeight="1" spans="1:18">
      <c r="A343" s="135" t="s">
        <v>4119</v>
      </c>
      <c r="B343" s="131" t="s">
        <v>4120</v>
      </c>
      <c r="C343" s="136" t="str">
        <f>VLOOKUP(A343,伤害计算器!$V$2:$Y$720,3,FALSE)</f>
        <v>コータス</v>
      </c>
      <c r="D343" s="136" t="str">
        <f>VLOOKUP(A343,伤害计算器!$V$2:$Y$720,4,FALSE)</f>
        <v>Torkoal</v>
      </c>
      <c r="E343" s="131" t="s">
        <v>4121</v>
      </c>
      <c r="F343" s="137"/>
      <c r="G343" s="131" t="s">
        <v>4122</v>
      </c>
      <c r="H343" s="138">
        <v>70</v>
      </c>
      <c r="I343" s="139">
        <v>85</v>
      </c>
      <c r="J343" s="140">
        <v>140</v>
      </c>
      <c r="K343" s="141">
        <v>85</v>
      </c>
      <c r="L343" s="142">
        <v>70</v>
      </c>
      <c r="M343" s="143">
        <v>20</v>
      </c>
      <c r="N343" s="144">
        <v>470</v>
      </c>
      <c r="O343" s="145" t="s">
        <v>250</v>
      </c>
      <c r="Q343" s="147">
        <v>80.4</v>
      </c>
      <c r="R343" s="131"/>
    </row>
    <row r="344" ht="24.95" customHeight="1" spans="1:18">
      <c r="A344" s="135" t="s">
        <v>4123</v>
      </c>
      <c r="B344" s="131" t="s">
        <v>4124</v>
      </c>
      <c r="C344" s="136" t="str">
        <f>VLOOKUP(A344,伤害计算器!$V$2:$Y$720,3,FALSE)</f>
        <v>バネブー</v>
      </c>
      <c r="D344" s="136" t="str">
        <f>VLOOKUP(A344,伤害计算器!$V$2:$Y$720,4,FALSE)</f>
        <v>Spoink</v>
      </c>
      <c r="E344" s="131" t="s">
        <v>70</v>
      </c>
      <c r="F344" s="131" t="s">
        <v>3514</v>
      </c>
      <c r="G344" s="131" t="s">
        <v>3486</v>
      </c>
      <c r="H344" s="138">
        <v>60</v>
      </c>
      <c r="I344" s="139">
        <v>25</v>
      </c>
      <c r="J344" s="140">
        <v>35</v>
      </c>
      <c r="K344" s="141">
        <v>70</v>
      </c>
      <c r="L344" s="142">
        <v>80</v>
      </c>
      <c r="M344" s="143">
        <v>60</v>
      </c>
      <c r="N344" s="144">
        <v>330</v>
      </c>
      <c r="O344" s="145" t="s">
        <v>271</v>
      </c>
      <c r="Q344" s="147">
        <v>30.6</v>
      </c>
      <c r="R344" s="131"/>
    </row>
    <row r="345" ht="24.95" customHeight="1" spans="1:18">
      <c r="A345" s="135" t="s">
        <v>4125</v>
      </c>
      <c r="B345" s="131" t="s">
        <v>4126</v>
      </c>
      <c r="C345" s="136" t="str">
        <f>VLOOKUP(A345,伤害计算器!$V$2:$Y$720,3,FALSE)</f>
        <v>ブーピッグ</v>
      </c>
      <c r="D345" s="136" t="str">
        <f>VLOOKUP(A345,伤害计算器!$V$2:$Y$720,4,FALSE)</f>
        <v>Grumpig</v>
      </c>
      <c r="E345" s="131" t="s">
        <v>70</v>
      </c>
      <c r="F345" s="131" t="s">
        <v>3514</v>
      </c>
      <c r="G345" s="131" t="s">
        <v>3486</v>
      </c>
      <c r="H345" s="138">
        <v>80</v>
      </c>
      <c r="I345" s="139">
        <v>45</v>
      </c>
      <c r="J345" s="140">
        <v>65</v>
      </c>
      <c r="K345" s="141">
        <v>90</v>
      </c>
      <c r="L345" s="142">
        <v>110</v>
      </c>
      <c r="M345" s="143">
        <v>80</v>
      </c>
      <c r="N345" s="144">
        <v>470</v>
      </c>
      <c r="O345" s="145" t="s">
        <v>271</v>
      </c>
      <c r="Q345" s="147">
        <v>71.5</v>
      </c>
      <c r="R345" s="131"/>
    </row>
    <row r="346" ht="24.95" customHeight="1" spans="1:18">
      <c r="A346" s="135" t="s">
        <v>4127</v>
      </c>
      <c r="B346" s="131" t="s">
        <v>4128</v>
      </c>
      <c r="C346" s="136" t="str">
        <f>VLOOKUP(A346,伤害计算器!$V$2:$Y$720,3,FALSE)</f>
        <v>パッチール</v>
      </c>
      <c r="D346" s="136" t="str">
        <f>VLOOKUP(A346,伤害计算器!$V$2:$Y$720,4,FALSE)</f>
        <v>Spinda</v>
      </c>
      <c r="E346" s="131" t="s">
        <v>3514</v>
      </c>
      <c r="F346" s="131" t="s">
        <v>79</v>
      </c>
      <c r="G346" s="131" t="s">
        <v>3852</v>
      </c>
      <c r="H346" s="138">
        <v>60</v>
      </c>
      <c r="I346" s="139">
        <v>60</v>
      </c>
      <c r="J346" s="140">
        <v>60</v>
      </c>
      <c r="K346" s="141">
        <v>60</v>
      </c>
      <c r="L346" s="142">
        <v>60</v>
      </c>
      <c r="M346" s="143">
        <v>60</v>
      </c>
      <c r="N346" s="144">
        <v>360</v>
      </c>
      <c r="O346" s="145" t="s">
        <v>267</v>
      </c>
      <c r="Q346" s="147">
        <v>5</v>
      </c>
      <c r="R346" s="131"/>
    </row>
    <row r="347" ht="24.95" customHeight="1" spans="1:18">
      <c r="A347" s="135" t="s">
        <v>4129</v>
      </c>
      <c r="B347" s="131" t="s">
        <v>4130</v>
      </c>
      <c r="C347" s="136" t="str">
        <f>VLOOKUP(A347,伤害计算器!$V$2:$Y$720,3,FALSE)</f>
        <v>ナックラー</v>
      </c>
      <c r="D347" s="136" t="str">
        <f>VLOOKUP(A347,伤害计算器!$V$2:$Y$720,4,FALSE)</f>
        <v>Trapinch</v>
      </c>
      <c r="E347" s="131" t="s">
        <v>3569</v>
      </c>
      <c r="F347" s="131" t="s">
        <v>3434</v>
      </c>
      <c r="G347" s="131" t="s">
        <v>41</v>
      </c>
      <c r="H347" s="138">
        <v>45</v>
      </c>
      <c r="I347" s="139">
        <v>100</v>
      </c>
      <c r="J347" s="140">
        <v>45</v>
      </c>
      <c r="K347" s="141">
        <v>45</v>
      </c>
      <c r="L347" s="142">
        <v>45</v>
      </c>
      <c r="M347" s="143">
        <v>10</v>
      </c>
      <c r="N347" s="144">
        <v>290</v>
      </c>
      <c r="O347" s="145" t="s">
        <v>237</v>
      </c>
      <c r="Q347" s="147">
        <v>15</v>
      </c>
      <c r="R347" s="131"/>
    </row>
    <row r="348" ht="24.95" customHeight="1" spans="1:18">
      <c r="A348" s="135" t="s">
        <v>4131</v>
      </c>
      <c r="B348" s="131" t="s">
        <v>4132</v>
      </c>
      <c r="C348" s="136" t="str">
        <f>VLOOKUP(A348,伤害计算器!$V$2:$Y$720,3,FALSE)</f>
        <v>ビブラーバ</v>
      </c>
      <c r="D348" s="136" t="str">
        <f>VLOOKUP(A348,伤害计算器!$V$2:$Y$720,4,FALSE)</f>
        <v>Vibrava</v>
      </c>
      <c r="E348" s="131" t="s">
        <v>582</v>
      </c>
      <c r="F348" s="137"/>
      <c r="G348" s="131" t="s">
        <v>582</v>
      </c>
      <c r="H348" s="138">
        <v>50</v>
      </c>
      <c r="I348" s="139">
        <v>70</v>
      </c>
      <c r="J348" s="140">
        <v>50</v>
      </c>
      <c r="K348" s="141">
        <v>50</v>
      </c>
      <c r="L348" s="142">
        <v>50</v>
      </c>
      <c r="M348" s="143">
        <v>70</v>
      </c>
      <c r="N348" s="144">
        <v>340</v>
      </c>
      <c r="O348" s="145" t="s">
        <v>237</v>
      </c>
      <c r="P348" s="133" t="s">
        <v>274</v>
      </c>
      <c r="Q348" s="147">
        <v>15.3</v>
      </c>
      <c r="R348" s="131"/>
    </row>
    <row r="349" ht="24.95" customHeight="1" spans="1:18">
      <c r="A349" s="135" t="s">
        <v>4133</v>
      </c>
      <c r="B349" s="131" t="s">
        <v>4134</v>
      </c>
      <c r="C349" s="136" t="str">
        <f>VLOOKUP(A349,伤害计算器!$V$2:$Y$720,3,FALSE)</f>
        <v>フライゴン</v>
      </c>
      <c r="D349" s="136" t="str">
        <f>VLOOKUP(A349,伤害计算器!$V$2:$Y$720,4,FALSE)</f>
        <v>Flygon</v>
      </c>
      <c r="E349" s="131" t="s">
        <v>582</v>
      </c>
      <c r="F349" s="137"/>
      <c r="G349" s="131" t="s">
        <v>582</v>
      </c>
      <c r="H349" s="138">
        <v>80</v>
      </c>
      <c r="I349" s="139">
        <v>100</v>
      </c>
      <c r="J349" s="140">
        <v>80</v>
      </c>
      <c r="K349" s="141">
        <v>80</v>
      </c>
      <c r="L349" s="142">
        <v>80</v>
      </c>
      <c r="M349" s="143">
        <v>100</v>
      </c>
      <c r="N349" s="144">
        <v>520</v>
      </c>
      <c r="O349" s="145" t="s">
        <v>237</v>
      </c>
      <c r="P349" s="133" t="s">
        <v>274</v>
      </c>
      <c r="Q349" s="147">
        <v>82</v>
      </c>
      <c r="R349" s="131"/>
    </row>
    <row r="350" ht="24.95" customHeight="1" spans="1:18">
      <c r="A350" s="135" t="s">
        <v>4135</v>
      </c>
      <c r="B350" s="131" t="s">
        <v>4136</v>
      </c>
      <c r="C350" s="136" t="str">
        <f>VLOOKUP(A350,伤害计算器!$V$2:$Y$720,3,FALSE)</f>
        <v>サボネア</v>
      </c>
      <c r="D350" s="136" t="str">
        <f>VLOOKUP(A350,伤害计算器!$V$2:$Y$720,4,FALSE)</f>
        <v>Cacnea</v>
      </c>
      <c r="E350" s="131" t="s">
        <v>80</v>
      </c>
      <c r="F350" s="137"/>
      <c r="G350" s="131" t="s">
        <v>3658</v>
      </c>
      <c r="H350" s="138">
        <v>50</v>
      </c>
      <c r="I350" s="139">
        <v>85</v>
      </c>
      <c r="J350" s="140">
        <v>40</v>
      </c>
      <c r="K350" s="141">
        <v>85</v>
      </c>
      <c r="L350" s="142">
        <v>40</v>
      </c>
      <c r="M350" s="143">
        <v>35</v>
      </c>
      <c r="N350" s="144">
        <v>335</v>
      </c>
      <c r="O350" s="145" t="s">
        <v>235</v>
      </c>
      <c r="Q350" s="147">
        <v>51.3</v>
      </c>
      <c r="R350" s="131"/>
    </row>
    <row r="351" ht="24.95" customHeight="1" spans="1:18">
      <c r="A351" s="135" t="s">
        <v>4137</v>
      </c>
      <c r="B351" s="131" t="s">
        <v>4138</v>
      </c>
      <c r="C351" s="136" t="str">
        <f>VLOOKUP(A351,伤害计算器!$V$2:$Y$720,3,FALSE)</f>
        <v>ノクタス</v>
      </c>
      <c r="D351" s="136" t="str">
        <f>VLOOKUP(A351,伤害计算器!$V$2:$Y$720,4,FALSE)</f>
        <v>Cacturne</v>
      </c>
      <c r="E351" s="131" t="s">
        <v>80</v>
      </c>
      <c r="F351" s="137"/>
      <c r="G351" s="131" t="s">
        <v>533</v>
      </c>
      <c r="H351" s="138">
        <v>70</v>
      </c>
      <c r="I351" s="139">
        <v>115</v>
      </c>
      <c r="J351" s="140">
        <v>60</v>
      </c>
      <c r="K351" s="141">
        <v>115</v>
      </c>
      <c r="L351" s="142">
        <v>60</v>
      </c>
      <c r="M351" s="143">
        <v>55</v>
      </c>
      <c r="N351" s="144">
        <v>475</v>
      </c>
      <c r="O351" s="145" t="s">
        <v>235</v>
      </c>
      <c r="P351" s="133" t="s">
        <v>275</v>
      </c>
      <c r="Q351" s="147">
        <v>77.4</v>
      </c>
      <c r="R351" s="131"/>
    </row>
    <row r="352" ht="24.95" customHeight="1" spans="1:18">
      <c r="A352" s="135" t="s">
        <v>4139</v>
      </c>
      <c r="B352" s="131" t="s">
        <v>4140</v>
      </c>
      <c r="C352" s="136" t="str">
        <f>VLOOKUP(A352,伤害计算器!$V$2:$Y$720,3,FALSE)</f>
        <v>チルット</v>
      </c>
      <c r="D352" s="136" t="str">
        <f>VLOOKUP(A352,伤害计算器!$V$2:$Y$720,4,FALSE)</f>
        <v>Swablu</v>
      </c>
      <c r="E352" s="131" t="s">
        <v>3604</v>
      </c>
      <c r="F352" s="137"/>
      <c r="G352" s="131" t="s">
        <v>220</v>
      </c>
      <c r="H352" s="138">
        <v>45</v>
      </c>
      <c r="I352" s="139">
        <v>40</v>
      </c>
      <c r="J352" s="140">
        <v>60</v>
      </c>
      <c r="K352" s="141">
        <v>40</v>
      </c>
      <c r="L352" s="142">
        <v>75</v>
      </c>
      <c r="M352" s="143">
        <v>50</v>
      </c>
      <c r="N352" s="144">
        <v>310</v>
      </c>
      <c r="O352" s="145" t="s">
        <v>267</v>
      </c>
      <c r="P352" s="133" t="s">
        <v>99</v>
      </c>
      <c r="Q352" s="147">
        <v>1.2</v>
      </c>
      <c r="R352" s="131"/>
    </row>
    <row r="353" ht="24.95" customHeight="1" spans="1:18">
      <c r="A353" s="135" t="s">
        <v>4141</v>
      </c>
      <c r="B353" s="131" t="s">
        <v>4142</v>
      </c>
      <c r="C353" s="136" t="str">
        <f>VLOOKUP(A353,伤害计算器!$V$2:$Y$720,3,FALSE)</f>
        <v>チルタリス</v>
      </c>
      <c r="D353" s="136" t="str">
        <f>VLOOKUP(A353,伤害计算器!$V$2:$Y$720,4,FALSE)</f>
        <v>Altaria</v>
      </c>
      <c r="E353" s="131" t="s">
        <v>3604</v>
      </c>
      <c r="F353" s="137"/>
      <c r="G353" s="131" t="s">
        <v>220</v>
      </c>
      <c r="H353" s="138">
        <v>75</v>
      </c>
      <c r="I353" s="139">
        <v>70</v>
      </c>
      <c r="J353" s="140">
        <v>90</v>
      </c>
      <c r="K353" s="141">
        <v>70</v>
      </c>
      <c r="L353" s="142">
        <v>105</v>
      </c>
      <c r="M353" s="143">
        <v>80</v>
      </c>
      <c r="N353" s="144">
        <v>490</v>
      </c>
      <c r="O353" s="145" t="s">
        <v>274</v>
      </c>
      <c r="P353" s="133" t="s">
        <v>99</v>
      </c>
      <c r="Q353" s="147">
        <v>20.6</v>
      </c>
      <c r="R353" s="131"/>
    </row>
    <row r="354" ht="24.95" customHeight="1" spans="1:18">
      <c r="A354" s="135" t="s">
        <v>4141</v>
      </c>
      <c r="B354" s="147" t="s">
        <v>4143</v>
      </c>
      <c r="C354" s="136" t="str">
        <f>VLOOKUP(A354,伤害计算器!$V$2:$Y$720,3,FALSE)</f>
        <v>チルタリス</v>
      </c>
      <c r="D354" s="136" t="str">
        <f>VLOOKUP(A354,伤害计算器!$V$2:$Y$720,4,FALSE)</f>
        <v>Altaria</v>
      </c>
      <c r="E354" s="147" t="s">
        <v>50</v>
      </c>
      <c r="F354" s="137"/>
      <c r="G354" s="136" t="s">
        <v>50</v>
      </c>
      <c r="H354" s="138">
        <v>75</v>
      </c>
      <c r="I354" s="139">
        <v>110</v>
      </c>
      <c r="J354" s="140">
        <v>110</v>
      </c>
      <c r="K354" s="141">
        <v>110</v>
      </c>
      <c r="L354" s="142">
        <v>105</v>
      </c>
      <c r="M354" s="143">
        <v>80</v>
      </c>
      <c r="N354" s="144">
        <v>590</v>
      </c>
      <c r="O354" s="145" t="s">
        <v>274</v>
      </c>
      <c r="P354" s="133" t="s">
        <v>98</v>
      </c>
      <c r="Q354" s="147">
        <v>20.6</v>
      </c>
      <c r="R354" s="131"/>
    </row>
    <row r="355" ht="24.95" customHeight="1" spans="1:18">
      <c r="A355" s="135" t="s">
        <v>4144</v>
      </c>
      <c r="B355" s="131" t="s">
        <v>4145</v>
      </c>
      <c r="C355" s="136" t="str">
        <f>VLOOKUP(A355,伤害计算器!$V$2:$Y$720,3,FALSE)</f>
        <v>ザングース</v>
      </c>
      <c r="D355" s="136" t="str">
        <f>VLOOKUP(A355,伤害计算器!$V$2:$Y$720,4,FALSE)</f>
        <v>Zangoose</v>
      </c>
      <c r="E355" s="131" t="s">
        <v>3682</v>
      </c>
      <c r="F355" s="137"/>
      <c r="G355" s="131" t="s">
        <v>46</v>
      </c>
      <c r="H355" s="138">
        <v>73</v>
      </c>
      <c r="I355" s="139">
        <v>115</v>
      </c>
      <c r="J355" s="140">
        <v>60</v>
      </c>
      <c r="K355" s="141">
        <v>60</v>
      </c>
      <c r="L355" s="142">
        <v>60</v>
      </c>
      <c r="M355" s="143">
        <v>90</v>
      </c>
      <c r="N355" s="144">
        <v>458</v>
      </c>
      <c r="O355" s="145" t="s">
        <v>267</v>
      </c>
      <c r="Q355" s="147">
        <v>40.3</v>
      </c>
      <c r="R355" s="131"/>
    </row>
    <row r="356" ht="24.95" customHeight="1" spans="1:18">
      <c r="A356" s="135" t="s">
        <v>4146</v>
      </c>
      <c r="B356" s="131" t="s">
        <v>4147</v>
      </c>
      <c r="C356" s="136" t="str">
        <f>VLOOKUP(A356,伤害计算器!$V$2:$Y$720,3,FALSE)</f>
        <v>ハブネーク</v>
      </c>
      <c r="D356" s="136" t="str">
        <f>VLOOKUP(A356,伤害计算器!$V$2:$Y$720,4,FALSE)</f>
        <v>Seviper</v>
      </c>
      <c r="E356" s="131" t="s">
        <v>3323</v>
      </c>
      <c r="F356" s="137"/>
      <c r="G356" s="131" t="s">
        <v>3410</v>
      </c>
      <c r="H356" s="138">
        <v>73</v>
      </c>
      <c r="I356" s="139">
        <v>100</v>
      </c>
      <c r="J356" s="140">
        <v>60</v>
      </c>
      <c r="K356" s="141">
        <v>100</v>
      </c>
      <c r="L356" s="142">
        <v>60</v>
      </c>
      <c r="M356" s="143">
        <v>65</v>
      </c>
      <c r="N356" s="144">
        <v>458</v>
      </c>
      <c r="O356" s="145" t="s">
        <v>270</v>
      </c>
      <c r="Q356" s="147">
        <v>52.5</v>
      </c>
      <c r="R356" s="131"/>
    </row>
    <row r="357" ht="24.95" customHeight="1" spans="1:18">
      <c r="A357" s="135" t="s">
        <v>4148</v>
      </c>
      <c r="B357" s="131" t="s">
        <v>4149</v>
      </c>
      <c r="C357" s="136" t="str">
        <f>VLOOKUP(A357,伤害计算器!$V$2:$Y$720,3,FALSE)</f>
        <v>ルナトーン</v>
      </c>
      <c r="D357" s="136" t="str">
        <f>VLOOKUP(A357,伤害计算器!$V$2:$Y$720,4,FALSE)</f>
        <v>Lunatone</v>
      </c>
      <c r="E357" s="131" t="s">
        <v>582</v>
      </c>
      <c r="F357" s="137"/>
      <c r="G357" s="137"/>
      <c r="H357" s="138">
        <v>70</v>
      </c>
      <c r="I357" s="139">
        <v>55</v>
      </c>
      <c r="J357" s="140">
        <v>65</v>
      </c>
      <c r="K357" s="141">
        <v>95</v>
      </c>
      <c r="L357" s="142">
        <v>85</v>
      </c>
      <c r="M357" s="143">
        <v>70</v>
      </c>
      <c r="N357" s="144">
        <v>440</v>
      </c>
      <c r="O357" s="145" t="s">
        <v>252</v>
      </c>
      <c r="P357" s="133" t="s">
        <v>271</v>
      </c>
      <c r="Q357" s="147">
        <v>168</v>
      </c>
      <c r="R357" s="131"/>
    </row>
    <row r="358" ht="24.95" customHeight="1" spans="1:18">
      <c r="A358" s="135" t="s">
        <v>4150</v>
      </c>
      <c r="B358" s="131" t="s">
        <v>4151</v>
      </c>
      <c r="C358" s="136" t="str">
        <f>VLOOKUP(A358,伤害计算器!$V$2:$Y$720,3,FALSE)</f>
        <v>ソルロック</v>
      </c>
      <c r="D358" s="136" t="str">
        <f>VLOOKUP(A358,伤害计算器!$V$2:$Y$720,4,FALSE)</f>
        <v>Solrock</v>
      </c>
      <c r="E358" s="131" t="s">
        <v>582</v>
      </c>
      <c r="F358" s="137"/>
      <c r="G358" s="137"/>
      <c r="H358" s="138">
        <v>70</v>
      </c>
      <c r="I358" s="139">
        <v>95</v>
      </c>
      <c r="J358" s="140">
        <v>85</v>
      </c>
      <c r="K358" s="141">
        <v>55</v>
      </c>
      <c r="L358" s="142">
        <v>65</v>
      </c>
      <c r="M358" s="143">
        <v>70</v>
      </c>
      <c r="N358" s="144">
        <v>440</v>
      </c>
      <c r="O358" s="145" t="s">
        <v>252</v>
      </c>
      <c r="P358" s="133" t="s">
        <v>271</v>
      </c>
      <c r="Q358" s="147">
        <v>154</v>
      </c>
      <c r="R358" s="131"/>
    </row>
    <row r="359" ht="24.95" customHeight="1" spans="1:18">
      <c r="A359" s="135" t="s">
        <v>4152</v>
      </c>
      <c r="B359" s="131" t="s">
        <v>4153</v>
      </c>
      <c r="C359" s="136" t="str">
        <f>VLOOKUP(A359,伤害计算器!$V$2:$Y$720,3,FALSE)</f>
        <v>ドジョッチ</v>
      </c>
      <c r="D359" s="136" t="str">
        <f>VLOOKUP(A359,伤害计算器!$V$2:$Y$720,4,FALSE)</f>
        <v>Barboach</v>
      </c>
      <c r="E359" s="131" t="s">
        <v>3513</v>
      </c>
      <c r="F359" s="131" t="s">
        <v>3655</v>
      </c>
      <c r="G359" s="131" t="s">
        <v>3532</v>
      </c>
      <c r="H359" s="138">
        <v>50</v>
      </c>
      <c r="I359" s="139">
        <v>48</v>
      </c>
      <c r="J359" s="140">
        <v>43</v>
      </c>
      <c r="K359" s="141">
        <v>46</v>
      </c>
      <c r="L359" s="142">
        <v>41</v>
      </c>
      <c r="M359" s="143">
        <v>60</v>
      </c>
      <c r="N359" s="144">
        <v>288</v>
      </c>
      <c r="O359" s="145" t="s">
        <v>251</v>
      </c>
      <c r="P359" s="133" t="s">
        <v>237</v>
      </c>
      <c r="Q359" s="147">
        <v>1.9</v>
      </c>
      <c r="R359" s="131"/>
    </row>
    <row r="360" ht="24.95" customHeight="1" spans="1:18">
      <c r="A360" s="135" t="s">
        <v>4154</v>
      </c>
      <c r="B360" s="131" t="s">
        <v>4155</v>
      </c>
      <c r="C360" s="136" t="str">
        <f>VLOOKUP(A360,伤害计算器!$V$2:$Y$720,3,FALSE)</f>
        <v>ナマズン</v>
      </c>
      <c r="D360" s="136" t="str">
        <f>VLOOKUP(A360,伤害计算器!$V$2:$Y$720,4,FALSE)</f>
        <v>Whiscash</v>
      </c>
      <c r="E360" s="131" t="s">
        <v>3513</v>
      </c>
      <c r="F360" s="131" t="s">
        <v>3655</v>
      </c>
      <c r="G360" s="131" t="s">
        <v>3532</v>
      </c>
      <c r="H360" s="138">
        <v>110</v>
      </c>
      <c r="I360" s="139">
        <v>78</v>
      </c>
      <c r="J360" s="140">
        <v>73</v>
      </c>
      <c r="K360" s="141">
        <v>76</v>
      </c>
      <c r="L360" s="142">
        <v>71</v>
      </c>
      <c r="M360" s="143">
        <v>60</v>
      </c>
      <c r="N360" s="144">
        <v>468</v>
      </c>
      <c r="O360" s="145" t="s">
        <v>251</v>
      </c>
      <c r="P360" s="133" t="s">
        <v>237</v>
      </c>
      <c r="Q360" s="147">
        <v>23.6</v>
      </c>
      <c r="R360" s="131"/>
    </row>
    <row r="361" ht="24.95" customHeight="1" spans="1:18">
      <c r="A361" s="135" t="s">
        <v>4156</v>
      </c>
      <c r="B361" s="131" t="s">
        <v>4157</v>
      </c>
      <c r="C361" s="136" t="str">
        <f>VLOOKUP(A361,伤害计算器!$V$2:$Y$720,3,FALSE)</f>
        <v>ヘイガニ</v>
      </c>
      <c r="D361" s="136" t="str">
        <f>VLOOKUP(A361,伤害计算器!$V$2:$Y$720,4,FALSE)</f>
        <v>Corphish</v>
      </c>
      <c r="E361" s="131" t="s">
        <v>3569</v>
      </c>
      <c r="F361" s="131" t="s">
        <v>3544</v>
      </c>
      <c r="G361" s="131" t="s">
        <v>63</v>
      </c>
      <c r="H361" s="138">
        <v>43</v>
      </c>
      <c r="I361" s="139">
        <v>80</v>
      </c>
      <c r="J361" s="140">
        <v>65</v>
      </c>
      <c r="K361" s="141">
        <v>50</v>
      </c>
      <c r="L361" s="142">
        <v>35</v>
      </c>
      <c r="M361" s="143">
        <v>35</v>
      </c>
      <c r="N361" s="144">
        <v>308</v>
      </c>
      <c r="O361" s="145" t="s">
        <v>251</v>
      </c>
      <c r="Q361" s="147">
        <v>11.5</v>
      </c>
      <c r="R361" s="131"/>
    </row>
    <row r="362" ht="24.95" customHeight="1" spans="1:18">
      <c r="A362" s="135" t="s">
        <v>4158</v>
      </c>
      <c r="B362" s="131" t="s">
        <v>4159</v>
      </c>
      <c r="C362" s="136" t="str">
        <f>VLOOKUP(A362,伤害计算器!$V$2:$Y$720,3,FALSE)</f>
        <v>シザリガー</v>
      </c>
      <c r="D362" s="136" t="str">
        <f>VLOOKUP(A362,伤害计算器!$V$2:$Y$720,4,FALSE)</f>
        <v>Crawdaunt</v>
      </c>
      <c r="E362" s="131" t="s">
        <v>3569</v>
      </c>
      <c r="F362" s="131" t="s">
        <v>3544</v>
      </c>
      <c r="G362" s="131" t="s">
        <v>63</v>
      </c>
      <c r="H362" s="138">
        <v>63</v>
      </c>
      <c r="I362" s="139">
        <v>120</v>
      </c>
      <c r="J362" s="140">
        <v>85</v>
      </c>
      <c r="K362" s="141">
        <v>90</v>
      </c>
      <c r="L362" s="142">
        <v>55</v>
      </c>
      <c r="M362" s="143">
        <v>55</v>
      </c>
      <c r="N362" s="144">
        <v>468</v>
      </c>
      <c r="O362" s="145" t="s">
        <v>251</v>
      </c>
      <c r="P362" s="133" t="s">
        <v>275</v>
      </c>
      <c r="Q362" s="147">
        <v>32.8</v>
      </c>
      <c r="R362" s="131"/>
    </row>
    <row r="363" ht="24.95" customHeight="1" spans="1:18">
      <c r="A363" s="135" t="s">
        <v>4160</v>
      </c>
      <c r="B363" s="131" t="s">
        <v>4161</v>
      </c>
      <c r="C363" s="136" t="str">
        <f>VLOOKUP(A363,伤害计算器!$V$2:$Y$720,3,FALSE)</f>
        <v>ヤジロン</v>
      </c>
      <c r="D363" s="136" t="str">
        <f>VLOOKUP(A363,伤害计算器!$V$2:$Y$720,4,FALSE)</f>
        <v>Baltoy</v>
      </c>
      <c r="E363" s="131" t="s">
        <v>582</v>
      </c>
      <c r="F363" s="137"/>
      <c r="G363" s="137"/>
      <c r="H363" s="138">
        <v>40</v>
      </c>
      <c r="I363" s="139">
        <v>40</v>
      </c>
      <c r="J363" s="140">
        <v>55</v>
      </c>
      <c r="K363" s="141">
        <v>40</v>
      </c>
      <c r="L363" s="142">
        <v>70</v>
      </c>
      <c r="M363" s="143">
        <v>55</v>
      </c>
      <c r="N363" s="144">
        <v>300</v>
      </c>
      <c r="O363" s="145" t="s">
        <v>237</v>
      </c>
      <c r="P363" s="133" t="s">
        <v>271</v>
      </c>
      <c r="Q363" s="147">
        <v>21.5</v>
      </c>
      <c r="R363" s="131"/>
    </row>
    <row r="364" ht="24.95" customHeight="1" spans="1:18">
      <c r="A364" s="135" t="s">
        <v>4162</v>
      </c>
      <c r="B364" s="131" t="s">
        <v>4163</v>
      </c>
      <c r="C364" s="136" t="str">
        <f>VLOOKUP(A364,伤害计算器!$V$2:$Y$720,3,FALSE)</f>
        <v>ネンドール</v>
      </c>
      <c r="D364" s="136" t="str">
        <f>VLOOKUP(A364,伤害计算器!$V$2:$Y$720,4,FALSE)</f>
        <v>Claydol</v>
      </c>
      <c r="E364" s="131" t="s">
        <v>582</v>
      </c>
      <c r="F364" s="137"/>
      <c r="G364" s="137"/>
      <c r="H364" s="138">
        <v>60</v>
      </c>
      <c r="I364" s="139">
        <v>70</v>
      </c>
      <c r="J364" s="140">
        <v>105</v>
      </c>
      <c r="K364" s="141">
        <v>70</v>
      </c>
      <c r="L364" s="142">
        <v>120</v>
      </c>
      <c r="M364" s="143">
        <v>75</v>
      </c>
      <c r="N364" s="144">
        <v>500</v>
      </c>
      <c r="O364" s="145" t="s">
        <v>237</v>
      </c>
      <c r="P364" s="133" t="s">
        <v>271</v>
      </c>
      <c r="Q364" s="147">
        <v>107.9</v>
      </c>
      <c r="R364" s="131"/>
    </row>
    <row r="365" ht="24.95" customHeight="1" spans="1:18">
      <c r="A365" s="135" t="s">
        <v>4164</v>
      </c>
      <c r="B365" s="131" t="s">
        <v>4165</v>
      </c>
      <c r="C365" s="136" t="str">
        <f>VLOOKUP(A365,伤害计算器!$V$2:$Y$720,3,FALSE)</f>
        <v>リリーラ</v>
      </c>
      <c r="D365" s="136" t="str">
        <f>VLOOKUP(A365,伤害计算器!$V$2:$Y$720,4,FALSE)</f>
        <v>Lileep</v>
      </c>
      <c r="E365" s="131" t="s">
        <v>3880</v>
      </c>
      <c r="F365" s="137"/>
      <c r="G365" s="131" t="s">
        <v>523</v>
      </c>
      <c r="H365" s="138">
        <v>66</v>
      </c>
      <c r="I365" s="139">
        <v>41</v>
      </c>
      <c r="J365" s="140">
        <v>77</v>
      </c>
      <c r="K365" s="141">
        <v>61</v>
      </c>
      <c r="L365" s="142">
        <v>87</v>
      </c>
      <c r="M365" s="143">
        <v>23</v>
      </c>
      <c r="N365" s="144">
        <v>355</v>
      </c>
      <c r="O365" s="145" t="s">
        <v>252</v>
      </c>
      <c r="P365" s="133" t="s">
        <v>235</v>
      </c>
      <c r="Q365" s="147">
        <v>23.8</v>
      </c>
      <c r="R365" s="131"/>
    </row>
    <row r="366" ht="24.95" customHeight="1" spans="1:18">
      <c r="A366" s="135" t="s">
        <v>4166</v>
      </c>
      <c r="B366" s="131" t="s">
        <v>4167</v>
      </c>
      <c r="C366" s="136" t="str">
        <f>VLOOKUP(A366,伤害计算器!$V$2:$Y$720,3,FALSE)</f>
        <v>ユレイドル</v>
      </c>
      <c r="D366" s="136" t="str">
        <f>VLOOKUP(A366,伤害计算器!$V$2:$Y$720,4,FALSE)</f>
        <v>Cradily</v>
      </c>
      <c r="E366" s="131" t="s">
        <v>3880</v>
      </c>
      <c r="F366" s="137"/>
      <c r="G366" s="131" t="s">
        <v>523</v>
      </c>
      <c r="H366" s="138">
        <v>86</v>
      </c>
      <c r="I366" s="139">
        <v>81</v>
      </c>
      <c r="J366" s="140">
        <v>97</v>
      </c>
      <c r="K366" s="141">
        <v>81</v>
      </c>
      <c r="L366" s="142">
        <v>107</v>
      </c>
      <c r="M366" s="143">
        <v>43</v>
      </c>
      <c r="N366" s="144">
        <v>495</v>
      </c>
      <c r="O366" s="145" t="s">
        <v>252</v>
      </c>
      <c r="P366" s="133" t="s">
        <v>235</v>
      </c>
      <c r="Q366" s="147">
        <v>60.4</v>
      </c>
      <c r="R366" s="131"/>
    </row>
    <row r="367" ht="24.95" customHeight="1" spans="1:18">
      <c r="A367" s="135" t="s">
        <v>4168</v>
      </c>
      <c r="B367" s="131" t="s">
        <v>4169</v>
      </c>
      <c r="C367" s="136" t="str">
        <f>VLOOKUP(A367,伤害计算器!$V$2:$Y$720,3,FALSE)</f>
        <v>アノプス</v>
      </c>
      <c r="D367" s="136" t="str">
        <f>VLOOKUP(A367,伤害计算器!$V$2:$Y$720,4,FALSE)</f>
        <v>Anorith</v>
      </c>
      <c r="E367" s="131" t="s">
        <v>3584</v>
      </c>
      <c r="F367" s="137"/>
      <c r="G367" s="131" t="s">
        <v>3448</v>
      </c>
      <c r="H367" s="138">
        <v>45</v>
      </c>
      <c r="I367" s="139">
        <v>95</v>
      </c>
      <c r="J367" s="140">
        <v>50</v>
      </c>
      <c r="K367" s="141">
        <v>40</v>
      </c>
      <c r="L367" s="142">
        <v>50</v>
      </c>
      <c r="M367" s="143">
        <v>75</v>
      </c>
      <c r="N367" s="144">
        <v>355</v>
      </c>
      <c r="O367" s="145" t="s">
        <v>252</v>
      </c>
      <c r="P367" s="133" t="s">
        <v>272</v>
      </c>
      <c r="Q367" s="147">
        <v>12.5</v>
      </c>
      <c r="R367" s="131"/>
    </row>
    <row r="368" ht="24.95" customHeight="1" spans="1:18">
      <c r="A368" s="135" t="s">
        <v>4170</v>
      </c>
      <c r="B368" s="131" t="s">
        <v>4171</v>
      </c>
      <c r="C368" s="136" t="str">
        <f>VLOOKUP(A368,伤害计算器!$V$2:$Y$720,3,FALSE)</f>
        <v>アーマルド</v>
      </c>
      <c r="D368" s="136" t="str">
        <f>VLOOKUP(A368,伤害计算器!$V$2:$Y$720,4,FALSE)</f>
        <v>Armaldo</v>
      </c>
      <c r="E368" s="131" t="s">
        <v>3584</v>
      </c>
      <c r="F368" s="137"/>
      <c r="G368" s="131" t="s">
        <v>3448</v>
      </c>
      <c r="H368" s="138">
        <v>75</v>
      </c>
      <c r="I368" s="139">
        <v>125</v>
      </c>
      <c r="J368" s="140">
        <v>100</v>
      </c>
      <c r="K368" s="141">
        <v>70</v>
      </c>
      <c r="L368" s="142">
        <v>80</v>
      </c>
      <c r="M368" s="143">
        <v>45</v>
      </c>
      <c r="N368" s="144">
        <v>495</v>
      </c>
      <c r="O368" s="145" t="s">
        <v>252</v>
      </c>
      <c r="P368" s="133" t="s">
        <v>272</v>
      </c>
      <c r="Q368" s="147">
        <v>68.2</v>
      </c>
      <c r="R368" s="131"/>
    </row>
    <row r="369" ht="24.95" customHeight="1" spans="1:18">
      <c r="A369" s="135" t="s">
        <v>4172</v>
      </c>
      <c r="B369" s="131" t="s">
        <v>4173</v>
      </c>
      <c r="C369" s="136" t="str">
        <f>VLOOKUP(A369,伤害计算器!$V$2:$Y$720,3,FALSE)</f>
        <v>ヒンバス</v>
      </c>
      <c r="D369" s="136" t="str">
        <f>VLOOKUP(A369,伤害计算器!$V$2:$Y$720,4,FALSE)</f>
        <v>Feebas</v>
      </c>
      <c r="E369" s="131" t="s">
        <v>3448</v>
      </c>
      <c r="F369" s="137"/>
      <c r="G369" s="131" t="s">
        <v>4174</v>
      </c>
      <c r="H369" s="138">
        <v>20</v>
      </c>
      <c r="I369" s="139">
        <v>15</v>
      </c>
      <c r="J369" s="140">
        <v>20</v>
      </c>
      <c r="K369" s="141">
        <v>10</v>
      </c>
      <c r="L369" s="142">
        <v>55</v>
      </c>
      <c r="M369" s="143">
        <v>80</v>
      </c>
      <c r="N369" s="144">
        <v>200</v>
      </c>
      <c r="O369" s="145" t="s">
        <v>251</v>
      </c>
      <c r="Q369" s="147">
        <v>7.4</v>
      </c>
      <c r="R369" s="131"/>
    </row>
    <row r="370" ht="24.95" customHeight="1" spans="1:18">
      <c r="A370" s="135" t="s">
        <v>4175</v>
      </c>
      <c r="B370" s="131" t="s">
        <v>4176</v>
      </c>
      <c r="C370" s="136" t="str">
        <f>VLOOKUP(A370,伤害计算器!$V$2:$Y$720,3,FALSE)</f>
        <v>ミロカロス</v>
      </c>
      <c r="D370" s="136" t="str">
        <f>VLOOKUP(A370,伤害计算器!$V$2:$Y$720,4,FALSE)</f>
        <v>Milotic</v>
      </c>
      <c r="E370" s="131" t="s">
        <v>73</v>
      </c>
      <c r="F370" s="131" t="s">
        <v>3403</v>
      </c>
      <c r="G370" s="131" t="s">
        <v>3390</v>
      </c>
      <c r="H370" s="138">
        <v>95</v>
      </c>
      <c r="I370" s="139">
        <v>60</v>
      </c>
      <c r="J370" s="140">
        <v>79</v>
      </c>
      <c r="K370" s="141">
        <v>100</v>
      </c>
      <c r="L370" s="142">
        <v>125</v>
      </c>
      <c r="M370" s="143">
        <v>81</v>
      </c>
      <c r="N370" s="144">
        <v>540</v>
      </c>
      <c r="O370" s="145" t="s">
        <v>251</v>
      </c>
      <c r="Q370" s="147">
        <v>162</v>
      </c>
      <c r="R370" s="131"/>
    </row>
    <row r="371" ht="24.95" customHeight="1" spans="1:18">
      <c r="A371" s="135" t="s">
        <v>4177</v>
      </c>
      <c r="B371" s="131" t="s">
        <v>4178</v>
      </c>
      <c r="C371" s="136" t="str">
        <f>VLOOKUP(A371,伤害计算器!$V$2:$Y$720,3,FALSE)</f>
        <v>ポワルン</v>
      </c>
      <c r="D371" s="136" t="str">
        <f>VLOOKUP(A371,伤害计算器!$V$2:$Y$720,4,FALSE)</f>
        <v>Castform</v>
      </c>
      <c r="E371" s="131" t="s">
        <v>4179</v>
      </c>
      <c r="F371" s="137"/>
      <c r="G371" s="137"/>
      <c r="H371" s="138">
        <v>70</v>
      </c>
      <c r="I371" s="139">
        <v>70</v>
      </c>
      <c r="J371" s="140">
        <v>70</v>
      </c>
      <c r="K371" s="141">
        <v>70</v>
      </c>
      <c r="L371" s="142">
        <v>70</v>
      </c>
      <c r="M371" s="143">
        <v>70</v>
      </c>
      <c r="N371" s="144">
        <v>420</v>
      </c>
      <c r="O371" s="145" t="s">
        <v>267</v>
      </c>
      <c r="Q371" s="147">
        <v>0.8</v>
      </c>
      <c r="R371" s="131"/>
    </row>
    <row r="372" ht="24.95" customHeight="1" spans="1:18">
      <c r="A372" s="135" t="s">
        <v>4180</v>
      </c>
      <c r="B372" s="131" t="s">
        <v>4181</v>
      </c>
      <c r="C372" s="136" t="str">
        <f>VLOOKUP(A372,伤害计算器!$V$2:$Y$720,3,FALSE)</f>
        <v>カクレオン</v>
      </c>
      <c r="D372" s="136" t="str">
        <f>VLOOKUP(A372,伤害计算器!$V$2:$Y$720,4,FALSE)</f>
        <v>Kecleon</v>
      </c>
      <c r="E372" s="131" t="s">
        <v>4182</v>
      </c>
      <c r="F372" s="137"/>
      <c r="G372" s="131" t="s">
        <v>82</v>
      </c>
      <c r="H372" s="138">
        <v>60</v>
      </c>
      <c r="I372" s="139">
        <v>90</v>
      </c>
      <c r="J372" s="140">
        <v>70</v>
      </c>
      <c r="K372" s="141">
        <v>60</v>
      </c>
      <c r="L372" s="142">
        <v>120</v>
      </c>
      <c r="M372" s="143">
        <v>40</v>
      </c>
      <c r="N372" s="144">
        <v>440</v>
      </c>
      <c r="O372" s="145" t="s">
        <v>267</v>
      </c>
      <c r="Q372" s="147">
        <v>22</v>
      </c>
      <c r="R372" s="131"/>
    </row>
    <row r="373" ht="24.95" customHeight="1" spans="1:18">
      <c r="A373" s="135" t="s">
        <v>4183</v>
      </c>
      <c r="B373" s="131" t="s">
        <v>4184</v>
      </c>
      <c r="C373" s="136" t="str">
        <f>VLOOKUP(A373,伤害计算器!$V$2:$Y$720,3,FALSE)</f>
        <v>カゲボウズ</v>
      </c>
      <c r="D373" s="136" t="str">
        <f>VLOOKUP(A373,伤害计算器!$V$2:$Y$720,4,FALSE)</f>
        <v>Shuppet</v>
      </c>
      <c r="E373" s="131" t="s">
        <v>3561</v>
      </c>
      <c r="F373" s="131" t="s">
        <v>3406</v>
      </c>
      <c r="G373" s="131" t="s">
        <v>3551</v>
      </c>
      <c r="H373" s="138">
        <v>44</v>
      </c>
      <c r="I373" s="139">
        <v>75</v>
      </c>
      <c r="J373" s="140">
        <v>35</v>
      </c>
      <c r="K373" s="141">
        <v>63</v>
      </c>
      <c r="L373" s="142">
        <v>33</v>
      </c>
      <c r="M373" s="143">
        <v>45</v>
      </c>
      <c r="N373" s="144">
        <v>295</v>
      </c>
      <c r="O373" s="145" t="s">
        <v>273</v>
      </c>
      <c r="Q373" s="147">
        <v>2.3</v>
      </c>
      <c r="R373" s="131"/>
    </row>
    <row r="374" ht="24.95" customHeight="1" spans="1:18">
      <c r="A374" s="135" t="s">
        <v>4185</v>
      </c>
      <c r="B374" s="131" t="s">
        <v>4186</v>
      </c>
      <c r="C374" s="136" t="str">
        <f>VLOOKUP(A374,伤害计算器!$V$2:$Y$720,3,FALSE)</f>
        <v>ジュペッタ</v>
      </c>
      <c r="D374" s="136" t="str">
        <f>VLOOKUP(A374,伤害计算器!$V$2:$Y$720,4,FALSE)</f>
        <v>Banette</v>
      </c>
      <c r="E374" s="131" t="s">
        <v>3561</v>
      </c>
      <c r="F374" s="131" t="s">
        <v>3406</v>
      </c>
      <c r="G374" s="131" t="s">
        <v>3551</v>
      </c>
      <c r="H374" s="138">
        <v>64</v>
      </c>
      <c r="I374" s="139">
        <v>115</v>
      </c>
      <c r="J374" s="140">
        <v>65</v>
      </c>
      <c r="K374" s="141">
        <v>83</v>
      </c>
      <c r="L374" s="142">
        <v>63</v>
      </c>
      <c r="M374" s="143">
        <v>65</v>
      </c>
      <c r="N374" s="144">
        <v>455</v>
      </c>
      <c r="O374" s="145" t="s">
        <v>273</v>
      </c>
      <c r="Q374" s="147">
        <v>12.5</v>
      </c>
      <c r="R374" s="131"/>
    </row>
    <row r="375" ht="24.95" customHeight="1" spans="1:18">
      <c r="A375" s="135" t="s">
        <v>4185</v>
      </c>
      <c r="B375" s="131" t="s">
        <v>4187</v>
      </c>
      <c r="C375" s="136" t="str">
        <f>VLOOKUP(A375,伤害计算器!$V$2:$Y$720,3,FALSE)</f>
        <v>ジュペッタ</v>
      </c>
      <c r="D375" s="136" t="str">
        <f>VLOOKUP(A375,伤害计算器!$V$2:$Y$720,4,FALSE)</f>
        <v>Banette</v>
      </c>
      <c r="E375" s="131" t="s">
        <v>3812</v>
      </c>
      <c r="F375" s="137"/>
      <c r="G375" s="131" t="s">
        <v>3812</v>
      </c>
      <c r="H375" s="138">
        <v>64</v>
      </c>
      <c r="I375" s="139">
        <v>165</v>
      </c>
      <c r="J375" s="140">
        <v>75</v>
      </c>
      <c r="K375" s="141">
        <v>93</v>
      </c>
      <c r="L375" s="142">
        <v>83</v>
      </c>
      <c r="M375" s="143">
        <v>75</v>
      </c>
      <c r="N375" s="144">
        <v>555</v>
      </c>
      <c r="O375" s="145" t="s">
        <v>273</v>
      </c>
      <c r="Q375" s="147">
        <v>13</v>
      </c>
      <c r="R375" s="131"/>
    </row>
    <row r="376" ht="24.95" customHeight="1" spans="1:18">
      <c r="A376" s="135" t="s">
        <v>4188</v>
      </c>
      <c r="B376" s="131" t="s">
        <v>4189</v>
      </c>
      <c r="C376" s="136" t="str">
        <f>VLOOKUP(A376,伤害计算器!$V$2:$Y$720,3,FALSE)</f>
        <v>ヨマワル</v>
      </c>
      <c r="D376" s="136" t="str">
        <f>VLOOKUP(A376,伤害计算器!$V$2:$Y$720,4,FALSE)</f>
        <v>Duskull</v>
      </c>
      <c r="E376" s="131" t="s">
        <v>582</v>
      </c>
      <c r="F376" s="137"/>
      <c r="G376" s="131" t="s">
        <v>4190</v>
      </c>
      <c r="H376" s="138">
        <v>20</v>
      </c>
      <c r="I376" s="139">
        <v>40</v>
      </c>
      <c r="J376" s="140">
        <v>90</v>
      </c>
      <c r="K376" s="141">
        <v>30</v>
      </c>
      <c r="L376" s="142">
        <v>90</v>
      </c>
      <c r="M376" s="143">
        <v>25</v>
      </c>
      <c r="N376" s="144">
        <v>295</v>
      </c>
      <c r="O376" s="145" t="s">
        <v>273</v>
      </c>
      <c r="Q376" s="147">
        <v>15</v>
      </c>
      <c r="R376" s="131"/>
    </row>
    <row r="377" ht="24.95" customHeight="1" spans="1:18">
      <c r="A377" s="135" t="s">
        <v>4191</v>
      </c>
      <c r="B377" s="131" t="s">
        <v>4192</v>
      </c>
      <c r="C377" s="136" t="str">
        <f>VLOOKUP(A377,伤害计算器!$V$2:$Y$720,3,FALSE)</f>
        <v>サマヨール</v>
      </c>
      <c r="D377" s="136" t="str">
        <f>VLOOKUP(A377,伤害计算器!$V$2:$Y$720,4,FALSE)</f>
        <v>Dusclops</v>
      </c>
      <c r="E377" s="131" t="s">
        <v>3679</v>
      </c>
      <c r="F377" s="137"/>
      <c r="G377" s="131" t="s">
        <v>3406</v>
      </c>
      <c r="H377" s="138">
        <v>40</v>
      </c>
      <c r="I377" s="139">
        <v>70</v>
      </c>
      <c r="J377" s="140">
        <v>130</v>
      </c>
      <c r="K377" s="141">
        <v>60</v>
      </c>
      <c r="L377" s="142">
        <v>130</v>
      </c>
      <c r="M377" s="143">
        <v>25</v>
      </c>
      <c r="N377" s="144">
        <v>455</v>
      </c>
      <c r="O377" s="145" t="s">
        <v>273</v>
      </c>
      <c r="Q377" s="147">
        <v>30.6</v>
      </c>
      <c r="R377" s="131"/>
    </row>
    <row r="378" ht="24.95" customHeight="1" spans="1:18">
      <c r="A378" s="135" t="s">
        <v>4193</v>
      </c>
      <c r="B378" s="131" t="s">
        <v>4194</v>
      </c>
      <c r="C378" s="136" t="str">
        <f>VLOOKUP(A378,伤害计算器!$V$2:$Y$720,3,FALSE)</f>
        <v>トロピウス</v>
      </c>
      <c r="D378" s="136" t="str">
        <f>VLOOKUP(A378,伤害计算器!$V$2:$Y$720,4,FALSE)</f>
        <v>Tropius</v>
      </c>
      <c r="E378" s="131" t="s">
        <v>3296</v>
      </c>
      <c r="F378" s="131" t="s">
        <v>60</v>
      </c>
      <c r="G378" s="131" t="s">
        <v>3579</v>
      </c>
      <c r="H378" s="138">
        <v>99</v>
      </c>
      <c r="I378" s="139">
        <v>68</v>
      </c>
      <c r="J378" s="140">
        <v>83</v>
      </c>
      <c r="K378" s="141">
        <v>72</v>
      </c>
      <c r="L378" s="142">
        <v>87</v>
      </c>
      <c r="M378" s="143">
        <v>51</v>
      </c>
      <c r="N378" s="144">
        <v>460</v>
      </c>
      <c r="O378" s="145" t="s">
        <v>235</v>
      </c>
      <c r="P378" s="133" t="s">
        <v>99</v>
      </c>
      <c r="Q378" s="147">
        <v>100</v>
      </c>
      <c r="R378" s="131"/>
    </row>
    <row r="379" ht="24.95" customHeight="1" spans="1:18">
      <c r="A379" s="135" t="s">
        <v>4195</v>
      </c>
      <c r="B379" s="131" t="s">
        <v>4196</v>
      </c>
      <c r="C379" s="136" t="str">
        <f>VLOOKUP(A379,伤害计算器!$V$2:$Y$720,3,FALSE)</f>
        <v>チリーン</v>
      </c>
      <c r="D379" s="136" t="str">
        <f>VLOOKUP(A379,伤害计算器!$V$2:$Y$720,4,FALSE)</f>
        <v>Chimecho</v>
      </c>
      <c r="E379" s="131" t="s">
        <v>582</v>
      </c>
      <c r="F379" s="137"/>
      <c r="G379" s="137"/>
      <c r="H379" s="138">
        <v>65</v>
      </c>
      <c r="I379" s="139">
        <v>50</v>
      </c>
      <c r="J379" s="140">
        <v>70</v>
      </c>
      <c r="K379" s="141">
        <v>95</v>
      </c>
      <c r="L379" s="142">
        <v>80</v>
      </c>
      <c r="M379" s="143">
        <v>65</v>
      </c>
      <c r="N379" s="144">
        <v>425</v>
      </c>
      <c r="O379" s="145" t="s">
        <v>271</v>
      </c>
      <c r="Q379" s="147">
        <v>1</v>
      </c>
      <c r="R379" s="131"/>
    </row>
    <row r="380" ht="24.95" customHeight="1" spans="1:18">
      <c r="A380" s="135" t="s">
        <v>4197</v>
      </c>
      <c r="B380" s="131" t="s">
        <v>4198</v>
      </c>
      <c r="C380" s="136" t="str">
        <f>VLOOKUP(A380,伤害计算器!$V$2:$Y$720,3,FALSE)</f>
        <v>アブソル</v>
      </c>
      <c r="D380" s="136" t="str">
        <f>VLOOKUP(A380,伤害计算器!$V$2:$Y$720,4,FALSE)</f>
        <v>Absol</v>
      </c>
      <c r="E380" s="131" t="s">
        <v>3679</v>
      </c>
      <c r="F380" s="131" t="s">
        <v>3756</v>
      </c>
      <c r="G380" s="131" t="s">
        <v>3460</v>
      </c>
      <c r="H380" s="138">
        <v>65</v>
      </c>
      <c r="I380" s="139">
        <v>130</v>
      </c>
      <c r="J380" s="140">
        <v>60</v>
      </c>
      <c r="K380" s="141">
        <v>75</v>
      </c>
      <c r="L380" s="142">
        <v>60</v>
      </c>
      <c r="M380" s="143">
        <v>75</v>
      </c>
      <c r="N380" s="144">
        <v>465</v>
      </c>
      <c r="O380" s="145" t="s">
        <v>275</v>
      </c>
      <c r="Q380" s="147">
        <v>47</v>
      </c>
      <c r="R380" s="131"/>
    </row>
    <row r="381" ht="24.95" customHeight="1" spans="1:18">
      <c r="A381" s="135" t="s">
        <v>4197</v>
      </c>
      <c r="B381" s="131" t="s">
        <v>4199</v>
      </c>
      <c r="C381" s="136" t="str">
        <f>VLOOKUP(A381,伤害计算器!$V$2:$Y$720,3,FALSE)</f>
        <v>アブソル</v>
      </c>
      <c r="D381" s="136" t="str">
        <f>VLOOKUP(A381,伤害计算器!$V$2:$Y$720,4,FALSE)</f>
        <v>Absol</v>
      </c>
      <c r="E381" s="131" t="s">
        <v>3759</v>
      </c>
      <c r="F381" s="137"/>
      <c r="G381" s="131" t="s">
        <v>3759</v>
      </c>
      <c r="H381" s="138">
        <v>65</v>
      </c>
      <c r="I381" s="139">
        <v>150</v>
      </c>
      <c r="J381" s="140">
        <v>60</v>
      </c>
      <c r="K381" s="141">
        <v>115</v>
      </c>
      <c r="L381" s="142">
        <v>60</v>
      </c>
      <c r="M381" s="143">
        <v>115</v>
      </c>
      <c r="N381" s="144">
        <v>565</v>
      </c>
      <c r="O381" s="145" t="s">
        <v>275</v>
      </c>
      <c r="Q381" s="147">
        <v>49</v>
      </c>
      <c r="R381" s="131"/>
    </row>
    <row r="382" ht="24.95" customHeight="1" spans="1:18">
      <c r="A382" s="135" t="s">
        <v>4200</v>
      </c>
      <c r="B382" s="131" t="s">
        <v>4201</v>
      </c>
      <c r="C382" s="136" t="str">
        <f>VLOOKUP(A382,伤害计算器!$V$2:$Y$720,3,FALSE)</f>
        <v>ソーナノ</v>
      </c>
      <c r="D382" s="136" t="str">
        <f>VLOOKUP(A382,伤害计算器!$V$2:$Y$720,4,FALSE)</f>
        <v>Wynaut</v>
      </c>
      <c r="E382" s="131" t="s">
        <v>3821</v>
      </c>
      <c r="F382" s="137"/>
      <c r="G382" s="131" t="s">
        <v>3822</v>
      </c>
      <c r="H382" s="138">
        <v>95</v>
      </c>
      <c r="I382" s="139">
        <v>23</v>
      </c>
      <c r="J382" s="140">
        <v>48</v>
      </c>
      <c r="K382" s="141">
        <v>23</v>
      </c>
      <c r="L382" s="142">
        <v>48</v>
      </c>
      <c r="M382" s="143">
        <v>23</v>
      </c>
      <c r="N382" s="144">
        <v>260</v>
      </c>
      <c r="O382" s="145" t="s">
        <v>271</v>
      </c>
      <c r="Q382" s="147">
        <v>14</v>
      </c>
      <c r="R382" s="131"/>
    </row>
    <row r="383" ht="24.95" customHeight="1" spans="1:18">
      <c r="A383" s="135" t="s">
        <v>4202</v>
      </c>
      <c r="B383" s="131" t="s">
        <v>4203</v>
      </c>
      <c r="C383" s="136" t="str">
        <f>VLOOKUP(A383,伤害计算器!$V$2:$Y$720,3,FALSE)</f>
        <v>ユキワラシ</v>
      </c>
      <c r="D383" s="136" t="str">
        <f>VLOOKUP(A383,伤害计算器!$V$2:$Y$720,4,FALSE)</f>
        <v>Snorunt</v>
      </c>
      <c r="E383" s="131" t="s">
        <v>3409</v>
      </c>
      <c r="F383" s="131" t="s">
        <v>3533</v>
      </c>
      <c r="G383" s="131" t="s">
        <v>3877</v>
      </c>
      <c r="H383" s="138">
        <v>50</v>
      </c>
      <c r="I383" s="139">
        <v>50</v>
      </c>
      <c r="J383" s="140">
        <v>50</v>
      </c>
      <c r="K383" s="141">
        <v>50</v>
      </c>
      <c r="L383" s="142">
        <v>50</v>
      </c>
      <c r="M383" s="143">
        <v>50</v>
      </c>
      <c r="N383" s="144">
        <v>300</v>
      </c>
      <c r="O383" s="145" t="s">
        <v>100</v>
      </c>
      <c r="Q383" s="147">
        <v>16.8</v>
      </c>
      <c r="R383" s="131"/>
    </row>
    <row r="384" ht="24.95" customHeight="1" spans="1:18">
      <c r="A384" s="135" t="s">
        <v>4204</v>
      </c>
      <c r="B384" s="131" t="s">
        <v>4205</v>
      </c>
      <c r="C384" s="136" t="str">
        <f>VLOOKUP(A384,伤害计算器!$V$2:$Y$720,3,FALSE)</f>
        <v>オニゴーリ</v>
      </c>
      <c r="D384" s="136" t="str">
        <f>VLOOKUP(A384,伤害计算器!$V$2:$Y$720,4,FALSE)</f>
        <v>Glalie</v>
      </c>
      <c r="E384" s="131" t="s">
        <v>3409</v>
      </c>
      <c r="F384" s="131" t="s">
        <v>3533</v>
      </c>
      <c r="G384" s="131" t="s">
        <v>3877</v>
      </c>
      <c r="H384" s="138">
        <v>80</v>
      </c>
      <c r="I384" s="139">
        <v>80</v>
      </c>
      <c r="J384" s="140">
        <v>80</v>
      </c>
      <c r="K384" s="141">
        <v>80</v>
      </c>
      <c r="L384" s="142">
        <v>80</v>
      </c>
      <c r="M384" s="143">
        <v>80</v>
      </c>
      <c r="N384" s="144">
        <v>480</v>
      </c>
      <c r="O384" s="145" t="s">
        <v>100</v>
      </c>
      <c r="Q384" s="147">
        <v>256.5</v>
      </c>
      <c r="R384" s="131"/>
    </row>
    <row r="385" ht="24.95" customHeight="1" spans="1:18">
      <c r="A385" s="135" t="s">
        <v>4204</v>
      </c>
      <c r="B385" s="147" t="s">
        <v>4206</v>
      </c>
      <c r="C385" s="136" t="str">
        <f>VLOOKUP(A385,伤害计算器!$V$2:$Y$720,3,FALSE)</f>
        <v>オニゴーリ</v>
      </c>
      <c r="D385" s="136" t="str">
        <f>VLOOKUP(A385,伤害计算器!$V$2:$Y$720,4,FALSE)</f>
        <v>Glalie</v>
      </c>
      <c r="E385" s="147" t="s">
        <v>52</v>
      </c>
      <c r="F385" s="136"/>
      <c r="G385" s="136" t="s">
        <v>52</v>
      </c>
      <c r="H385" s="138">
        <v>80</v>
      </c>
      <c r="I385" s="139">
        <v>120</v>
      </c>
      <c r="J385" s="140">
        <v>80</v>
      </c>
      <c r="K385" s="141">
        <v>120</v>
      </c>
      <c r="L385" s="142">
        <v>80</v>
      </c>
      <c r="M385" s="143">
        <v>100</v>
      </c>
      <c r="N385" s="144">
        <v>580</v>
      </c>
      <c r="O385" s="145" t="s">
        <v>100</v>
      </c>
      <c r="Q385" s="147">
        <v>256.5</v>
      </c>
      <c r="R385" s="131"/>
    </row>
    <row r="386" ht="24.95" customHeight="1" spans="1:18">
      <c r="A386" s="135" t="s">
        <v>4207</v>
      </c>
      <c r="B386" s="131" t="s">
        <v>4208</v>
      </c>
      <c r="C386" s="136" t="str">
        <f>VLOOKUP(A386,伤害计算器!$V$2:$Y$720,3,FALSE)</f>
        <v>タマザラシ</v>
      </c>
      <c r="D386" s="136" t="str">
        <f>VLOOKUP(A386,伤害计算器!$V$2:$Y$720,4,FALSE)</f>
        <v>Spheal</v>
      </c>
      <c r="E386" s="131" t="s">
        <v>70</v>
      </c>
      <c r="F386" s="131" t="s">
        <v>3533</v>
      </c>
      <c r="G386" s="131" t="s">
        <v>3513</v>
      </c>
      <c r="H386" s="138">
        <v>70</v>
      </c>
      <c r="I386" s="139">
        <v>40</v>
      </c>
      <c r="J386" s="140">
        <v>50</v>
      </c>
      <c r="K386" s="141">
        <v>55</v>
      </c>
      <c r="L386" s="142">
        <v>50</v>
      </c>
      <c r="M386" s="143">
        <v>25</v>
      </c>
      <c r="N386" s="144">
        <v>290</v>
      </c>
      <c r="O386" s="145" t="s">
        <v>100</v>
      </c>
      <c r="P386" s="133" t="s">
        <v>251</v>
      </c>
      <c r="Q386" s="147">
        <v>39.5</v>
      </c>
      <c r="R386" s="131"/>
    </row>
    <row r="387" ht="24.95" customHeight="1" spans="1:18">
      <c r="A387" s="135" t="s">
        <v>4209</v>
      </c>
      <c r="B387" s="131" t="s">
        <v>4210</v>
      </c>
      <c r="C387" s="136" t="str">
        <f>VLOOKUP(A387,伤害计算器!$V$2:$Y$720,3,FALSE)</f>
        <v>トドグラー</v>
      </c>
      <c r="D387" s="136" t="str">
        <f>VLOOKUP(A387,伤害计算器!$V$2:$Y$720,4,FALSE)</f>
        <v>Sealeo</v>
      </c>
      <c r="E387" s="131" t="s">
        <v>70</v>
      </c>
      <c r="F387" s="131" t="s">
        <v>3533</v>
      </c>
      <c r="G387" s="131" t="s">
        <v>3513</v>
      </c>
      <c r="H387" s="138">
        <v>90</v>
      </c>
      <c r="I387" s="139">
        <v>60</v>
      </c>
      <c r="J387" s="140">
        <v>70</v>
      </c>
      <c r="K387" s="141">
        <v>75</v>
      </c>
      <c r="L387" s="142">
        <v>70</v>
      </c>
      <c r="M387" s="143">
        <v>45</v>
      </c>
      <c r="N387" s="144">
        <v>410</v>
      </c>
      <c r="O387" s="145" t="s">
        <v>100</v>
      </c>
      <c r="P387" s="133" t="s">
        <v>251</v>
      </c>
      <c r="Q387" s="147">
        <v>87.6</v>
      </c>
      <c r="R387" s="131"/>
    </row>
    <row r="388" ht="24.95" customHeight="1" spans="1:18">
      <c r="A388" s="135" t="s">
        <v>4211</v>
      </c>
      <c r="B388" s="131" t="s">
        <v>4212</v>
      </c>
      <c r="C388" s="136" t="str">
        <f>VLOOKUP(A388,伤害计算器!$V$2:$Y$720,3,FALSE)</f>
        <v>トドゼルガ</v>
      </c>
      <c r="D388" s="136" t="str">
        <f>VLOOKUP(A388,伤害计算器!$V$2:$Y$720,4,FALSE)</f>
        <v>Walrein</v>
      </c>
      <c r="E388" s="131" t="s">
        <v>70</v>
      </c>
      <c r="F388" s="131" t="s">
        <v>3533</v>
      </c>
      <c r="G388" s="131" t="s">
        <v>3513</v>
      </c>
      <c r="H388" s="138">
        <v>110</v>
      </c>
      <c r="I388" s="139">
        <v>80</v>
      </c>
      <c r="J388" s="140">
        <v>90</v>
      </c>
      <c r="K388" s="141">
        <v>95</v>
      </c>
      <c r="L388" s="142">
        <v>90</v>
      </c>
      <c r="M388" s="143">
        <v>65</v>
      </c>
      <c r="N388" s="144">
        <v>530</v>
      </c>
      <c r="O388" s="145" t="s">
        <v>100</v>
      </c>
      <c r="P388" s="133" t="s">
        <v>251</v>
      </c>
      <c r="Q388" s="147">
        <v>150.6</v>
      </c>
      <c r="R388" s="131"/>
    </row>
    <row r="389" ht="24.95" customHeight="1" spans="1:18">
      <c r="A389" s="135" t="s">
        <v>4213</v>
      </c>
      <c r="B389" s="131" t="s">
        <v>4214</v>
      </c>
      <c r="C389" s="136" t="str">
        <f>VLOOKUP(A389,伤害计算器!$V$2:$Y$720,3,FALSE)</f>
        <v>パールル</v>
      </c>
      <c r="D389" s="136" t="str">
        <f>VLOOKUP(A389,伤害计算器!$V$2:$Y$720,4,FALSE)</f>
        <v>Clamperl</v>
      </c>
      <c r="E389" s="131" t="s">
        <v>3544</v>
      </c>
      <c r="F389" s="137"/>
      <c r="G389" s="131" t="s">
        <v>3833</v>
      </c>
      <c r="H389" s="138">
        <v>35</v>
      </c>
      <c r="I389" s="139">
        <v>64</v>
      </c>
      <c r="J389" s="140">
        <v>85</v>
      </c>
      <c r="K389" s="141">
        <v>74</v>
      </c>
      <c r="L389" s="142">
        <v>55</v>
      </c>
      <c r="M389" s="143">
        <v>32</v>
      </c>
      <c r="N389" s="144">
        <v>345</v>
      </c>
      <c r="O389" s="145" t="s">
        <v>251</v>
      </c>
      <c r="Q389" s="147">
        <v>52.5</v>
      </c>
      <c r="R389" s="131"/>
    </row>
    <row r="390" ht="24.95" customHeight="1" spans="1:18">
      <c r="A390" s="135" t="s">
        <v>4215</v>
      </c>
      <c r="B390" s="131" t="s">
        <v>4216</v>
      </c>
      <c r="C390" s="136" t="str">
        <f>VLOOKUP(A390,伤害计算器!$V$2:$Y$720,3,FALSE)</f>
        <v>ハンテール</v>
      </c>
      <c r="D390" s="136" t="str">
        <f>VLOOKUP(A390,伤害计算器!$V$2:$Y$720,4,FALSE)</f>
        <v>Huntail</v>
      </c>
      <c r="E390" s="131" t="s">
        <v>3448</v>
      </c>
      <c r="F390" s="137"/>
      <c r="G390" s="131" t="s">
        <v>3619</v>
      </c>
      <c r="H390" s="138">
        <v>55</v>
      </c>
      <c r="I390" s="139">
        <v>104</v>
      </c>
      <c r="J390" s="140">
        <v>105</v>
      </c>
      <c r="K390" s="141">
        <v>94</v>
      </c>
      <c r="L390" s="142">
        <v>75</v>
      </c>
      <c r="M390" s="143">
        <v>52</v>
      </c>
      <c r="N390" s="144">
        <v>485</v>
      </c>
      <c r="O390" s="145" t="s">
        <v>251</v>
      </c>
      <c r="Q390" s="147">
        <v>27</v>
      </c>
      <c r="R390" s="131"/>
    </row>
    <row r="391" ht="24.95" customHeight="1" spans="1:18">
      <c r="A391" s="135" t="s">
        <v>4217</v>
      </c>
      <c r="B391" s="131" t="s">
        <v>4218</v>
      </c>
      <c r="C391" s="136" t="str">
        <f>VLOOKUP(A391,伤害计算器!$V$2:$Y$720,3,FALSE)</f>
        <v>サクラビス</v>
      </c>
      <c r="D391" s="136" t="str">
        <f>VLOOKUP(A391,伤害计算器!$V$2:$Y$720,4,FALSE)</f>
        <v>Gorebyss</v>
      </c>
      <c r="E391" s="131" t="s">
        <v>3448</v>
      </c>
      <c r="F391" s="137"/>
      <c r="G391" s="131" t="s">
        <v>3532</v>
      </c>
      <c r="H391" s="138">
        <v>55</v>
      </c>
      <c r="I391" s="139">
        <v>84</v>
      </c>
      <c r="J391" s="140">
        <v>105</v>
      </c>
      <c r="K391" s="141">
        <v>114</v>
      </c>
      <c r="L391" s="142">
        <v>75</v>
      </c>
      <c r="M391" s="143">
        <v>52</v>
      </c>
      <c r="N391" s="144">
        <v>485</v>
      </c>
      <c r="O391" s="145" t="s">
        <v>251</v>
      </c>
      <c r="Q391" s="147">
        <v>22.6</v>
      </c>
      <c r="R391" s="131"/>
    </row>
    <row r="392" ht="24.95" customHeight="1" spans="1:18">
      <c r="A392" s="135" t="s">
        <v>4219</v>
      </c>
      <c r="B392" s="131" t="s">
        <v>4220</v>
      </c>
      <c r="C392" s="136" t="str">
        <f>VLOOKUP(A392,伤害计算器!$V$2:$Y$720,3,FALSE)</f>
        <v>ジーランス</v>
      </c>
      <c r="D392" s="136" t="str">
        <f>VLOOKUP(A392,伤害计算器!$V$2:$Y$720,4,FALSE)</f>
        <v>Relicanth</v>
      </c>
      <c r="E392" s="131" t="s">
        <v>3448</v>
      </c>
      <c r="F392" s="131" t="s">
        <v>3499</v>
      </c>
      <c r="G392" s="131" t="s">
        <v>3500</v>
      </c>
      <c r="H392" s="138">
        <v>100</v>
      </c>
      <c r="I392" s="139">
        <v>90</v>
      </c>
      <c r="J392" s="140">
        <v>130</v>
      </c>
      <c r="K392" s="141">
        <v>45</v>
      </c>
      <c r="L392" s="142">
        <v>65</v>
      </c>
      <c r="M392" s="143">
        <v>55</v>
      </c>
      <c r="N392" s="144">
        <v>485</v>
      </c>
      <c r="O392" s="145" t="s">
        <v>251</v>
      </c>
      <c r="P392" s="133" t="s">
        <v>252</v>
      </c>
      <c r="Q392" s="147">
        <v>23.4</v>
      </c>
      <c r="R392" s="131"/>
    </row>
    <row r="393" ht="24.95" customHeight="1" spans="1:18">
      <c r="A393" s="135" t="s">
        <v>4221</v>
      </c>
      <c r="B393" s="131" t="s">
        <v>4222</v>
      </c>
      <c r="C393" s="136" t="str">
        <f>VLOOKUP(A393,伤害计算器!$V$2:$Y$720,3,FALSE)</f>
        <v>ラブカス</v>
      </c>
      <c r="D393" s="136" t="str">
        <f>VLOOKUP(A393,伤害计算器!$V$2:$Y$720,4,FALSE)</f>
        <v>Luvdisc</v>
      </c>
      <c r="E393" s="131" t="s">
        <v>3448</v>
      </c>
      <c r="F393" s="137"/>
      <c r="G393" s="131" t="s">
        <v>3659</v>
      </c>
      <c r="H393" s="138">
        <v>43</v>
      </c>
      <c r="I393" s="139">
        <v>30</v>
      </c>
      <c r="J393" s="140">
        <v>55</v>
      </c>
      <c r="K393" s="141">
        <v>40</v>
      </c>
      <c r="L393" s="142">
        <v>65</v>
      </c>
      <c r="M393" s="143">
        <v>97</v>
      </c>
      <c r="N393" s="144">
        <v>330</v>
      </c>
      <c r="O393" s="145" t="s">
        <v>251</v>
      </c>
      <c r="Q393" s="147">
        <v>8.7</v>
      </c>
      <c r="R393" s="131"/>
    </row>
    <row r="394" ht="24.95" customHeight="1" spans="1:18">
      <c r="A394" s="135" t="s">
        <v>4223</v>
      </c>
      <c r="B394" s="131" t="s">
        <v>4224</v>
      </c>
      <c r="C394" s="136" t="str">
        <f>VLOOKUP(A394,伤害计算器!$V$2:$Y$720,3,FALSE)</f>
        <v>タツベイ</v>
      </c>
      <c r="D394" s="136" t="str">
        <f>VLOOKUP(A394,伤害计算器!$V$2:$Y$720,4,FALSE)</f>
        <v>Bagon</v>
      </c>
      <c r="E394" s="131" t="s">
        <v>3499</v>
      </c>
      <c r="F394" s="137"/>
      <c r="G394" s="131" t="s">
        <v>41</v>
      </c>
      <c r="H394" s="138">
        <v>45</v>
      </c>
      <c r="I394" s="139">
        <v>75</v>
      </c>
      <c r="J394" s="140">
        <v>60</v>
      </c>
      <c r="K394" s="141">
        <v>40</v>
      </c>
      <c r="L394" s="142">
        <v>30</v>
      </c>
      <c r="M394" s="143">
        <v>50</v>
      </c>
      <c r="N394" s="144">
        <v>300</v>
      </c>
      <c r="O394" s="145" t="s">
        <v>274</v>
      </c>
      <c r="Q394" s="147">
        <v>42.1</v>
      </c>
      <c r="R394" s="131"/>
    </row>
    <row r="395" ht="24.95" customHeight="1" spans="1:18">
      <c r="A395" s="135" t="s">
        <v>4225</v>
      </c>
      <c r="B395" s="131" t="s">
        <v>4226</v>
      </c>
      <c r="C395" s="136" t="str">
        <f>VLOOKUP(A395,伤害计算器!$V$2:$Y$720,3,FALSE)</f>
        <v>コモルー</v>
      </c>
      <c r="D395" s="136" t="str">
        <f>VLOOKUP(A395,伤害计算器!$V$2:$Y$720,4,FALSE)</f>
        <v>Shelgon</v>
      </c>
      <c r="E395" s="131" t="s">
        <v>3499</v>
      </c>
      <c r="F395" s="137"/>
      <c r="G395" s="131" t="s">
        <v>3546</v>
      </c>
      <c r="H395" s="138">
        <v>65</v>
      </c>
      <c r="I395" s="139">
        <v>95</v>
      </c>
      <c r="J395" s="140">
        <v>100</v>
      </c>
      <c r="K395" s="141">
        <v>60</v>
      </c>
      <c r="L395" s="142">
        <v>50</v>
      </c>
      <c r="M395" s="143">
        <v>50</v>
      </c>
      <c r="N395" s="144">
        <v>420</v>
      </c>
      <c r="O395" s="145" t="s">
        <v>274</v>
      </c>
      <c r="Q395" s="147">
        <v>110.5</v>
      </c>
      <c r="R395" s="131"/>
    </row>
    <row r="396" ht="24.95" customHeight="1" spans="1:18">
      <c r="A396" s="135" t="s">
        <v>4227</v>
      </c>
      <c r="B396" s="131" t="s">
        <v>4228</v>
      </c>
      <c r="C396" s="136" t="str">
        <f>VLOOKUP(A396,伤害计算器!$V$2:$Y$720,3,FALSE)</f>
        <v>ボーマンダ</v>
      </c>
      <c r="D396" s="136" t="str">
        <f>VLOOKUP(A396,伤害计算器!$V$2:$Y$720,4,FALSE)</f>
        <v>Salamence</v>
      </c>
      <c r="E396" s="131" t="s">
        <v>3354</v>
      </c>
      <c r="F396" s="137"/>
      <c r="G396" s="131" t="s">
        <v>3640</v>
      </c>
      <c r="H396" s="138">
        <v>95</v>
      </c>
      <c r="I396" s="139">
        <v>135</v>
      </c>
      <c r="J396" s="140">
        <v>80</v>
      </c>
      <c r="K396" s="141">
        <v>110</v>
      </c>
      <c r="L396" s="142">
        <v>80</v>
      </c>
      <c r="M396" s="143">
        <v>100</v>
      </c>
      <c r="N396" s="144">
        <v>600</v>
      </c>
      <c r="O396" s="145" t="s">
        <v>274</v>
      </c>
      <c r="P396" s="133" t="s">
        <v>99</v>
      </c>
      <c r="Q396" s="147">
        <v>102.6</v>
      </c>
      <c r="R396" s="131"/>
    </row>
    <row r="397" ht="24.95" customHeight="1" spans="1:18">
      <c r="A397" s="135" t="s">
        <v>4227</v>
      </c>
      <c r="B397" s="147" t="s">
        <v>4229</v>
      </c>
      <c r="C397" s="136" t="str">
        <f>VLOOKUP(A397,伤害计算器!$V$2:$Y$720,3,FALSE)</f>
        <v>ボーマンダ</v>
      </c>
      <c r="D397" s="136" t="str">
        <f>VLOOKUP(A397,伤害计算器!$V$2:$Y$720,4,FALSE)</f>
        <v>Salamence</v>
      </c>
      <c r="E397" s="147" t="s">
        <v>51</v>
      </c>
      <c r="F397" s="137"/>
      <c r="G397" s="136" t="s">
        <v>51</v>
      </c>
      <c r="H397" s="138">
        <v>95</v>
      </c>
      <c r="I397" s="139">
        <v>145</v>
      </c>
      <c r="J397" s="140">
        <v>130</v>
      </c>
      <c r="K397" s="141">
        <v>120</v>
      </c>
      <c r="L397" s="142">
        <v>90</v>
      </c>
      <c r="M397" s="143">
        <v>120</v>
      </c>
      <c r="N397" s="144">
        <v>700</v>
      </c>
      <c r="O397" s="145" t="s">
        <v>274</v>
      </c>
      <c r="P397" s="133" t="s">
        <v>99</v>
      </c>
      <c r="Q397" s="147">
        <v>112.6</v>
      </c>
      <c r="R397" s="131"/>
    </row>
    <row r="398" ht="24.95" customHeight="1" spans="1:18">
      <c r="A398" s="135" t="s">
        <v>4230</v>
      </c>
      <c r="B398" s="131" t="s">
        <v>4231</v>
      </c>
      <c r="C398" s="136" t="str">
        <f>VLOOKUP(A398,伤害计算器!$V$2:$Y$720,3,FALSE)</f>
        <v>ダンバル</v>
      </c>
      <c r="D398" s="136" t="str">
        <f>VLOOKUP(A398,伤害计算器!$V$2:$Y$720,4,FALSE)</f>
        <v>Beldum</v>
      </c>
      <c r="E398" s="131" t="s">
        <v>3493</v>
      </c>
      <c r="F398" s="137"/>
      <c r="G398" s="131" t="s">
        <v>3848</v>
      </c>
      <c r="H398" s="138">
        <v>40</v>
      </c>
      <c r="I398" s="139">
        <v>55</v>
      </c>
      <c r="J398" s="140">
        <v>80</v>
      </c>
      <c r="K398" s="141">
        <v>35</v>
      </c>
      <c r="L398" s="142">
        <v>60</v>
      </c>
      <c r="M398" s="143">
        <v>30</v>
      </c>
      <c r="N398" s="144">
        <v>300</v>
      </c>
      <c r="O398" s="145" t="s">
        <v>276</v>
      </c>
      <c r="P398" s="133" t="s">
        <v>271</v>
      </c>
      <c r="Q398" s="147">
        <v>95.2</v>
      </c>
      <c r="R398" s="131"/>
    </row>
    <row r="399" ht="24.95" customHeight="1" spans="1:18">
      <c r="A399" s="135" t="s">
        <v>4232</v>
      </c>
      <c r="B399" s="131" t="s">
        <v>4233</v>
      </c>
      <c r="C399" s="136" t="str">
        <f>VLOOKUP(A399,伤害计算器!$V$2:$Y$720,3,FALSE)</f>
        <v>メタング</v>
      </c>
      <c r="D399" s="136" t="str">
        <f>VLOOKUP(A399,伤害计算器!$V$2:$Y$720,4,FALSE)</f>
        <v>Metang</v>
      </c>
      <c r="E399" s="131" t="s">
        <v>3493</v>
      </c>
      <c r="F399" s="137"/>
      <c r="G399" s="131" t="s">
        <v>3848</v>
      </c>
      <c r="H399" s="138">
        <v>60</v>
      </c>
      <c r="I399" s="139">
        <v>75</v>
      </c>
      <c r="J399" s="140">
        <v>100</v>
      </c>
      <c r="K399" s="141">
        <v>55</v>
      </c>
      <c r="L399" s="142">
        <v>80</v>
      </c>
      <c r="M399" s="143">
        <v>50</v>
      </c>
      <c r="N399" s="144">
        <v>420</v>
      </c>
      <c r="O399" s="145" t="s">
        <v>276</v>
      </c>
      <c r="P399" s="133" t="s">
        <v>271</v>
      </c>
      <c r="Q399" s="147">
        <v>202.5</v>
      </c>
      <c r="R399" s="131"/>
    </row>
    <row r="400" ht="24.95" customHeight="1" spans="1:18">
      <c r="A400" s="135" t="s">
        <v>4234</v>
      </c>
      <c r="B400" s="131" t="s">
        <v>4235</v>
      </c>
      <c r="C400" s="136" t="str">
        <f>VLOOKUP(A400,伤害计算器!$V$2:$Y$720,3,FALSE)</f>
        <v>メタグロス</v>
      </c>
      <c r="D400" s="136" t="str">
        <f>VLOOKUP(A400,伤害计算器!$V$2:$Y$720,4,FALSE)</f>
        <v>Metagross</v>
      </c>
      <c r="E400" s="131" t="s">
        <v>3493</v>
      </c>
      <c r="F400" s="137"/>
      <c r="G400" s="131" t="s">
        <v>3848</v>
      </c>
      <c r="H400" s="138">
        <v>80</v>
      </c>
      <c r="I400" s="139">
        <v>135</v>
      </c>
      <c r="J400" s="140">
        <v>130</v>
      </c>
      <c r="K400" s="141">
        <v>95</v>
      </c>
      <c r="L400" s="142">
        <v>90</v>
      </c>
      <c r="M400" s="143">
        <v>70</v>
      </c>
      <c r="N400" s="144">
        <v>600</v>
      </c>
      <c r="O400" s="145" t="s">
        <v>276</v>
      </c>
      <c r="P400" s="133" t="s">
        <v>271</v>
      </c>
      <c r="Q400" s="147">
        <v>550</v>
      </c>
      <c r="R400" s="131"/>
    </row>
    <row r="401" ht="24.95" customHeight="1" spans="1:18">
      <c r="A401" s="135" t="s">
        <v>4234</v>
      </c>
      <c r="B401" s="147" t="s">
        <v>4236</v>
      </c>
      <c r="C401" s="136" t="str">
        <f>VLOOKUP(A401,伤害计算器!$V$2:$Y$720,3,FALSE)</f>
        <v>メタグロス</v>
      </c>
      <c r="D401" s="136" t="str">
        <f>VLOOKUP(A401,伤害计算器!$V$2:$Y$720,4,FALSE)</f>
        <v>Metagross</v>
      </c>
      <c r="E401" s="147" t="s">
        <v>44</v>
      </c>
      <c r="F401" s="137"/>
      <c r="G401" s="136" t="s">
        <v>44</v>
      </c>
      <c r="H401" s="138">
        <v>80</v>
      </c>
      <c r="I401" s="139">
        <v>145</v>
      </c>
      <c r="J401" s="140">
        <v>150</v>
      </c>
      <c r="K401" s="141">
        <v>105</v>
      </c>
      <c r="L401" s="142">
        <v>110</v>
      </c>
      <c r="M401" s="143">
        <v>110</v>
      </c>
      <c r="N401" s="144">
        <v>700</v>
      </c>
      <c r="O401" s="145" t="s">
        <v>276</v>
      </c>
      <c r="P401" s="133" t="s">
        <v>271</v>
      </c>
      <c r="Q401" s="147">
        <v>942.9</v>
      </c>
      <c r="R401" s="131"/>
    </row>
    <row r="402" ht="24.95" customHeight="1" spans="1:18">
      <c r="A402" s="135" t="s">
        <v>4237</v>
      </c>
      <c r="B402" s="131" t="s">
        <v>4238</v>
      </c>
      <c r="C402" s="136" t="str">
        <f>VLOOKUP(A402,伤害计算器!$V$2:$Y$720,3,FALSE)</f>
        <v>レジロック</v>
      </c>
      <c r="D402" s="136" t="str">
        <f>VLOOKUP(A402,伤害计算器!$V$2:$Y$720,4,FALSE)</f>
        <v>Regirock</v>
      </c>
      <c r="E402" s="131" t="s">
        <v>3493</v>
      </c>
      <c r="F402" s="137"/>
      <c r="G402" s="131" t="s">
        <v>4239</v>
      </c>
      <c r="H402" s="138">
        <v>80</v>
      </c>
      <c r="I402" s="139">
        <v>100</v>
      </c>
      <c r="J402" s="140">
        <v>200</v>
      </c>
      <c r="K402" s="141">
        <v>50</v>
      </c>
      <c r="L402" s="142">
        <v>100</v>
      </c>
      <c r="M402" s="143">
        <v>50</v>
      </c>
      <c r="N402" s="144">
        <v>580</v>
      </c>
      <c r="O402" s="145" t="s">
        <v>252</v>
      </c>
      <c r="Q402" s="147">
        <v>230</v>
      </c>
      <c r="R402" s="131"/>
    </row>
    <row r="403" ht="24.95" customHeight="1" spans="1:18">
      <c r="A403" s="135" t="s">
        <v>4240</v>
      </c>
      <c r="B403" s="131" t="s">
        <v>4241</v>
      </c>
      <c r="C403" s="136" t="str">
        <f>VLOOKUP(A403,伤害计算器!$V$2:$Y$720,3,FALSE)</f>
        <v>レジアイス</v>
      </c>
      <c r="D403" s="136" t="str">
        <f>VLOOKUP(A403,伤害计算器!$V$2:$Y$720,4,FALSE)</f>
        <v>Regice</v>
      </c>
      <c r="E403" s="131" t="s">
        <v>3493</v>
      </c>
      <c r="F403" s="137"/>
      <c r="G403" s="131" t="s">
        <v>3533</v>
      </c>
      <c r="H403" s="138">
        <v>80</v>
      </c>
      <c r="I403" s="139">
        <v>50</v>
      </c>
      <c r="J403" s="140">
        <v>100</v>
      </c>
      <c r="K403" s="141">
        <v>100</v>
      </c>
      <c r="L403" s="142">
        <v>200</v>
      </c>
      <c r="M403" s="143">
        <v>50</v>
      </c>
      <c r="N403" s="144">
        <v>580</v>
      </c>
      <c r="O403" s="145" t="s">
        <v>100</v>
      </c>
      <c r="Q403" s="147">
        <v>175</v>
      </c>
      <c r="R403" s="131"/>
    </row>
    <row r="404" ht="24.95" customHeight="1" spans="1:18">
      <c r="A404" s="135" t="s">
        <v>4242</v>
      </c>
      <c r="B404" s="131" t="s">
        <v>4243</v>
      </c>
      <c r="C404" s="136" t="str">
        <f>VLOOKUP(A404,伤害计算器!$V$2:$Y$720,3,FALSE)</f>
        <v>レジスチル</v>
      </c>
      <c r="D404" s="136" t="str">
        <f>VLOOKUP(A404,伤害计算器!$V$2:$Y$720,4,FALSE)</f>
        <v>Registeel</v>
      </c>
      <c r="E404" s="131" t="s">
        <v>3493</v>
      </c>
      <c r="F404" s="137"/>
      <c r="G404" s="131" t="s">
        <v>3848</v>
      </c>
      <c r="H404" s="138">
        <v>80</v>
      </c>
      <c r="I404" s="139">
        <v>75</v>
      </c>
      <c r="J404" s="140">
        <v>150</v>
      </c>
      <c r="K404" s="141">
        <v>75</v>
      </c>
      <c r="L404" s="142">
        <v>150</v>
      </c>
      <c r="M404" s="143">
        <v>50</v>
      </c>
      <c r="N404" s="144">
        <v>580</v>
      </c>
      <c r="O404" s="145" t="s">
        <v>276</v>
      </c>
      <c r="Q404" s="147">
        <v>205</v>
      </c>
      <c r="R404" s="131"/>
    </row>
    <row r="405" ht="24.95" customHeight="1" spans="1:18">
      <c r="A405" s="135" t="s">
        <v>4244</v>
      </c>
      <c r="B405" s="131" t="s">
        <v>4245</v>
      </c>
      <c r="C405" s="136" t="str">
        <f>VLOOKUP(A405,伤害计算器!$V$2:$Y$720,3,FALSE)</f>
        <v>ラティアス</v>
      </c>
      <c r="D405" s="136" t="str">
        <f>VLOOKUP(A405,伤害计算器!$V$2:$Y$720,4,FALSE)</f>
        <v>Latias</v>
      </c>
      <c r="E405" s="131" t="s">
        <v>582</v>
      </c>
      <c r="F405" s="137"/>
      <c r="G405" s="131" t="s">
        <v>582</v>
      </c>
      <c r="H405" s="138">
        <v>80</v>
      </c>
      <c r="I405" s="139">
        <v>80</v>
      </c>
      <c r="J405" s="140">
        <v>90</v>
      </c>
      <c r="K405" s="141">
        <v>110</v>
      </c>
      <c r="L405" s="142">
        <v>130</v>
      </c>
      <c r="M405" s="143">
        <v>110</v>
      </c>
      <c r="N405" s="144">
        <v>600</v>
      </c>
      <c r="O405" s="145" t="s">
        <v>274</v>
      </c>
      <c r="P405" s="133" t="s">
        <v>271</v>
      </c>
      <c r="Q405" s="147">
        <v>40</v>
      </c>
      <c r="R405" s="131"/>
    </row>
    <row r="406" ht="24.95" customHeight="1" spans="1:18">
      <c r="A406" s="135" t="s">
        <v>4244</v>
      </c>
      <c r="B406" s="147" t="s">
        <v>4246</v>
      </c>
      <c r="C406" s="136" t="str">
        <f>VLOOKUP(A406,伤害计算器!$V$2:$Y$720,3,FALSE)</f>
        <v>ラティアス</v>
      </c>
      <c r="D406" s="136" t="str">
        <f>VLOOKUP(A406,伤害计算器!$V$2:$Y$720,4,FALSE)</f>
        <v>Latias</v>
      </c>
      <c r="E406" s="131" t="s">
        <v>582</v>
      </c>
      <c r="F406" s="137"/>
      <c r="G406" s="131" t="s">
        <v>582</v>
      </c>
      <c r="H406" s="138">
        <v>80</v>
      </c>
      <c r="I406" s="139">
        <v>100</v>
      </c>
      <c r="J406" s="140">
        <v>120</v>
      </c>
      <c r="K406" s="141">
        <v>140</v>
      </c>
      <c r="L406" s="142">
        <v>150</v>
      </c>
      <c r="M406" s="143">
        <v>110</v>
      </c>
      <c r="N406" s="144">
        <v>700</v>
      </c>
      <c r="O406" s="145" t="s">
        <v>274</v>
      </c>
      <c r="P406" s="133" t="s">
        <v>271</v>
      </c>
      <c r="Q406" s="147">
        <v>40</v>
      </c>
      <c r="R406" s="131"/>
    </row>
    <row r="407" ht="24.95" customHeight="1" spans="1:18">
      <c r="A407" s="135" t="s">
        <v>4247</v>
      </c>
      <c r="B407" s="131" t="s">
        <v>4248</v>
      </c>
      <c r="C407" s="136" t="str">
        <f>VLOOKUP(A407,伤害计算器!$V$2:$Y$720,3,FALSE)</f>
        <v>ラティオス</v>
      </c>
      <c r="D407" s="136" t="str">
        <f>VLOOKUP(A407,伤害计算器!$V$2:$Y$720,4,FALSE)</f>
        <v>Latios</v>
      </c>
      <c r="E407" s="131" t="s">
        <v>582</v>
      </c>
      <c r="F407" s="137"/>
      <c r="G407" s="137"/>
      <c r="H407" s="138">
        <v>80</v>
      </c>
      <c r="I407" s="139">
        <v>90</v>
      </c>
      <c r="J407" s="140">
        <v>80</v>
      </c>
      <c r="K407" s="141">
        <v>130</v>
      </c>
      <c r="L407" s="142">
        <v>110</v>
      </c>
      <c r="M407" s="143">
        <v>110</v>
      </c>
      <c r="N407" s="144">
        <v>600</v>
      </c>
      <c r="O407" s="145" t="s">
        <v>274</v>
      </c>
      <c r="P407" s="133" t="s">
        <v>271</v>
      </c>
      <c r="Q407" s="147">
        <v>60</v>
      </c>
      <c r="R407" s="131"/>
    </row>
    <row r="408" ht="24.95" customHeight="1" spans="1:18">
      <c r="A408" s="135" t="s">
        <v>4247</v>
      </c>
      <c r="B408" s="147" t="s">
        <v>4249</v>
      </c>
      <c r="C408" s="136" t="str">
        <f>VLOOKUP(A408,伤害计算器!$V$2:$Y$720,3,FALSE)</f>
        <v>ラティオス</v>
      </c>
      <c r="D408" s="136" t="str">
        <f>VLOOKUP(A408,伤害计算器!$V$2:$Y$720,4,FALSE)</f>
        <v>Latios</v>
      </c>
      <c r="E408" s="131" t="s">
        <v>582</v>
      </c>
      <c r="F408" s="137"/>
      <c r="G408" s="137"/>
      <c r="H408" s="138">
        <v>80</v>
      </c>
      <c r="I408" s="139">
        <v>130</v>
      </c>
      <c r="J408" s="140">
        <v>100</v>
      </c>
      <c r="K408" s="141">
        <v>160</v>
      </c>
      <c r="L408" s="142">
        <v>120</v>
      </c>
      <c r="M408" s="143">
        <v>110</v>
      </c>
      <c r="N408" s="144">
        <v>700</v>
      </c>
      <c r="O408" s="145" t="s">
        <v>274</v>
      </c>
      <c r="P408" s="133" t="s">
        <v>271</v>
      </c>
      <c r="Q408" s="147">
        <v>70</v>
      </c>
      <c r="R408" s="131"/>
    </row>
    <row r="409" ht="24.95" customHeight="1" spans="1:18">
      <c r="A409" s="135" t="s">
        <v>4250</v>
      </c>
      <c r="B409" s="131" t="s">
        <v>4251</v>
      </c>
      <c r="C409" s="136" t="str">
        <f>VLOOKUP(A409,伤害计算器!$V$2:$Y$720,3,FALSE)</f>
        <v>カイオーガ</v>
      </c>
      <c r="D409" s="136" t="str">
        <f>VLOOKUP(A409,伤害计算器!$V$2:$Y$720,4,FALSE)</f>
        <v>Kyogre</v>
      </c>
      <c r="E409" s="131" t="s">
        <v>4252</v>
      </c>
      <c r="F409" s="137"/>
      <c r="G409" s="137"/>
      <c r="H409" s="138">
        <v>100</v>
      </c>
      <c r="I409" s="139">
        <v>100</v>
      </c>
      <c r="J409" s="140">
        <v>90</v>
      </c>
      <c r="K409" s="141">
        <v>150</v>
      </c>
      <c r="L409" s="142">
        <v>140</v>
      </c>
      <c r="M409" s="143">
        <v>90</v>
      </c>
      <c r="N409" s="144">
        <v>670</v>
      </c>
      <c r="O409" s="145" t="s">
        <v>251</v>
      </c>
      <c r="Q409" s="147">
        <v>352</v>
      </c>
      <c r="R409" s="131"/>
    </row>
    <row r="410" ht="24.95" customHeight="1" spans="1:18">
      <c r="A410" s="135" t="s">
        <v>4250</v>
      </c>
      <c r="B410" s="147" t="s">
        <v>4253</v>
      </c>
      <c r="C410" s="136" t="str">
        <f>VLOOKUP(A410,伤害计算器!$V$2:$Y$720,3,FALSE)</f>
        <v>カイオーガ</v>
      </c>
      <c r="D410" s="136" t="str">
        <f>VLOOKUP(A410,伤害计算器!$V$2:$Y$720,4,FALSE)</f>
        <v>Kyogre</v>
      </c>
      <c r="E410" s="147" t="s">
        <v>4254</v>
      </c>
      <c r="F410" s="137"/>
      <c r="G410" s="137"/>
      <c r="H410" s="138">
        <v>100</v>
      </c>
      <c r="I410" s="139">
        <v>150</v>
      </c>
      <c r="J410" s="140">
        <v>90</v>
      </c>
      <c r="K410" s="141">
        <v>180</v>
      </c>
      <c r="L410" s="142">
        <v>160</v>
      </c>
      <c r="M410" s="143">
        <v>90</v>
      </c>
      <c r="N410" s="144">
        <v>770</v>
      </c>
      <c r="O410" s="145" t="s">
        <v>251</v>
      </c>
      <c r="Q410" s="147">
        <v>430</v>
      </c>
      <c r="R410" s="131"/>
    </row>
    <row r="411" ht="24.95" customHeight="1" spans="1:18">
      <c r="A411" s="135" t="s">
        <v>4255</v>
      </c>
      <c r="B411" s="131" t="s">
        <v>4256</v>
      </c>
      <c r="C411" s="136" t="str">
        <f>VLOOKUP(A411,伤害计算器!$V$2:$Y$720,3,FALSE)</f>
        <v>グラードン</v>
      </c>
      <c r="D411" s="136" t="str">
        <f>VLOOKUP(A411,伤害计算器!$V$2:$Y$720,4,FALSE)</f>
        <v>Groudon</v>
      </c>
      <c r="E411" s="131" t="s">
        <v>3398</v>
      </c>
      <c r="F411" s="137"/>
      <c r="G411" s="137"/>
      <c r="H411" s="138">
        <v>100</v>
      </c>
      <c r="I411" s="139">
        <v>150</v>
      </c>
      <c r="J411" s="140">
        <v>140</v>
      </c>
      <c r="K411" s="141">
        <v>100</v>
      </c>
      <c r="L411" s="142">
        <v>90</v>
      </c>
      <c r="M411" s="143">
        <v>90</v>
      </c>
      <c r="N411" s="144">
        <v>670</v>
      </c>
      <c r="O411" s="145" t="s">
        <v>237</v>
      </c>
      <c r="Q411" s="147">
        <v>950</v>
      </c>
      <c r="R411" s="131"/>
    </row>
    <row r="412" ht="24.95" customHeight="1" spans="1:18">
      <c r="A412" s="135" t="s">
        <v>4255</v>
      </c>
      <c r="B412" s="147" t="s">
        <v>4257</v>
      </c>
      <c r="C412" s="136" t="str">
        <f>VLOOKUP(A412,伤害计算器!$V$2:$Y$720,3,FALSE)</f>
        <v>グラードン</v>
      </c>
      <c r="D412" s="136" t="str">
        <f>VLOOKUP(A412,伤害计算器!$V$2:$Y$720,4,FALSE)</f>
        <v>Groudon</v>
      </c>
      <c r="E412" s="147" t="s">
        <v>4258</v>
      </c>
      <c r="F412" s="137"/>
      <c r="G412" s="137"/>
      <c r="H412" s="138">
        <v>100</v>
      </c>
      <c r="I412" s="139">
        <v>180</v>
      </c>
      <c r="J412" s="140">
        <v>160</v>
      </c>
      <c r="K412" s="141">
        <v>150</v>
      </c>
      <c r="L412" s="142">
        <v>90</v>
      </c>
      <c r="M412" s="143">
        <v>90</v>
      </c>
      <c r="N412" s="144">
        <v>770</v>
      </c>
      <c r="O412" s="145" t="s">
        <v>237</v>
      </c>
      <c r="P412" s="133" t="s">
        <v>250</v>
      </c>
      <c r="Q412" s="147">
        <v>999.7</v>
      </c>
      <c r="R412" s="131"/>
    </row>
    <row r="413" ht="24.95" customHeight="1" spans="1:18">
      <c r="A413" s="135" t="s">
        <v>4259</v>
      </c>
      <c r="B413" s="131" t="s">
        <v>4260</v>
      </c>
      <c r="C413" s="136" t="str">
        <f>VLOOKUP(A413,伤害计算器!$V$2:$Y$720,3,FALSE)</f>
        <v>レックウザ</v>
      </c>
      <c r="D413" s="136" t="str">
        <f>VLOOKUP(A413,伤害计算器!$V$2:$Y$720,4,FALSE)</f>
        <v>Rayquaza</v>
      </c>
      <c r="E413" s="131" t="s">
        <v>4261</v>
      </c>
      <c r="F413" s="137"/>
      <c r="G413" s="137"/>
      <c r="H413" s="138">
        <v>105</v>
      </c>
      <c r="I413" s="139">
        <v>150</v>
      </c>
      <c r="J413" s="140">
        <v>90</v>
      </c>
      <c r="K413" s="141">
        <v>150</v>
      </c>
      <c r="L413" s="142">
        <v>90</v>
      </c>
      <c r="M413" s="143">
        <v>95</v>
      </c>
      <c r="N413" s="144">
        <v>680</v>
      </c>
      <c r="O413" s="145" t="s">
        <v>274</v>
      </c>
      <c r="P413" s="133" t="s">
        <v>99</v>
      </c>
      <c r="Q413" s="147">
        <v>206.5</v>
      </c>
      <c r="R413" s="131"/>
    </row>
    <row r="414" ht="24.95" customHeight="1" spans="1:18">
      <c r="A414" s="135" t="s">
        <v>4259</v>
      </c>
      <c r="B414" s="147" t="s">
        <v>4262</v>
      </c>
      <c r="C414" s="136" t="str">
        <f>VLOOKUP(A414,伤害计算器!$V$2:$Y$720,3,FALSE)</f>
        <v>レックウザ</v>
      </c>
      <c r="D414" s="136" t="str">
        <f>VLOOKUP(A414,伤害计算器!$V$2:$Y$720,4,FALSE)</f>
        <v>Rayquaza</v>
      </c>
      <c r="E414" s="147" t="s">
        <v>4263</v>
      </c>
      <c r="F414" s="137"/>
      <c r="G414" s="137"/>
      <c r="H414" s="138">
        <v>105</v>
      </c>
      <c r="I414" s="139">
        <v>180</v>
      </c>
      <c r="J414" s="140">
        <v>100</v>
      </c>
      <c r="K414" s="141">
        <v>180</v>
      </c>
      <c r="L414" s="142">
        <v>100</v>
      </c>
      <c r="M414" s="143">
        <v>115</v>
      </c>
      <c r="N414" s="144">
        <v>780</v>
      </c>
      <c r="O414" s="145" t="s">
        <v>274</v>
      </c>
      <c r="P414" s="133" t="s">
        <v>99</v>
      </c>
      <c r="Q414" s="147">
        <v>392</v>
      </c>
      <c r="R414" s="131"/>
    </row>
    <row r="415" ht="24.95" customHeight="1" spans="1:18">
      <c r="A415" s="135" t="s">
        <v>4264</v>
      </c>
      <c r="B415" s="131" t="s">
        <v>4265</v>
      </c>
      <c r="C415" s="136" t="str">
        <f>VLOOKUP(A415,伤害计算器!$V$2:$Y$720,3,FALSE)</f>
        <v>ジラーチ</v>
      </c>
      <c r="D415" s="136" t="str">
        <f>VLOOKUP(A415,伤害计算器!$V$2:$Y$720,4,FALSE)</f>
        <v>Jirachi</v>
      </c>
      <c r="E415" s="131" t="s">
        <v>3605</v>
      </c>
      <c r="F415" s="137"/>
      <c r="G415" s="137"/>
      <c r="H415" s="138">
        <v>100</v>
      </c>
      <c r="I415" s="139">
        <v>100</v>
      </c>
      <c r="J415" s="140">
        <v>100</v>
      </c>
      <c r="K415" s="141">
        <v>100</v>
      </c>
      <c r="L415" s="142">
        <v>100</v>
      </c>
      <c r="M415" s="143">
        <v>100</v>
      </c>
      <c r="N415" s="144">
        <v>600</v>
      </c>
      <c r="O415" s="145" t="s">
        <v>276</v>
      </c>
      <c r="P415" s="133" t="s">
        <v>271</v>
      </c>
      <c r="Q415" s="147">
        <v>1.1</v>
      </c>
      <c r="R415" s="131"/>
    </row>
    <row r="416" ht="24.95" customHeight="1" spans="1:18">
      <c r="A416" s="135" t="s">
        <v>4266</v>
      </c>
      <c r="B416" s="131" t="s">
        <v>4267</v>
      </c>
      <c r="C416" s="136" t="str">
        <f>VLOOKUP(A416,伤害计算器!$V$2:$Y$720,3,FALSE)</f>
        <v>デオキシス</v>
      </c>
      <c r="D416" s="136" t="str">
        <f>VLOOKUP(A416,伤害计算器!$V$2:$Y$720,4,FALSE)</f>
        <v>Deoxys</v>
      </c>
      <c r="E416" s="131" t="s">
        <v>3679</v>
      </c>
      <c r="F416" s="137"/>
      <c r="G416" s="137"/>
      <c r="H416" s="138">
        <v>50</v>
      </c>
      <c r="I416" s="139">
        <v>150</v>
      </c>
      <c r="J416" s="140">
        <v>50</v>
      </c>
      <c r="K416" s="141">
        <v>150</v>
      </c>
      <c r="L416" s="142">
        <v>50</v>
      </c>
      <c r="M416" s="143">
        <v>150</v>
      </c>
      <c r="N416" s="144">
        <v>600</v>
      </c>
      <c r="O416" s="145" t="s">
        <v>271</v>
      </c>
      <c r="Q416" s="147">
        <v>60.8</v>
      </c>
      <c r="R416" s="131"/>
    </row>
    <row r="417" ht="24.95" customHeight="1" spans="1:18">
      <c r="A417" s="135" t="s">
        <v>4266</v>
      </c>
      <c r="B417" s="131" t="s">
        <v>4268</v>
      </c>
      <c r="C417" s="136" t="str">
        <f>VLOOKUP(A417,伤害计算器!$V$2:$Y$720,3,FALSE)</f>
        <v>デオキシス</v>
      </c>
      <c r="D417" s="136" t="str">
        <f>VLOOKUP(A417,伤害计算器!$V$2:$Y$720,4,FALSE)</f>
        <v>Deoxys</v>
      </c>
      <c r="E417" s="131" t="s">
        <v>3679</v>
      </c>
      <c r="F417" s="137"/>
      <c r="G417" s="137"/>
      <c r="H417" s="138">
        <v>50</v>
      </c>
      <c r="I417" s="139">
        <v>180</v>
      </c>
      <c r="J417" s="140">
        <v>20</v>
      </c>
      <c r="K417" s="141">
        <v>180</v>
      </c>
      <c r="L417" s="142">
        <v>20</v>
      </c>
      <c r="M417" s="143">
        <v>150</v>
      </c>
      <c r="N417" s="144">
        <v>600</v>
      </c>
      <c r="O417" s="145" t="s">
        <v>271</v>
      </c>
      <c r="Q417" s="133">
        <v>60.8</v>
      </c>
      <c r="R417" s="131"/>
    </row>
    <row r="418" ht="24.95" customHeight="1" spans="1:18">
      <c r="A418" s="135" t="s">
        <v>4266</v>
      </c>
      <c r="B418" s="131" t="s">
        <v>4269</v>
      </c>
      <c r="C418" s="136" t="str">
        <f>VLOOKUP(A418,伤害计算器!$V$2:$Y$720,3,FALSE)</f>
        <v>デオキシス</v>
      </c>
      <c r="D418" s="136" t="str">
        <f>VLOOKUP(A418,伤害计算器!$V$2:$Y$720,4,FALSE)</f>
        <v>Deoxys</v>
      </c>
      <c r="E418" s="131" t="s">
        <v>3679</v>
      </c>
      <c r="F418" s="137"/>
      <c r="G418" s="137"/>
      <c r="H418" s="138">
        <v>50</v>
      </c>
      <c r="I418" s="139">
        <v>70</v>
      </c>
      <c r="J418" s="140">
        <v>160</v>
      </c>
      <c r="K418" s="141">
        <v>70</v>
      </c>
      <c r="L418" s="142">
        <v>160</v>
      </c>
      <c r="M418" s="143">
        <v>90</v>
      </c>
      <c r="N418" s="144">
        <v>600</v>
      </c>
      <c r="O418" s="145" t="s">
        <v>271</v>
      </c>
      <c r="Q418" s="133">
        <v>60.8</v>
      </c>
      <c r="R418" s="131"/>
    </row>
    <row r="419" ht="24.95" customHeight="1" spans="1:18">
      <c r="A419" s="135" t="s">
        <v>4266</v>
      </c>
      <c r="B419" s="131" t="s">
        <v>4270</v>
      </c>
      <c r="C419" s="136" t="str">
        <f>VLOOKUP(A419,伤害计算器!$V$2:$Y$720,3,FALSE)</f>
        <v>デオキシス</v>
      </c>
      <c r="D419" s="136" t="str">
        <f>VLOOKUP(A419,伤害计算器!$V$2:$Y$720,4,FALSE)</f>
        <v>Deoxys</v>
      </c>
      <c r="E419" s="131" t="s">
        <v>3679</v>
      </c>
      <c r="F419" s="137"/>
      <c r="G419" s="137"/>
      <c r="H419" s="138">
        <v>50</v>
      </c>
      <c r="I419" s="139">
        <v>95</v>
      </c>
      <c r="J419" s="140">
        <v>90</v>
      </c>
      <c r="K419" s="141">
        <v>95</v>
      </c>
      <c r="L419" s="142">
        <v>90</v>
      </c>
      <c r="M419" s="143">
        <v>180</v>
      </c>
      <c r="N419" s="144">
        <v>600</v>
      </c>
      <c r="O419" s="145" t="s">
        <v>271</v>
      </c>
      <c r="Q419" s="133">
        <v>60.8</v>
      </c>
      <c r="R419" s="131"/>
    </row>
    <row r="420" ht="24.95" customHeight="1" spans="1:18">
      <c r="A420" s="135" t="s">
        <v>4271</v>
      </c>
      <c r="B420" s="131" t="s">
        <v>4272</v>
      </c>
      <c r="C420" s="136" t="str">
        <f>VLOOKUP(A420,伤害计算器!$V$2:$Y$720,3,FALSE)</f>
        <v>ナエトル</v>
      </c>
      <c r="D420" s="136" t="str">
        <f>VLOOKUP(A420,伤害计算器!$V$2:$Y$720,4,FALSE)</f>
        <v>Turtwig</v>
      </c>
      <c r="E420" s="131" t="s">
        <v>53</v>
      </c>
      <c r="F420" s="137"/>
      <c r="G420" s="131" t="s">
        <v>3544</v>
      </c>
      <c r="H420" s="138">
        <v>55</v>
      </c>
      <c r="I420" s="139">
        <v>68</v>
      </c>
      <c r="J420" s="140">
        <v>64</v>
      </c>
      <c r="K420" s="141">
        <v>45</v>
      </c>
      <c r="L420" s="142">
        <v>55</v>
      </c>
      <c r="M420" s="143">
        <v>31</v>
      </c>
      <c r="N420" s="144">
        <v>318</v>
      </c>
      <c r="O420" s="145" t="s">
        <v>235</v>
      </c>
      <c r="Q420" s="147">
        <v>10.2</v>
      </c>
      <c r="R420" s="131"/>
    </row>
    <row r="421" ht="24.95" customHeight="1" spans="1:18">
      <c r="A421" s="135" t="s">
        <v>4273</v>
      </c>
      <c r="B421" s="131" t="s">
        <v>4274</v>
      </c>
      <c r="C421" s="136" t="str">
        <f>VLOOKUP(A421,伤害计算器!$V$2:$Y$720,3,FALSE)</f>
        <v>ハヤシガメ</v>
      </c>
      <c r="D421" s="136" t="str">
        <f>VLOOKUP(A421,伤害计算器!$V$2:$Y$720,4,FALSE)</f>
        <v>Grotle</v>
      </c>
      <c r="E421" s="131" t="s">
        <v>53</v>
      </c>
      <c r="F421" s="137"/>
      <c r="G421" s="131" t="s">
        <v>3544</v>
      </c>
      <c r="H421" s="138">
        <v>75</v>
      </c>
      <c r="I421" s="139">
        <v>89</v>
      </c>
      <c r="J421" s="140">
        <v>85</v>
      </c>
      <c r="K421" s="141">
        <v>55</v>
      </c>
      <c r="L421" s="142">
        <v>65</v>
      </c>
      <c r="M421" s="143">
        <v>36</v>
      </c>
      <c r="N421" s="144">
        <v>405</v>
      </c>
      <c r="O421" s="145" t="s">
        <v>235</v>
      </c>
      <c r="Q421" s="147">
        <v>97</v>
      </c>
      <c r="R421" s="131"/>
    </row>
    <row r="422" ht="24.95" customHeight="1" spans="1:18">
      <c r="A422" s="135" t="s">
        <v>4275</v>
      </c>
      <c r="B422" s="131" t="s">
        <v>4276</v>
      </c>
      <c r="C422" s="136" t="str">
        <f>VLOOKUP(A422,伤害计算器!$V$2:$Y$720,3,FALSE)</f>
        <v>ドダイトス</v>
      </c>
      <c r="D422" s="136" t="str">
        <f>VLOOKUP(A422,伤害计算器!$V$2:$Y$720,4,FALSE)</f>
        <v>Torterra</v>
      </c>
      <c r="E422" s="131" t="s">
        <v>53</v>
      </c>
      <c r="F422" s="137"/>
      <c r="G422" s="131" t="s">
        <v>3544</v>
      </c>
      <c r="H422" s="138">
        <v>95</v>
      </c>
      <c r="I422" s="139">
        <v>109</v>
      </c>
      <c r="J422" s="140">
        <v>105</v>
      </c>
      <c r="K422" s="141">
        <v>75</v>
      </c>
      <c r="L422" s="142">
        <v>85</v>
      </c>
      <c r="M422" s="143">
        <v>56</v>
      </c>
      <c r="N422" s="144">
        <v>525</v>
      </c>
      <c r="O422" s="145" t="s">
        <v>235</v>
      </c>
      <c r="P422" s="133" t="s">
        <v>237</v>
      </c>
      <c r="Q422" s="147">
        <v>310</v>
      </c>
      <c r="R422" s="131"/>
    </row>
    <row r="423" ht="24.95" customHeight="1" spans="1:18">
      <c r="A423" s="135" t="s">
        <v>4277</v>
      </c>
      <c r="B423" s="131" t="s">
        <v>4278</v>
      </c>
      <c r="C423" s="136" t="str">
        <f>VLOOKUP(A423,伤害计算器!$V$2:$Y$720,3,FALSE)</f>
        <v>ヒコザル</v>
      </c>
      <c r="D423" s="136" t="str">
        <f>VLOOKUP(A423,伤害计算器!$V$2:$Y$720,4,FALSE)</f>
        <v>Chimchar</v>
      </c>
      <c r="E423" s="131" t="s">
        <v>54</v>
      </c>
      <c r="F423" s="137"/>
      <c r="G423" s="131" t="s">
        <v>4279</v>
      </c>
      <c r="H423" s="138">
        <v>44</v>
      </c>
      <c r="I423" s="139">
        <v>58</v>
      </c>
      <c r="J423" s="140">
        <v>44</v>
      </c>
      <c r="K423" s="141">
        <v>58</v>
      </c>
      <c r="L423" s="142">
        <v>44</v>
      </c>
      <c r="M423" s="143">
        <v>61</v>
      </c>
      <c r="N423" s="144">
        <v>309</v>
      </c>
      <c r="O423" s="145" t="s">
        <v>250</v>
      </c>
      <c r="Q423" s="147">
        <v>6.2</v>
      </c>
      <c r="R423" s="131"/>
    </row>
    <row r="424" ht="24.95" customHeight="1" spans="1:18">
      <c r="A424" s="135" t="s">
        <v>4280</v>
      </c>
      <c r="B424" s="131" t="s">
        <v>4281</v>
      </c>
      <c r="C424" s="136" t="str">
        <f>VLOOKUP(A424,伤害计算器!$V$2:$Y$720,3,FALSE)</f>
        <v>モウカザル</v>
      </c>
      <c r="D424" s="136" t="str">
        <f>VLOOKUP(A424,伤害计算器!$V$2:$Y$720,4,FALSE)</f>
        <v>Monferno</v>
      </c>
      <c r="E424" s="131" t="s">
        <v>54</v>
      </c>
      <c r="F424" s="137"/>
      <c r="G424" s="131" t="s">
        <v>39</v>
      </c>
      <c r="H424" s="138">
        <v>64</v>
      </c>
      <c r="I424" s="139">
        <v>78</v>
      </c>
      <c r="J424" s="140">
        <v>52</v>
      </c>
      <c r="K424" s="141">
        <v>78</v>
      </c>
      <c r="L424" s="142">
        <v>52</v>
      </c>
      <c r="M424" s="143">
        <v>81</v>
      </c>
      <c r="N424" s="144">
        <v>405</v>
      </c>
      <c r="O424" s="145" t="s">
        <v>250</v>
      </c>
      <c r="P424" s="133" t="s">
        <v>269</v>
      </c>
      <c r="Q424" s="147">
        <v>22</v>
      </c>
      <c r="R424" s="131"/>
    </row>
    <row r="425" ht="24.95" customHeight="1" spans="1:18">
      <c r="A425" s="135" t="s">
        <v>4282</v>
      </c>
      <c r="B425" s="131" t="s">
        <v>4283</v>
      </c>
      <c r="C425" s="136" t="str">
        <f>VLOOKUP(A425,伤害计算器!$V$2:$Y$720,3,FALSE)</f>
        <v>ゴウカザル</v>
      </c>
      <c r="D425" s="136" t="str">
        <f>VLOOKUP(A425,伤害计算器!$V$2:$Y$720,4,FALSE)</f>
        <v>Infernape</v>
      </c>
      <c r="E425" s="131" t="s">
        <v>54</v>
      </c>
      <c r="F425" s="137"/>
      <c r="G425" s="131" t="s">
        <v>39</v>
      </c>
      <c r="H425" s="138">
        <v>76</v>
      </c>
      <c r="I425" s="139">
        <v>104</v>
      </c>
      <c r="J425" s="140">
        <v>71</v>
      </c>
      <c r="K425" s="141">
        <v>104</v>
      </c>
      <c r="L425" s="142">
        <v>71</v>
      </c>
      <c r="M425" s="143">
        <v>108</v>
      </c>
      <c r="N425" s="144">
        <v>534</v>
      </c>
      <c r="O425" s="145" t="s">
        <v>250</v>
      </c>
      <c r="P425" s="133" t="s">
        <v>269</v>
      </c>
      <c r="Q425" s="147">
        <v>55</v>
      </c>
      <c r="R425" s="131"/>
    </row>
    <row r="426" ht="24.95" customHeight="1" spans="1:18">
      <c r="A426" s="135" t="s">
        <v>4284</v>
      </c>
      <c r="B426" s="131" t="s">
        <v>4285</v>
      </c>
      <c r="C426" s="136" t="str">
        <f>VLOOKUP(A426,伤害计算器!$V$2:$Y$720,3,FALSE)</f>
        <v>ポッチャマ</v>
      </c>
      <c r="D426" s="136" t="str">
        <f>VLOOKUP(A426,伤害计算器!$V$2:$Y$720,4,FALSE)</f>
        <v>Piplup</v>
      </c>
      <c r="E426" s="131" t="s">
        <v>55</v>
      </c>
      <c r="F426" s="137"/>
      <c r="G426" s="131" t="s">
        <v>4286</v>
      </c>
      <c r="H426" s="138">
        <v>53</v>
      </c>
      <c r="I426" s="139">
        <v>51</v>
      </c>
      <c r="J426" s="140">
        <v>53</v>
      </c>
      <c r="K426" s="141">
        <v>61</v>
      </c>
      <c r="L426" s="142">
        <v>56</v>
      </c>
      <c r="M426" s="143">
        <v>40</v>
      </c>
      <c r="N426" s="144">
        <v>314</v>
      </c>
      <c r="O426" s="145" t="s">
        <v>251</v>
      </c>
      <c r="Q426" s="147">
        <v>5.2</v>
      </c>
      <c r="R426" s="131"/>
    </row>
    <row r="427" ht="24.95" customHeight="1" spans="1:18">
      <c r="A427" s="135" t="s">
        <v>4287</v>
      </c>
      <c r="B427" s="131" t="s">
        <v>4288</v>
      </c>
      <c r="C427" s="136" t="str">
        <f>VLOOKUP(A427,伤害计算器!$V$2:$Y$720,3,FALSE)</f>
        <v>ポッタイシ</v>
      </c>
      <c r="D427" s="136" t="str">
        <f>VLOOKUP(A427,伤害计算器!$V$2:$Y$720,4,FALSE)</f>
        <v>Prinplup</v>
      </c>
      <c r="E427" s="131" t="s">
        <v>55</v>
      </c>
      <c r="F427" s="137"/>
      <c r="G427" s="131" t="s">
        <v>3455</v>
      </c>
      <c r="H427" s="138">
        <v>64</v>
      </c>
      <c r="I427" s="139">
        <v>66</v>
      </c>
      <c r="J427" s="140">
        <v>68</v>
      </c>
      <c r="K427" s="141">
        <v>81</v>
      </c>
      <c r="L427" s="142">
        <v>76</v>
      </c>
      <c r="M427" s="143">
        <v>50</v>
      </c>
      <c r="N427" s="144">
        <v>405</v>
      </c>
      <c r="O427" s="145" t="s">
        <v>251</v>
      </c>
      <c r="Q427" s="147">
        <v>23</v>
      </c>
      <c r="R427" s="131"/>
    </row>
    <row r="428" ht="24.95" customHeight="1" spans="1:18">
      <c r="A428" s="135" t="s">
        <v>4289</v>
      </c>
      <c r="B428" s="131" t="s">
        <v>4290</v>
      </c>
      <c r="C428" s="136" t="str">
        <f>VLOOKUP(A428,伤害计算器!$V$2:$Y$720,3,FALSE)</f>
        <v>エンペルト</v>
      </c>
      <c r="D428" s="136" t="str">
        <f>VLOOKUP(A428,伤害计算器!$V$2:$Y$720,4,FALSE)</f>
        <v>Empoleon</v>
      </c>
      <c r="E428" s="131" t="s">
        <v>55</v>
      </c>
      <c r="F428" s="137"/>
      <c r="G428" s="131" t="s">
        <v>3455</v>
      </c>
      <c r="H428" s="138">
        <v>84</v>
      </c>
      <c r="I428" s="139">
        <v>86</v>
      </c>
      <c r="J428" s="140">
        <v>88</v>
      </c>
      <c r="K428" s="141">
        <v>111</v>
      </c>
      <c r="L428" s="142">
        <v>101</v>
      </c>
      <c r="M428" s="143">
        <v>60</v>
      </c>
      <c r="N428" s="144">
        <v>530</v>
      </c>
      <c r="O428" s="145" t="s">
        <v>251</v>
      </c>
      <c r="P428" s="133" t="s">
        <v>276</v>
      </c>
      <c r="Q428" s="147">
        <v>84.5</v>
      </c>
      <c r="R428" s="131"/>
    </row>
    <row r="429" ht="24.95" customHeight="1" spans="1:18">
      <c r="A429" s="135" t="s">
        <v>4291</v>
      </c>
      <c r="B429" s="131" t="s">
        <v>4292</v>
      </c>
      <c r="C429" s="136" t="str">
        <f>VLOOKUP(A429,伤害计算器!$V$2:$Y$720,3,FALSE)</f>
        <v>ムックル</v>
      </c>
      <c r="D429" s="136" t="str">
        <f>VLOOKUP(A429,伤害计算器!$V$2:$Y$720,4,FALSE)</f>
        <v>Starly</v>
      </c>
      <c r="E429" s="131" t="s">
        <v>3336</v>
      </c>
      <c r="F429" s="137"/>
      <c r="G429" s="131" t="s">
        <v>38</v>
      </c>
      <c r="H429" s="138">
        <v>40</v>
      </c>
      <c r="I429" s="139">
        <v>55</v>
      </c>
      <c r="J429" s="140">
        <v>30</v>
      </c>
      <c r="K429" s="141">
        <v>30</v>
      </c>
      <c r="L429" s="142">
        <v>30</v>
      </c>
      <c r="M429" s="143">
        <v>60</v>
      </c>
      <c r="N429" s="144">
        <v>245</v>
      </c>
      <c r="O429" s="145" t="s">
        <v>267</v>
      </c>
      <c r="P429" s="133" t="s">
        <v>99</v>
      </c>
      <c r="Q429" s="147">
        <v>2</v>
      </c>
      <c r="R429" s="131"/>
    </row>
    <row r="430" ht="24.95" customHeight="1" spans="1:18">
      <c r="A430" s="135" t="s">
        <v>4293</v>
      </c>
      <c r="B430" s="131" t="s">
        <v>4294</v>
      </c>
      <c r="C430" s="136" t="str">
        <f>VLOOKUP(A430,伤害计算器!$V$2:$Y$720,3,FALSE)</f>
        <v>ムクバード</v>
      </c>
      <c r="D430" s="136" t="str">
        <f>VLOOKUP(A430,伤害计算器!$V$2:$Y$720,4,FALSE)</f>
        <v>Staravia</v>
      </c>
      <c r="E430" s="131" t="s">
        <v>3354</v>
      </c>
      <c r="F430" s="137"/>
      <c r="G430" s="131" t="s">
        <v>38</v>
      </c>
      <c r="H430" s="138">
        <v>55</v>
      </c>
      <c r="I430" s="139">
        <v>75</v>
      </c>
      <c r="J430" s="140">
        <v>50</v>
      </c>
      <c r="K430" s="141">
        <v>40</v>
      </c>
      <c r="L430" s="142">
        <v>40</v>
      </c>
      <c r="M430" s="143">
        <v>80</v>
      </c>
      <c r="N430" s="144">
        <v>340</v>
      </c>
      <c r="O430" s="145" t="s">
        <v>267</v>
      </c>
      <c r="P430" s="133" t="s">
        <v>99</v>
      </c>
      <c r="Q430" s="147">
        <v>15.5</v>
      </c>
      <c r="R430" s="131"/>
    </row>
    <row r="431" ht="24.95" customHeight="1" spans="1:18">
      <c r="A431" s="135" t="s">
        <v>4295</v>
      </c>
      <c r="B431" s="131" t="s">
        <v>4296</v>
      </c>
      <c r="C431" s="136" t="str">
        <f>VLOOKUP(A431,伤害计算器!$V$2:$Y$720,3,FALSE)</f>
        <v>ムクホーク</v>
      </c>
      <c r="D431" s="136" t="str">
        <f>VLOOKUP(A431,伤害计算器!$V$2:$Y$720,4,FALSE)</f>
        <v>Staraptor</v>
      </c>
      <c r="E431" s="131" t="s">
        <v>3354</v>
      </c>
      <c r="F431" s="137"/>
      <c r="G431" s="131" t="s">
        <v>38</v>
      </c>
      <c r="H431" s="138">
        <v>85</v>
      </c>
      <c r="I431" s="139">
        <v>120</v>
      </c>
      <c r="J431" s="140">
        <v>70</v>
      </c>
      <c r="K431" s="141">
        <v>50</v>
      </c>
      <c r="L431" s="142">
        <v>60</v>
      </c>
      <c r="M431" s="143">
        <v>100</v>
      </c>
      <c r="N431" s="144">
        <v>485</v>
      </c>
      <c r="O431" s="145" t="s">
        <v>267</v>
      </c>
      <c r="P431" s="133" t="s">
        <v>99</v>
      </c>
      <c r="Q431" s="147">
        <v>24.9</v>
      </c>
      <c r="R431" s="131"/>
    </row>
    <row r="432" ht="24.95" customHeight="1" spans="1:18">
      <c r="A432" s="135" t="s">
        <v>4297</v>
      </c>
      <c r="B432" s="131" t="s">
        <v>4298</v>
      </c>
      <c r="C432" s="136" t="str">
        <f>VLOOKUP(A432,伤害计算器!$V$2:$Y$720,3,FALSE)</f>
        <v>ビッパ</v>
      </c>
      <c r="D432" s="136" t="str">
        <f>VLOOKUP(A432,伤害计算器!$V$2:$Y$720,4,FALSE)</f>
        <v>Bidoof</v>
      </c>
      <c r="E432" s="131" t="s">
        <v>4114</v>
      </c>
      <c r="F432" s="131" t="s">
        <v>4299</v>
      </c>
      <c r="G432" s="131" t="s">
        <v>4300</v>
      </c>
      <c r="H432" s="138">
        <v>59</v>
      </c>
      <c r="I432" s="139">
        <v>45</v>
      </c>
      <c r="J432" s="140">
        <v>40</v>
      </c>
      <c r="K432" s="141">
        <v>35</v>
      </c>
      <c r="L432" s="142">
        <v>40</v>
      </c>
      <c r="M432" s="143">
        <v>31</v>
      </c>
      <c r="N432" s="144">
        <v>250</v>
      </c>
      <c r="O432" s="145" t="s">
        <v>267</v>
      </c>
      <c r="Q432" s="147">
        <v>20</v>
      </c>
      <c r="R432" s="131"/>
    </row>
    <row r="433" ht="24.95" customHeight="1" spans="1:18">
      <c r="A433" s="135" t="s">
        <v>4301</v>
      </c>
      <c r="B433" s="131" t="s">
        <v>4302</v>
      </c>
      <c r="C433" s="136" t="str">
        <f>VLOOKUP(A433,伤害计算器!$V$2:$Y$720,3,FALSE)</f>
        <v>ビーダル</v>
      </c>
      <c r="D433" s="136" t="str">
        <f>VLOOKUP(A433,伤害计算器!$V$2:$Y$720,4,FALSE)</f>
        <v>Bibarel</v>
      </c>
      <c r="E433" s="131" t="s">
        <v>4114</v>
      </c>
      <c r="F433" s="131" t="s">
        <v>3395</v>
      </c>
      <c r="G433" s="131" t="s">
        <v>3877</v>
      </c>
      <c r="H433" s="138">
        <v>79</v>
      </c>
      <c r="I433" s="139">
        <v>85</v>
      </c>
      <c r="J433" s="140">
        <v>60</v>
      </c>
      <c r="K433" s="141">
        <v>55</v>
      </c>
      <c r="L433" s="142">
        <v>60</v>
      </c>
      <c r="M433" s="143">
        <v>71</v>
      </c>
      <c r="N433" s="144">
        <v>410</v>
      </c>
      <c r="O433" s="145" t="s">
        <v>267</v>
      </c>
      <c r="P433" s="133" t="s">
        <v>251</v>
      </c>
      <c r="Q433" s="147">
        <v>31.5</v>
      </c>
      <c r="R433" s="131"/>
    </row>
    <row r="434" ht="24.95" customHeight="1" spans="1:18">
      <c r="A434" s="135" t="s">
        <v>4303</v>
      </c>
      <c r="B434" s="131" t="s">
        <v>4304</v>
      </c>
      <c r="C434" s="136" t="str">
        <f>VLOOKUP(A434,伤害计算器!$V$2:$Y$720,3,FALSE)</f>
        <v>コロボーシ</v>
      </c>
      <c r="D434" s="136" t="str">
        <f>VLOOKUP(A434,伤害计算器!$V$2:$Y$720,4,FALSE)</f>
        <v>Kricketot</v>
      </c>
      <c r="E434" s="131" t="s">
        <v>3323</v>
      </c>
      <c r="F434" s="137"/>
      <c r="G434" s="131" t="s">
        <v>3832</v>
      </c>
      <c r="H434" s="138">
        <v>37</v>
      </c>
      <c r="I434" s="139">
        <v>25</v>
      </c>
      <c r="J434" s="140">
        <v>41</v>
      </c>
      <c r="K434" s="141">
        <v>25</v>
      </c>
      <c r="L434" s="142">
        <v>41</v>
      </c>
      <c r="M434" s="143">
        <v>25</v>
      </c>
      <c r="N434" s="144">
        <v>194</v>
      </c>
      <c r="O434" s="145" t="s">
        <v>272</v>
      </c>
      <c r="Q434" s="147">
        <v>2.2</v>
      </c>
      <c r="R434" s="131"/>
    </row>
    <row r="435" ht="24.95" customHeight="1" spans="1:18">
      <c r="A435" s="135" t="s">
        <v>4305</v>
      </c>
      <c r="B435" s="131" t="s">
        <v>4306</v>
      </c>
      <c r="C435" s="136" t="str">
        <f>VLOOKUP(A435,伤害计算器!$V$2:$Y$720,3,FALSE)</f>
        <v>コロトック</v>
      </c>
      <c r="D435" s="136" t="str">
        <f>VLOOKUP(A435,伤害计算器!$V$2:$Y$720,4,FALSE)</f>
        <v>Kricketune</v>
      </c>
      <c r="E435" s="131" t="s">
        <v>3333</v>
      </c>
      <c r="F435" s="137"/>
      <c r="G435" s="131" t="s">
        <v>36</v>
      </c>
      <c r="H435" s="138">
        <v>77</v>
      </c>
      <c r="I435" s="139">
        <v>85</v>
      </c>
      <c r="J435" s="140">
        <v>51</v>
      </c>
      <c r="K435" s="141">
        <v>55</v>
      </c>
      <c r="L435" s="142">
        <v>51</v>
      </c>
      <c r="M435" s="143">
        <v>65</v>
      </c>
      <c r="N435" s="144">
        <v>384</v>
      </c>
      <c r="O435" s="145" t="s">
        <v>272</v>
      </c>
      <c r="Q435" s="147">
        <v>25.5</v>
      </c>
      <c r="R435" s="131"/>
    </row>
    <row r="436" ht="24.95" customHeight="1" spans="1:18">
      <c r="A436" s="135" t="s">
        <v>4307</v>
      </c>
      <c r="B436" s="131" t="s">
        <v>4308</v>
      </c>
      <c r="C436" s="136" t="str">
        <f>VLOOKUP(A436,伤害计算器!$V$2:$Y$720,3,FALSE)</f>
        <v>コリンク</v>
      </c>
      <c r="D436" s="136" t="str">
        <f>VLOOKUP(A436,伤害计算器!$V$2:$Y$720,4,FALSE)</f>
        <v>Shinx</v>
      </c>
      <c r="E436" s="131" t="s">
        <v>3381</v>
      </c>
      <c r="F436" s="131" t="s">
        <v>3354</v>
      </c>
      <c r="G436" s="131" t="s">
        <v>57</v>
      </c>
      <c r="H436" s="138">
        <v>45</v>
      </c>
      <c r="I436" s="139">
        <v>65</v>
      </c>
      <c r="J436" s="140">
        <v>34</v>
      </c>
      <c r="K436" s="141">
        <v>40</v>
      </c>
      <c r="L436" s="142">
        <v>34</v>
      </c>
      <c r="M436" s="143">
        <v>45</v>
      </c>
      <c r="N436" s="144">
        <v>263</v>
      </c>
      <c r="O436" s="145" t="s">
        <v>268</v>
      </c>
      <c r="Q436" s="147">
        <v>9.5</v>
      </c>
      <c r="R436" s="131"/>
    </row>
    <row r="437" ht="24.95" customHeight="1" spans="1:18">
      <c r="A437" s="135" t="s">
        <v>4309</v>
      </c>
      <c r="B437" s="131" t="s">
        <v>4310</v>
      </c>
      <c r="C437" s="136" t="str">
        <f>VLOOKUP(A437,伤害计算器!$V$2:$Y$720,3,FALSE)</f>
        <v>ルクシオ</v>
      </c>
      <c r="D437" s="136" t="str">
        <f>VLOOKUP(A437,伤害计算器!$V$2:$Y$720,4,FALSE)</f>
        <v>Luxio</v>
      </c>
      <c r="E437" s="131" t="s">
        <v>3381</v>
      </c>
      <c r="F437" s="131" t="s">
        <v>3354</v>
      </c>
      <c r="G437" s="131" t="s">
        <v>57</v>
      </c>
      <c r="H437" s="138">
        <v>60</v>
      </c>
      <c r="I437" s="139">
        <v>85</v>
      </c>
      <c r="J437" s="140">
        <v>49</v>
      </c>
      <c r="K437" s="141">
        <v>60</v>
      </c>
      <c r="L437" s="142">
        <v>49</v>
      </c>
      <c r="M437" s="143">
        <v>60</v>
      </c>
      <c r="N437" s="144">
        <v>363</v>
      </c>
      <c r="O437" s="145" t="s">
        <v>268</v>
      </c>
      <c r="Q437" s="147">
        <v>30.5</v>
      </c>
      <c r="R437" s="131"/>
    </row>
    <row r="438" ht="24.95" customHeight="1" spans="1:18">
      <c r="A438" s="135" t="s">
        <v>4311</v>
      </c>
      <c r="B438" s="131" t="s">
        <v>4312</v>
      </c>
      <c r="C438" s="136" t="str">
        <f>VLOOKUP(A438,伤害计算器!$V$2:$Y$720,3,FALSE)</f>
        <v>レントラー</v>
      </c>
      <c r="D438" s="136" t="str">
        <f>VLOOKUP(A438,伤害计算器!$V$2:$Y$720,4,FALSE)</f>
        <v>Luxray</v>
      </c>
      <c r="E438" s="131" t="s">
        <v>3381</v>
      </c>
      <c r="F438" s="131" t="s">
        <v>4081</v>
      </c>
      <c r="G438" s="131" t="s">
        <v>4313</v>
      </c>
      <c r="H438" s="138">
        <v>80</v>
      </c>
      <c r="I438" s="139">
        <v>120</v>
      </c>
      <c r="J438" s="140">
        <v>79</v>
      </c>
      <c r="K438" s="141">
        <v>95</v>
      </c>
      <c r="L438" s="142">
        <v>79</v>
      </c>
      <c r="M438" s="143">
        <v>70</v>
      </c>
      <c r="N438" s="144">
        <v>523</v>
      </c>
      <c r="O438" s="145" t="s">
        <v>268</v>
      </c>
      <c r="Q438" s="147">
        <v>42</v>
      </c>
      <c r="R438" s="131"/>
    </row>
    <row r="439" ht="24.95" customHeight="1" spans="1:18">
      <c r="A439" s="135" t="s">
        <v>4314</v>
      </c>
      <c r="B439" s="131" t="s">
        <v>4315</v>
      </c>
      <c r="C439" s="136" t="str">
        <f>VLOOKUP(A439,伤害计算器!$V$2:$Y$720,3,FALSE)</f>
        <v>スボミー</v>
      </c>
      <c r="D439" s="136" t="str">
        <f>VLOOKUP(A439,伤害计算器!$V$2:$Y$720,4,FALSE)</f>
        <v>Budew</v>
      </c>
      <c r="E439" s="131" t="s">
        <v>3604</v>
      </c>
      <c r="F439" s="131" t="s">
        <v>3373</v>
      </c>
      <c r="G439" s="131" t="s">
        <v>3609</v>
      </c>
      <c r="H439" s="138">
        <v>40</v>
      </c>
      <c r="I439" s="139">
        <v>30</v>
      </c>
      <c r="J439" s="140">
        <v>35</v>
      </c>
      <c r="K439" s="141">
        <v>50</v>
      </c>
      <c r="L439" s="142">
        <v>70</v>
      </c>
      <c r="M439" s="143">
        <v>55</v>
      </c>
      <c r="N439" s="144">
        <v>280</v>
      </c>
      <c r="O439" s="145" t="s">
        <v>235</v>
      </c>
      <c r="P439" s="133" t="s">
        <v>270</v>
      </c>
      <c r="Q439" s="147">
        <v>1.2</v>
      </c>
      <c r="R439" s="131"/>
    </row>
    <row r="440" ht="24.95" customHeight="1" spans="1:18">
      <c r="A440" s="135" t="s">
        <v>4316</v>
      </c>
      <c r="B440" s="131" t="s">
        <v>4317</v>
      </c>
      <c r="C440" s="136" t="str">
        <f>VLOOKUP(A440,伤害计算器!$V$2:$Y$720,3,FALSE)</f>
        <v>ロズレイド</v>
      </c>
      <c r="D440" s="136" t="str">
        <f>VLOOKUP(A440,伤害计算器!$V$2:$Y$720,4,FALSE)</f>
        <v>Roserade</v>
      </c>
      <c r="E440" s="131" t="s">
        <v>3604</v>
      </c>
      <c r="F440" s="131" t="s">
        <v>3373</v>
      </c>
      <c r="G440" s="131" t="s">
        <v>36</v>
      </c>
      <c r="H440" s="138">
        <v>60</v>
      </c>
      <c r="I440" s="139">
        <v>70</v>
      </c>
      <c r="J440" s="140">
        <v>65</v>
      </c>
      <c r="K440" s="141">
        <v>125</v>
      </c>
      <c r="L440" s="142">
        <v>105</v>
      </c>
      <c r="M440" s="143">
        <v>90</v>
      </c>
      <c r="N440" s="144">
        <v>515</v>
      </c>
      <c r="O440" s="145" t="s">
        <v>235</v>
      </c>
      <c r="P440" s="133" t="s">
        <v>270</v>
      </c>
      <c r="Q440" s="147">
        <v>14.5</v>
      </c>
      <c r="R440" s="131"/>
    </row>
    <row r="441" ht="24.95" customHeight="1" spans="1:18">
      <c r="A441" s="135" t="s">
        <v>4318</v>
      </c>
      <c r="B441" s="131" t="s">
        <v>4319</v>
      </c>
      <c r="C441" s="136" t="str">
        <f>VLOOKUP(A441,伤害计算器!$V$2:$Y$720,3,FALSE)</f>
        <v>ズガイドス</v>
      </c>
      <c r="D441" s="136" t="str">
        <f>VLOOKUP(A441,伤害计算器!$V$2:$Y$720,4,FALSE)</f>
        <v>Cranidos</v>
      </c>
      <c r="E441" s="131" t="s">
        <v>83</v>
      </c>
      <c r="F441" s="137"/>
      <c r="G441" s="131" t="s">
        <v>3717</v>
      </c>
      <c r="H441" s="138">
        <v>67</v>
      </c>
      <c r="I441" s="139">
        <v>125</v>
      </c>
      <c r="J441" s="140">
        <v>40</v>
      </c>
      <c r="K441" s="141">
        <v>30</v>
      </c>
      <c r="L441" s="142">
        <v>30</v>
      </c>
      <c r="M441" s="143">
        <v>58</v>
      </c>
      <c r="N441" s="144">
        <v>350</v>
      </c>
      <c r="O441" s="145" t="s">
        <v>252</v>
      </c>
      <c r="Q441" s="147">
        <v>31.5</v>
      </c>
      <c r="R441" s="131"/>
    </row>
    <row r="442" ht="24.95" customHeight="1" spans="1:18">
      <c r="A442" s="135" t="s">
        <v>4320</v>
      </c>
      <c r="B442" s="131" t="s">
        <v>4321</v>
      </c>
      <c r="C442" s="136" t="str">
        <f>VLOOKUP(A442,伤害计算器!$V$2:$Y$720,3,FALSE)</f>
        <v>ラムパルド</v>
      </c>
      <c r="D442" s="136" t="str">
        <f>VLOOKUP(A442,伤害计算器!$V$2:$Y$720,4,FALSE)</f>
        <v>Rampardos</v>
      </c>
      <c r="E442" s="131" t="s">
        <v>83</v>
      </c>
      <c r="F442" s="137"/>
      <c r="G442" s="131" t="s">
        <v>3717</v>
      </c>
      <c r="H442" s="138">
        <v>97</v>
      </c>
      <c r="I442" s="139">
        <v>165</v>
      </c>
      <c r="J442" s="140">
        <v>60</v>
      </c>
      <c r="K442" s="141">
        <v>65</v>
      </c>
      <c r="L442" s="142">
        <v>50</v>
      </c>
      <c r="M442" s="143">
        <v>58</v>
      </c>
      <c r="N442" s="144">
        <v>495</v>
      </c>
      <c r="O442" s="145" t="s">
        <v>252</v>
      </c>
      <c r="Q442" s="147">
        <v>102.5</v>
      </c>
      <c r="R442" s="131"/>
    </row>
    <row r="443" ht="24.95" customHeight="1" spans="1:18">
      <c r="A443" s="135" t="s">
        <v>4322</v>
      </c>
      <c r="B443" s="131" t="s">
        <v>4323</v>
      </c>
      <c r="C443" s="136" t="str">
        <f>VLOOKUP(A443,伤害计算器!$V$2:$Y$720,3,FALSE)</f>
        <v>タテトプス</v>
      </c>
      <c r="D443" s="136" t="str">
        <f>VLOOKUP(A443,伤害计算器!$V$2:$Y$720,4,FALSE)</f>
        <v>Shieldon</v>
      </c>
      <c r="E443" s="131" t="s">
        <v>3500</v>
      </c>
      <c r="F443" s="137"/>
      <c r="G443" s="131" t="s">
        <v>591</v>
      </c>
      <c r="H443" s="138">
        <v>30</v>
      </c>
      <c r="I443" s="139">
        <v>42</v>
      </c>
      <c r="J443" s="140">
        <v>118</v>
      </c>
      <c r="K443" s="141">
        <v>42</v>
      </c>
      <c r="L443" s="142">
        <v>88</v>
      </c>
      <c r="M443" s="143">
        <v>30</v>
      </c>
      <c r="N443" s="144">
        <v>350</v>
      </c>
      <c r="O443" s="145" t="s">
        <v>252</v>
      </c>
      <c r="P443" s="133" t="s">
        <v>276</v>
      </c>
      <c r="Q443" s="147">
        <v>57</v>
      </c>
      <c r="R443" s="131"/>
    </row>
    <row r="444" ht="24.95" customHeight="1" spans="1:18">
      <c r="A444" s="135" t="s">
        <v>4324</v>
      </c>
      <c r="B444" s="131" t="s">
        <v>4325</v>
      </c>
      <c r="C444" s="136" t="str">
        <f>VLOOKUP(A444,伤害计算器!$V$2:$Y$720,3,FALSE)</f>
        <v>トリデプス</v>
      </c>
      <c r="D444" s="136" t="str">
        <f>VLOOKUP(A444,伤害计算器!$V$2:$Y$720,4,FALSE)</f>
        <v>Bastiodon</v>
      </c>
      <c r="E444" s="131" t="s">
        <v>3500</v>
      </c>
      <c r="F444" s="137"/>
      <c r="G444" s="131" t="s">
        <v>591</v>
      </c>
      <c r="H444" s="138">
        <v>60</v>
      </c>
      <c r="I444" s="139">
        <v>52</v>
      </c>
      <c r="J444" s="140">
        <v>168</v>
      </c>
      <c r="K444" s="141">
        <v>47</v>
      </c>
      <c r="L444" s="142">
        <v>138</v>
      </c>
      <c r="M444" s="143">
        <v>30</v>
      </c>
      <c r="N444" s="144">
        <v>495</v>
      </c>
      <c r="O444" s="145" t="s">
        <v>252</v>
      </c>
      <c r="P444" s="133" t="s">
        <v>276</v>
      </c>
      <c r="Q444" s="147">
        <v>149.5</v>
      </c>
      <c r="R444" s="131"/>
    </row>
    <row r="445" ht="24.95" customHeight="1" spans="1:18">
      <c r="A445" s="135" t="s">
        <v>4326</v>
      </c>
      <c r="B445" s="131" t="s">
        <v>4327</v>
      </c>
      <c r="C445" s="136" t="str">
        <f>VLOOKUP(A445,伤害计算器!$V$2:$Y$720,3,FALSE)</f>
        <v>ミノムッチ</v>
      </c>
      <c r="D445" s="136" t="str">
        <f>VLOOKUP(A445,伤害计算器!$V$2:$Y$720,4,FALSE)</f>
        <v>Burmy</v>
      </c>
      <c r="E445" s="131" t="s">
        <v>3323</v>
      </c>
      <c r="F445" s="137"/>
      <c r="G445" s="131" t="s">
        <v>3827</v>
      </c>
      <c r="H445" s="138">
        <v>40</v>
      </c>
      <c r="I445" s="139">
        <v>29</v>
      </c>
      <c r="J445" s="140">
        <v>45</v>
      </c>
      <c r="K445" s="141">
        <v>29</v>
      </c>
      <c r="L445" s="142">
        <v>45</v>
      </c>
      <c r="M445" s="143">
        <v>36</v>
      </c>
      <c r="N445" s="144">
        <v>224</v>
      </c>
      <c r="O445" s="145" t="s">
        <v>272</v>
      </c>
      <c r="Q445" s="147">
        <v>3.4</v>
      </c>
      <c r="R445" s="131"/>
    </row>
    <row r="446" ht="24.95" customHeight="1" spans="1:18">
      <c r="A446" s="135" t="s">
        <v>4328</v>
      </c>
      <c r="B446" s="131" t="s">
        <v>4329</v>
      </c>
      <c r="C446" s="136" t="str">
        <f>VLOOKUP(A446,伤害计算器!$V$2:$Y$720,3,FALSE)</f>
        <v>ミノマダム</v>
      </c>
      <c r="D446" s="136" t="str">
        <f>VLOOKUP(A446,伤害计算器!$V$2:$Y$720,4,FALSE)</f>
        <v>Wormadam</v>
      </c>
      <c r="E446" s="131" t="s">
        <v>3655</v>
      </c>
      <c r="F446" s="137"/>
      <c r="G446" s="131" t="s">
        <v>3546</v>
      </c>
      <c r="H446" s="138">
        <v>60</v>
      </c>
      <c r="I446" s="139">
        <v>59</v>
      </c>
      <c r="J446" s="140">
        <v>85</v>
      </c>
      <c r="K446" s="141">
        <v>79</v>
      </c>
      <c r="L446" s="142">
        <v>105</v>
      </c>
      <c r="M446" s="143">
        <v>36</v>
      </c>
      <c r="N446" s="144">
        <v>424</v>
      </c>
      <c r="O446" s="145" t="s">
        <v>272</v>
      </c>
      <c r="P446" s="133" t="s">
        <v>235</v>
      </c>
      <c r="Q446" s="147">
        <v>6.5</v>
      </c>
      <c r="R446" s="131"/>
    </row>
    <row r="447" ht="24.95" customHeight="1" spans="1:18">
      <c r="A447" s="135" t="s">
        <v>4328</v>
      </c>
      <c r="B447" s="131" t="s">
        <v>4330</v>
      </c>
      <c r="C447" s="136" t="str">
        <f>VLOOKUP(A447,伤害计算器!$V$2:$Y$720,3,FALSE)</f>
        <v>ミノマダム</v>
      </c>
      <c r="D447" s="136" t="str">
        <f>VLOOKUP(A447,伤害计算器!$V$2:$Y$720,4,FALSE)</f>
        <v>Wormadam</v>
      </c>
      <c r="E447" s="131" t="s">
        <v>3655</v>
      </c>
      <c r="F447" s="137"/>
      <c r="G447" s="131" t="s">
        <v>3546</v>
      </c>
      <c r="H447" s="138">
        <v>60</v>
      </c>
      <c r="I447" s="139">
        <v>79</v>
      </c>
      <c r="J447" s="140">
        <v>105</v>
      </c>
      <c r="K447" s="141">
        <v>59</v>
      </c>
      <c r="L447" s="142">
        <v>85</v>
      </c>
      <c r="M447" s="143">
        <v>36</v>
      </c>
      <c r="N447" s="144">
        <v>424</v>
      </c>
      <c r="O447" s="145" t="s">
        <v>272</v>
      </c>
      <c r="P447" s="133" t="s">
        <v>237</v>
      </c>
      <c r="Q447" s="133">
        <v>6.5</v>
      </c>
      <c r="R447" s="131"/>
    </row>
    <row r="448" ht="24.95" customHeight="1" spans="1:18">
      <c r="A448" s="135" t="s">
        <v>4328</v>
      </c>
      <c r="B448" s="131" t="s">
        <v>4331</v>
      </c>
      <c r="C448" s="136" t="str">
        <f>VLOOKUP(A448,伤害计算器!$V$2:$Y$720,3,FALSE)</f>
        <v>ミノマダム</v>
      </c>
      <c r="D448" s="136" t="str">
        <f>VLOOKUP(A448,伤害计算器!$V$2:$Y$720,4,FALSE)</f>
        <v>Wormadam</v>
      </c>
      <c r="E448" s="131" t="s">
        <v>3655</v>
      </c>
      <c r="F448" s="137"/>
      <c r="G448" s="131" t="s">
        <v>3546</v>
      </c>
      <c r="H448" s="138">
        <v>60</v>
      </c>
      <c r="I448" s="139">
        <v>69</v>
      </c>
      <c r="J448" s="140">
        <v>95</v>
      </c>
      <c r="K448" s="141">
        <v>69</v>
      </c>
      <c r="L448" s="142">
        <v>95</v>
      </c>
      <c r="M448" s="143">
        <v>36</v>
      </c>
      <c r="N448" s="144">
        <v>424</v>
      </c>
      <c r="O448" s="145" t="s">
        <v>272</v>
      </c>
      <c r="P448" s="133" t="s">
        <v>276</v>
      </c>
      <c r="Q448" s="133">
        <v>6.5</v>
      </c>
      <c r="R448" s="131"/>
    </row>
    <row r="449" ht="24.95" customHeight="1" spans="1:18">
      <c r="A449" s="135" t="s">
        <v>4332</v>
      </c>
      <c r="B449" s="131" t="s">
        <v>4333</v>
      </c>
      <c r="C449" s="136" t="str">
        <f>VLOOKUP(A449,伤害计算器!$V$2:$Y$720,3,FALSE)</f>
        <v>ガーメイル</v>
      </c>
      <c r="D449" s="136" t="str">
        <f>VLOOKUP(A449,伤害计算器!$V$2:$Y$720,4,FALSE)</f>
        <v>Mothim</v>
      </c>
      <c r="E449" s="131" t="s">
        <v>3333</v>
      </c>
      <c r="F449" s="137"/>
      <c r="G449" s="131" t="s">
        <v>64</v>
      </c>
      <c r="H449" s="138">
        <v>70</v>
      </c>
      <c r="I449" s="139">
        <v>94</v>
      </c>
      <c r="J449" s="140">
        <v>50</v>
      </c>
      <c r="K449" s="141">
        <v>94</v>
      </c>
      <c r="L449" s="142">
        <v>50</v>
      </c>
      <c r="M449" s="143">
        <v>66</v>
      </c>
      <c r="N449" s="144">
        <v>424</v>
      </c>
      <c r="O449" s="145" t="s">
        <v>272</v>
      </c>
      <c r="P449" s="133" t="s">
        <v>99</v>
      </c>
      <c r="Q449" s="147">
        <v>23.3</v>
      </c>
      <c r="R449" s="131"/>
    </row>
    <row r="450" ht="24.95" customHeight="1" spans="1:18">
      <c r="A450" s="135" t="s">
        <v>4334</v>
      </c>
      <c r="B450" s="131" t="s">
        <v>4335</v>
      </c>
      <c r="C450" s="136" t="str">
        <f>VLOOKUP(A450,伤害计算器!$V$2:$Y$720,3,FALSE)</f>
        <v>ミツハニー</v>
      </c>
      <c r="D450" s="136" t="str">
        <f>VLOOKUP(A450,伤害计算器!$V$2:$Y$720,4,FALSE)</f>
        <v>Combee</v>
      </c>
      <c r="E450" s="131" t="s">
        <v>4336</v>
      </c>
      <c r="F450" s="137"/>
      <c r="G450" s="131" t="s">
        <v>61</v>
      </c>
      <c r="H450" s="138">
        <v>30</v>
      </c>
      <c r="I450" s="139">
        <v>30</v>
      </c>
      <c r="J450" s="140">
        <v>42</v>
      </c>
      <c r="K450" s="141">
        <v>30</v>
      </c>
      <c r="L450" s="142">
        <v>42</v>
      </c>
      <c r="M450" s="143">
        <v>70</v>
      </c>
      <c r="N450" s="144">
        <v>244</v>
      </c>
      <c r="O450" s="145" t="s">
        <v>272</v>
      </c>
      <c r="P450" s="133" t="s">
        <v>99</v>
      </c>
      <c r="Q450" s="147">
        <v>5.5</v>
      </c>
      <c r="R450" s="131"/>
    </row>
    <row r="451" ht="24.95" customHeight="1" spans="1:18">
      <c r="A451" s="135" t="s">
        <v>4337</v>
      </c>
      <c r="B451" s="131" t="s">
        <v>4338</v>
      </c>
      <c r="C451" s="136" t="str">
        <f>VLOOKUP(A451,伤害计算器!$V$2:$Y$720,3,FALSE)</f>
        <v>ビークイン</v>
      </c>
      <c r="D451" s="136" t="str">
        <f>VLOOKUP(A451,伤害计算器!$V$2:$Y$720,4,FALSE)</f>
        <v>Vespiquen</v>
      </c>
      <c r="E451" s="131" t="s">
        <v>3679</v>
      </c>
      <c r="F451" s="137"/>
      <c r="G451" s="131" t="s">
        <v>3355</v>
      </c>
      <c r="H451" s="138">
        <v>70</v>
      </c>
      <c r="I451" s="139">
        <v>80</v>
      </c>
      <c r="J451" s="140">
        <v>102</v>
      </c>
      <c r="K451" s="141">
        <v>80</v>
      </c>
      <c r="L451" s="142">
        <v>102</v>
      </c>
      <c r="M451" s="143">
        <v>40</v>
      </c>
      <c r="N451" s="144">
        <v>474</v>
      </c>
      <c r="O451" s="145" t="s">
        <v>272</v>
      </c>
      <c r="P451" s="133" t="s">
        <v>99</v>
      </c>
      <c r="Q451" s="147">
        <v>38.5</v>
      </c>
      <c r="R451" s="131"/>
    </row>
    <row r="452" ht="24.95" customHeight="1" spans="1:18">
      <c r="A452" s="135" t="s">
        <v>4339</v>
      </c>
      <c r="B452" s="131" t="s">
        <v>4340</v>
      </c>
      <c r="C452" s="136" t="str">
        <f>VLOOKUP(A452,伤害计算器!$V$2:$Y$720,3,FALSE)</f>
        <v>パチリス</v>
      </c>
      <c r="D452" s="136" t="str">
        <f>VLOOKUP(A452,伤害计算器!$V$2:$Y$720,4,FALSE)</f>
        <v>Pachirisu</v>
      </c>
      <c r="E452" s="131" t="s">
        <v>3319</v>
      </c>
      <c r="F452" s="131" t="s">
        <v>3790</v>
      </c>
      <c r="G452" s="131" t="s">
        <v>4086</v>
      </c>
      <c r="H452" s="138">
        <v>60</v>
      </c>
      <c r="I452" s="139">
        <v>45</v>
      </c>
      <c r="J452" s="140">
        <v>70</v>
      </c>
      <c r="K452" s="141">
        <v>45</v>
      </c>
      <c r="L452" s="142">
        <v>90</v>
      </c>
      <c r="M452" s="143">
        <v>95</v>
      </c>
      <c r="N452" s="144">
        <v>405</v>
      </c>
      <c r="O452" s="145" t="s">
        <v>268</v>
      </c>
      <c r="Q452" s="147">
        <v>3.9</v>
      </c>
      <c r="R452" s="131"/>
    </row>
    <row r="453" ht="24.95" customHeight="1" spans="1:18">
      <c r="A453" s="135" t="s">
        <v>4341</v>
      </c>
      <c r="B453" s="131" t="s">
        <v>4342</v>
      </c>
      <c r="C453" s="136" t="str">
        <f>VLOOKUP(A453,伤害计算器!$V$2:$Y$720,3,FALSE)</f>
        <v>ブイゼル</v>
      </c>
      <c r="D453" s="136" t="str">
        <f>VLOOKUP(A453,伤害计算器!$V$2:$Y$720,4,FALSE)</f>
        <v>Buizel</v>
      </c>
      <c r="E453" s="131" t="s">
        <v>3448</v>
      </c>
      <c r="F453" s="137"/>
      <c r="G453" s="131" t="s">
        <v>3619</v>
      </c>
      <c r="H453" s="138">
        <v>55</v>
      </c>
      <c r="I453" s="139">
        <v>65</v>
      </c>
      <c r="J453" s="140">
        <v>35</v>
      </c>
      <c r="K453" s="141">
        <v>60</v>
      </c>
      <c r="L453" s="142">
        <v>30</v>
      </c>
      <c r="M453" s="143">
        <v>85</v>
      </c>
      <c r="N453" s="144">
        <v>330</v>
      </c>
      <c r="O453" s="145" t="s">
        <v>251</v>
      </c>
      <c r="Q453" s="147">
        <v>29.5</v>
      </c>
      <c r="R453" s="131"/>
    </row>
    <row r="454" ht="24.95" customHeight="1" spans="1:18">
      <c r="A454" s="135" t="s">
        <v>4343</v>
      </c>
      <c r="B454" s="131" t="s">
        <v>4344</v>
      </c>
      <c r="C454" s="136" t="str">
        <f>VLOOKUP(A454,伤害计算器!$V$2:$Y$720,3,FALSE)</f>
        <v>フローゼル</v>
      </c>
      <c r="D454" s="136" t="str">
        <f>VLOOKUP(A454,伤害计算器!$V$2:$Y$720,4,FALSE)</f>
        <v>Floatzel</v>
      </c>
      <c r="E454" s="131" t="s">
        <v>3448</v>
      </c>
      <c r="F454" s="137"/>
      <c r="G454" s="131" t="s">
        <v>3619</v>
      </c>
      <c r="H454" s="138">
        <v>85</v>
      </c>
      <c r="I454" s="139">
        <v>105</v>
      </c>
      <c r="J454" s="140">
        <v>55</v>
      </c>
      <c r="K454" s="141">
        <v>85</v>
      </c>
      <c r="L454" s="142">
        <v>50</v>
      </c>
      <c r="M454" s="143">
        <v>115</v>
      </c>
      <c r="N454" s="144">
        <v>495</v>
      </c>
      <c r="O454" s="145" t="s">
        <v>251</v>
      </c>
      <c r="Q454" s="147">
        <v>33.5</v>
      </c>
      <c r="R454" s="131"/>
    </row>
    <row r="455" ht="24.95" customHeight="1" spans="1:18">
      <c r="A455" s="135" t="s">
        <v>4345</v>
      </c>
      <c r="B455" s="131" t="s">
        <v>4346</v>
      </c>
      <c r="C455" s="136" t="str">
        <f>VLOOKUP(A455,伤害计算器!$V$2:$Y$720,3,FALSE)</f>
        <v>チェリンボ</v>
      </c>
      <c r="D455" s="136" t="str">
        <f>VLOOKUP(A455,伤害计算器!$V$2:$Y$720,4,FALSE)</f>
        <v>Cherubi</v>
      </c>
      <c r="E455" s="131" t="s">
        <v>3296</v>
      </c>
      <c r="F455" s="137"/>
      <c r="G455" s="137"/>
      <c r="H455" s="138">
        <v>45</v>
      </c>
      <c r="I455" s="139">
        <v>35</v>
      </c>
      <c r="J455" s="140">
        <v>45</v>
      </c>
      <c r="K455" s="141">
        <v>62</v>
      </c>
      <c r="L455" s="142">
        <v>53</v>
      </c>
      <c r="M455" s="143">
        <v>35</v>
      </c>
      <c r="N455" s="144">
        <v>275</v>
      </c>
      <c r="O455" s="145" t="s">
        <v>235</v>
      </c>
      <c r="Q455" s="147">
        <v>3.3</v>
      </c>
      <c r="R455" s="131"/>
    </row>
    <row r="456" ht="24.95" customHeight="1" spans="1:18">
      <c r="A456" s="135" t="s">
        <v>4347</v>
      </c>
      <c r="B456" s="131" t="s">
        <v>4348</v>
      </c>
      <c r="C456" s="136" t="str">
        <f>VLOOKUP(A456,伤害计算器!$V$2:$Y$720,3,FALSE)</f>
        <v>チェリム</v>
      </c>
      <c r="D456" s="136" t="str">
        <f>VLOOKUP(A456,伤害计算器!$V$2:$Y$720,4,FALSE)</f>
        <v>Cherrim</v>
      </c>
      <c r="E456" s="131" t="s">
        <v>62</v>
      </c>
      <c r="F456" s="137"/>
      <c r="G456" s="137"/>
      <c r="H456" s="138">
        <v>70</v>
      </c>
      <c r="I456" s="139">
        <v>60</v>
      </c>
      <c r="J456" s="140">
        <v>70</v>
      </c>
      <c r="K456" s="141">
        <v>87</v>
      </c>
      <c r="L456" s="142">
        <v>78</v>
      </c>
      <c r="M456" s="143">
        <v>85</v>
      </c>
      <c r="N456" s="144">
        <v>450</v>
      </c>
      <c r="O456" s="145" t="s">
        <v>235</v>
      </c>
      <c r="Q456" s="133">
        <v>3.3</v>
      </c>
      <c r="R456" s="131"/>
    </row>
    <row r="457" ht="24.95" customHeight="1" spans="1:18">
      <c r="A457" s="135" t="s">
        <v>4349</v>
      </c>
      <c r="B457" s="131" t="s">
        <v>4350</v>
      </c>
      <c r="C457" s="136" t="str">
        <f>VLOOKUP(A457,伤害计算器!$V$2:$Y$720,3,FALSE)</f>
        <v>カラナクシ</v>
      </c>
      <c r="D457" s="136" t="str">
        <f>VLOOKUP(A457,伤害计算器!$V$2:$Y$720,4,FALSE)</f>
        <v>Shellos</v>
      </c>
      <c r="E457" s="131" t="s">
        <v>3538</v>
      </c>
      <c r="F457" s="131" t="s">
        <v>523</v>
      </c>
      <c r="G457" s="131" t="s">
        <v>40</v>
      </c>
      <c r="H457" s="138">
        <v>76</v>
      </c>
      <c r="I457" s="139">
        <v>48</v>
      </c>
      <c r="J457" s="140">
        <v>48</v>
      </c>
      <c r="K457" s="141">
        <v>57</v>
      </c>
      <c r="L457" s="142">
        <v>62</v>
      </c>
      <c r="M457" s="143">
        <v>34</v>
      </c>
      <c r="N457" s="144">
        <v>325</v>
      </c>
      <c r="O457" s="145" t="s">
        <v>251</v>
      </c>
      <c r="Q457" s="147">
        <v>6.3</v>
      </c>
      <c r="R457" s="131"/>
    </row>
    <row r="458" ht="24.95" customHeight="1" spans="1:18">
      <c r="A458" s="135" t="s">
        <v>4351</v>
      </c>
      <c r="B458" s="131" t="s">
        <v>4352</v>
      </c>
      <c r="C458" s="136" t="str">
        <f>VLOOKUP(A458,伤害计算器!$V$2:$Y$720,3,FALSE)</f>
        <v>トリトドン</v>
      </c>
      <c r="D458" s="136" t="str">
        <f>VLOOKUP(A458,伤害计算器!$V$2:$Y$720,4,FALSE)</f>
        <v>Gastrodon</v>
      </c>
      <c r="E458" s="131" t="s">
        <v>3538</v>
      </c>
      <c r="F458" s="131" t="s">
        <v>523</v>
      </c>
      <c r="G458" s="131" t="s">
        <v>40</v>
      </c>
      <c r="H458" s="138">
        <v>111</v>
      </c>
      <c r="I458" s="139">
        <v>83</v>
      </c>
      <c r="J458" s="140">
        <v>68</v>
      </c>
      <c r="K458" s="141">
        <v>92</v>
      </c>
      <c r="L458" s="142">
        <v>82</v>
      </c>
      <c r="M458" s="143">
        <v>39</v>
      </c>
      <c r="N458" s="144">
        <v>475</v>
      </c>
      <c r="O458" s="145" t="s">
        <v>251</v>
      </c>
      <c r="P458" s="133" t="s">
        <v>237</v>
      </c>
      <c r="Q458" s="147">
        <v>29.9</v>
      </c>
      <c r="R458" s="131"/>
    </row>
    <row r="459" ht="24.95" customHeight="1" spans="1:18">
      <c r="A459" s="135" t="s">
        <v>4353</v>
      </c>
      <c r="B459" s="131" t="s">
        <v>4354</v>
      </c>
      <c r="C459" s="136" t="str">
        <f>VLOOKUP(A459,伤害计算器!$V$2:$Y$720,3,FALSE)</f>
        <v>エテボース</v>
      </c>
      <c r="D459" s="136" t="str">
        <f>VLOOKUP(A459,伤害计算器!$V$2:$Y$720,4,FALSE)</f>
        <v>Ambipom</v>
      </c>
      <c r="E459" s="131" t="s">
        <v>36</v>
      </c>
      <c r="F459" s="131" t="s">
        <v>3790</v>
      </c>
      <c r="G459" s="131" t="s">
        <v>3791</v>
      </c>
      <c r="H459" s="138">
        <v>75</v>
      </c>
      <c r="I459" s="139">
        <v>100</v>
      </c>
      <c r="J459" s="140">
        <v>66</v>
      </c>
      <c r="K459" s="141">
        <v>60</v>
      </c>
      <c r="L459" s="142">
        <v>66</v>
      </c>
      <c r="M459" s="143">
        <v>115</v>
      </c>
      <c r="N459" s="144">
        <v>482</v>
      </c>
      <c r="O459" s="145" t="s">
        <v>267</v>
      </c>
      <c r="Q459" s="147">
        <v>20.3</v>
      </c>
      <c r="R459" s="131"/>
    </row>
    <row r="460" ht="24.95" customHeight="1" spans="1:18">
      <c r="A460" s="135" t="s">
        <v>4355</v>
      </c>
      <c r="B460" s="131" t="s">
        <v>4356</v>
      </c>
      <c r="C460" s="136" t="str">
        <f>VLOOKUP(A460,伤害计算器!$V$2:$Y$720,3,FALSE)</f>
        <v>フワンテ</v>
      </c>
      <c r="D460" s="136" t="str">
        <f>VLOOKUP(A460,伤害计算器!$V$2:$Y$720,4,FALSE)</f>
        <v>Drifloon</v>
      </c>
      <c r="E460" s="131" t="s">
        <v>3574</v>
      </c>
      <c r="F460" s="131" t="s">
        <v>3589</v>
      </c>
      <c r="G460" s="131" t="s">
        <v>45</v>
      </c>
      <c r="H460" s="138">
        <v>90</v>
      </c>
      <c r="I460" s="139">
        <v>50</v>
      </c>
      <c r="J460" s="140">
        <v>34</v>
      </c>
      <c r="K460" s="141">
        <v>60</v>
      </c>
      <c r="L460" s="142">
        <v>44</v>
      </c>
      <c r="M460" s="143">
        <v>70</v>
      </c>
      <c r="N460" s="144">
        <v>348</v>
      </c>
      <c r="O460" s="145" t="s">
        <v>273</v>
      </c>
      <c r="P460" s="133" t="s">
        <v>99</v>
      </c>
      <c r="Q460" s="147">
        <v>1.2</v>
      </c>
      <c r="R460" s="131"/>
    </row>
    <row r="461" ht="24.95" customHeight="1" spans="1:18">
      <c r="A461" s="135" t="s">
        <v>4357</v>
      </c>
      <c r="B461" s="131" t="s">
        <v>4358</v>
      </c>
      <c r="C461" s="136" t="str">
        <f>VLOOKUP(A461,伤害计算器!$V$2:$Y$720,3,FALSE)</f>
        <v>フワライド</v>
      </c>
      <c r="D461" s="136" t="str">
        <f>VLOOKUP(A461,伤害计算器!$V$2:$Y$720,4,FALSE)</f>
        <v>Drifblim</v>
      </c>
      <c r="E461" s="131" t="s">
        <v>3574</v>
      </c>
      <c r="F461" s="131" t="s">
        <v>3589</v>
      </c>
      <c r="G461" s="131" t="s">
        <v>45</v>
      </c>
      <c r="H461" s="138">
        <v>150</v>
      </c>
      <c r="I461" s="139">
        <v>80</v>
      </c>
      <c r="J461" s="140">
        <v>44</v>
      </c>
      <c r="K461" s="141">
        <v>90</v>
      </c>
      <c r="L461" s="142">
        <v>54</v>
      </c>
      <c r="M461" s="143">
        <v>80</v>
      </c>
      <c r="N461" s="144">
        <v>498</v>
      </c>
      <c r="O461" s="145" t="s">
        <v>273</v>
      </c>
      <c r="P461" s="133" t="s">
        <v>99</v>
      </c>
      <c r="Q461" s="147">
        <v>15</v>
      </c>
      <c r="R461" s="131"/>
    </row>
    <row r="462" ht="24.95" customHeight="1" spans="1:18">
      <c r="A462" s="135" t="s">
        <v>4359</v>
      </c>
      <c r="B462" s="131" t="s">
        <v>4360</v>
      </c>
      <c r="C462" s="136" t="str">
        <f>VLOOKUP(A462,伤害计算器!$V$2:$Y$720,3,FALSE)</f>
        <v>ミミロル</v>
      </c>
      <c r="D462" s="136" t="str">
        <f>VLOOKUP(A462,伤害计算器!$V$2:$Y$720,4,FALSE)</f>
        <v>Buneary</v>
      </c>
      <c r="E462" s="131" t="s">
        <v>3319</v>
      </c>
      <c r="F462" s="131" t="s">
        <v>4361</v>
      </c>
      <c r="G462" s="131" t="s">
        <v>4362</v>
      </c>
      <c r="H462" s="138">
        <v>55</v>
      </c>
      <c r="I462" s="139">
        <v>66</v>
      </c>
      <c r="J462" s="140">
        <v>44</v>
      </c>
      <c r="K462" s="141">
        <v>44</v>
      </c>
      <c r="L462" s="142">
        <v>56</v>
      </c>
      <c r="M462" s="143">
        <v>85</v>
      </c>
      <c r="N462" s="144">
        <v>350</v>
      </c>
      <c r="O462" s="145" t="s">
        <v>267</v>
      </c>
      <c r="Q462" s="147">
        <v>5.5</v>
      </c>
      <c r="R462" s="131"/>
    </row>
    <row r="463" ht="24.95" customHeight="1" spans="1:18">
      <c r="A463" s="135" t="s">
        <v>4363</v>
      </c>
      <c r="B463" s="131" t="s">
        <v>4364</v>
      </c>
      <c r="C463" s="136" t="str">
        <f>VLOOKUP(A463,伤害计算器!$V$2:$Y$720,3,FALSE)</f>
        <v>ミミロップ</v>
      </c>
      <c r="D463" s="136" t="str">
        <f>VLOOKUP(A463,伤害计算器!$V$2:$Y$720,4,FALSE)</f>
        <v>Lopunny</v>
      </c>
      <c r="E463" s="131" t="s">
        <v>3390</v>
      </c>
      <c r="F463" s="131" t="s">
        <v>4365</v>
      </c>
      <c r="G463" s="131" t="s">
        <v>3444</v>
      </c>
      <c r="H463" s="138">
        <v>65</v>
      </c>
      <c r="I463" s="139">
        <v>76</v>
      </c>
      <c r="J463" s="140">
        <v>84</v>
      </c>
      <c r="K463" s="141">
        <v>54</v>
      </c>
      <c r="L463" s="142">
        <v>96</v>
      </c>
      <c r="M463" s="143">
        <v>105</v>
      </c>
      <c r="N463" s="144">
        <v>480</v>
      </c>
      <c r="O463" s="145" t="s">
        <v>267</v>
      </c>
      <c r="Q463" s="147">
        <v>33.3</v>
      </c>
      <c r="R463" s="131"/>
    </row>
    <row r="464" ht="24.95" customHeight="1" spans="1:18">
      <c r="A464" s="135" t="s">
        <v>4363</v>
      </c>
      <c r="B464" s="147" t="s">
        <v>4366</v>
      </c>
      <c r="C464" s="136" t="str">
        <f>VLOOKUP(A464,伤害计算器!$V$2:$Y$720,3,FALSE)</f>
        <v>ミミロップ</v>
      </c>
      <c r="D464" s="136" t="str">
        <f>VLOOKUP(A464,伤害计算器!$V$2:$Y$720,4,FALSE)</f>
        <v>Lopunny</v>
      </c>
      <c r="E464" s="147" t="s">
        <v>3612</v>
      </c>
      <c r="F464" s="136"/>
      <c r="G464" s="136" t="s">
        <v>3612</v>
      </c>
      <c r="H464" s="138">
        <v>65</v>
      </c>
      <c r="I464" s="139">
        <v>136</v>
      </c>
      <c r="J464" s="140">
        <v>94</v>
      </c>
      <c r="K464" s="141">
        <v>54</v>
      </c>
      <c r="L464" s="142">
        <v>96</v>
      </c>
      <c r="M464" s="143">
        <v>135</v>
      </c>
      <c r="N464" s="144">
        <v>580</v>
      </c>
      <c r="O464" s="145" t="s">
        <v>267</v>
      </c>
      <c r="P464" s="133" t="s">
        <v>269</v>
      </c>
      <c r="Q464" s="147">
        <v>28.3</v>
      </c>
      <c r="R464" s="131"/>
    </row>
    <row r="465" ht="24.95" customHeight="1" spans="1:18">
      <c r="A465" s="135" t="s">
        <v>4367</v>
      </c>
      <c r="B465" s="131" t="s">
        <v>4368</v>
      </c>
      <c r="C465" s="136" t="str">
        <f>VLOOKUP(A465,伤害计算器!$V$2:$Y$720,3,FALSE)</f>
        <v>ムウマージ</v>
      </c>
      <c r="D465" s="136" t="str">
        <f>VLOOKUP(A465,伤害计算器!$V$2:$Y$720,4,FALSE)</f>
        <v>Mismagius</v>
      </c>
      <c r="E465" s="131" t="s">
        <v>582</v>
      </c>
      <c r="F465" s="137"/>
      <c r="G465" s="137"/>
      <c r="H465" s="138">
        <v>60</v>
      </c>
      <c r="I465" s="139">
        <v>60</v>
      </c>
      <c r="J465" s="140">
        <v>60</v>
      </c>
      <c r="K465" s="141">
        <v>105</v>
      </c>
      <c r="L465" s="142">
        <v>105</v>
      </c>
      <c r="M465" s="143">
        <v>105</v>
      </c>
      <c r="N465" s="144">
        <v>495</v>
      </c>
      <c r="O465" s="145" t="s">
        <v>273</v>
      </c>
      <c r="Q465" s="147">
        <v>4.4</v>
      </c>
      <c r="R465" s="131"/>
    </row>
    <row r="466" ht="24.95" customHeight="1" spans="1:18">
      <c r="A466" s="135" t="s">
        <v>4369</v>
      </c>
      <c r="B466" s="131" t="s">
        <v>4370</v>
      </c>
      <c r="C466" s="136" t="str">
        <f>VLOOKUP(A466,伤害计算器!$V$2:$Y$720,3,FALSE)</f>
        <v>ドンカラス</v>
      </c>
      <c r="D466" s="136" t="str">
        <f>VLOOKUP(A466,伤害计算器!$V$2:$Y$720,4,FALSE)</f>
        <v>Honchkrow</v>
      </c>
      <c r="E466" s="131" t="s">
        <v>3561</v>
      </c>
      <c r="F466" s="131" t="s">
        <v>3756</v>
      </c>
      <c r="G466" s="131" t="s">
        <v>3640</v>
      </c>
      <c r="H466" s="138">
        <v>100</v>
      </c>
      <c r="I466" s="139">
        <v>125</v>
      </c>
      <c r="J466" s="140">
        <v>52</v>
      </c>
      <c r="K466" s="141">
        <v>105</v>
      </c>
      <c r="L466" s="142">
        <v>52</v>
      </c>
      <c r="M466" s="143">
        <v>71</v>
      </c>
      <c r="N466" s="144">
        <v>505</v>
      </c>
      <c r="O466" s="145" t="s">
        <v>275</v>
      </c>
      <c r="P466" s="133" t="s">
        <v>99</v>
      </c>
      <c r="Q466" s="147">
        <v>27.3</v>
      </c>
      <c r="R466" s="131"/>
    </row>
    <row r="467" ht="24.95" customHeight="1" spans="1:18">
      <c r="A467" s="135" t="s">
        <v>4371</v>
      </c>
      <c r="B467" s="131" t="s">
        <v>4372</v>
      </c>
      <c r="C467" s="136" t="str">
        <f>VLOOKUP(A467,伤害计算器!$V$2:$Y$720,3,FALSE)</f>
        <v>ニャルマー</v>
      </c>
      <c r="D467" s="136" t="str">
        <f>VLOOKUP(A467,伤害计算器!$V$2:$Y$720,4,FALSE)</f>
        <v>Glameow</v>
      </c>
      <c r="E467" s="131" t="s">
        <v>3444</v>
      </c>
      <c r="F467" s="131" t="s">
        <v>4373</v>
      </c>
      <c r="G467" s="131" t="s">
        <v>4374</v>
      </c>
      <c r="H467" s="138">
        <v>49</v>
      </c>
      <c r="I467" s="139">
        <v>55</v>
      </c>
      <c r="J467" s="140">
        <v>42</v>
      </c>
      <c r="K467" s="141">
        <v>42</v>
      </c>
      <c r="L467" s="142">
        <v>37</v>
      </c>
      <c r="M467" s="143">
        <v>85</v>
      </c>
      <c r="N467" s="144">
        <v>310</v>
      </c>
      <c r="O467" s="145" t="s">
        <v>267</v>
      </c>
      <c r="Q467" s="147">
        <v>3.9</v>
      </c>
      <c r="R467" s="131"/>
    </row>
    <row r="468" ht="24.95" customHeight="1" spans="1:18">
      <c r="A468" s="135" t="s">
        <v>4375</v>
      </c>
      <c r="B468" s="131" t="s">
        <v>4376</v>
      </c>
      <c r="C468" s="136" t="str">
        <f>VLOOKUP(A468,伤害计算器!$V$2:$Y$720,3,FALSE)</f>
        <v>ブニャット</v>
      </c>
      <c r="D468" s="136" t="str">
        <f>VLOOKUP(A468,伤害计算器!$V$2:$Y$720,4,FALSE)</f>
        <v>Purugly</v>
      </c>
      <c r="E468" s="131" t="s">
        <v>70</v>
      </c>
      <c r="F468" s="131" t="s">
        <v>3514</v>
      </c>
      <c r="G468" s="131" t="s">
        <v>3455</v>
      </c>
      <c r="H468" s="138">
        <v>71</v>
      </c>
      <c r="I468" s="139">
        <v>82</v>
      </c>
      <c r="J468" s="140">
        <v>64</v>
      </c>
      <c r="K468" s="141">
        <v>64</v>
      </c>
      <c r="L468" s="142">
        <v>59</v>
      </c>
      <c r="M468" s="143">
        <v>112</v>
      </c>
      <c r="N468" s="144">
        <v>452</v>
      </c>
      <c r="O468" s="145" t="s">
        <v>267</v>
      </c>
      <c r="Q468" s="147">
        <v>43.8</v>
      </c>
      <c r="R468" s="131"/>
    </row>
    <row r="469" ht="24.95" customHeight="1" spans="1:18">
      <c r="A469" s="135" t="s">
        <v>4377</v>
      </c>
      <c r="B469" s="131" t="s">
        <v>4378</v>
      </c>
      <c r="C469" s="136" t="str">
        <f>VLOOKUP(A469,伤害计算器!$V$2:$Y$720,3,FALSE)</f>
        <v>リーシャン</v>
      </c>
      <c r="D469" s="136" t="str">
        <f>VLOOKUP(A469,伤害计算器!$V$2:$Y$720,4,FALSE)</f>
        <v>Chingling</v>
      </c>
      <c r="E469" s="131" t="s">
        <v>582</v>
      </c>
      <c r="F469" s="137"/>
      <c r="G469" s="137"/>
      <c r="H469" s="138">
        <v>45</v>
      </c>
      <c r="I469" s="139">
        <v>30</v>
      </c>
      <c r="J469" s="140">
        <v>50</v>
      </c>
      <c r="K469" s="141">
        <v>65</v>
      </c>
      <c r="L469" s="142">
        <v>50</v>
      </c>
      <c r="M469" s="143">
        <v>45</v>
      </c>
      <c r="N469" s="144">
        <v>285</v>
      </c>
      <c r="O469" s="145" t="s">
        <v>271</v>
      </c>
      <c r="Q469" s="147">
        <v>0.6</v>
      </c>
      <c r="R469" s="131"/>
    </row>
    <row r="470" ht="24.95" customHeight="1" spans="1:18">
      <c r="A470" s="135" t="s">
        <v>4379</v>
      </c>
      <c r="B470" s="131" t="s">
        <v>4380</v>
      </c>
      <c r="C470" s="136" t="str">
        <f>VLOOKUP(A470,伤害计算器!$V$2:$Y$720,3,FALSE)</f>
        <v>スカンプー</v>
      </c>
      <c r="D470" s="136" t="str">
        <f>VLOOKUP(A470,伤害计算器!$V$2:$Y$720,4,FALSE)</f>
        <v>Stunky</v>
      </c>
      <c r="E470" s="131" t="s">
        <v>3417</v>
      </c>
      <c r="F470" s="131" t="s">
        <v>3574</v>
      </c>
      <c r="G470" s="131" t="s">
        <v>3336</v>
      </c>
      <c r="H470" s="138">
        <v>63</v>
      </c>
      <c r="I470" s="139">
        <v>63</v>
      </c>
      <c r="J470" s="140">
        <v>47</v>
      </c>
      <c r="K470" s="141">
        <v>41</v>
      </c>
      <c r="L470" s="142">
        <v>41</v>
      </c>
      <c r="M470" s="143">
        <v>74</v>
      </c>
      <c r="N470" s="144">
        <v>329</v>
      </c>
      <c r="O470" s="145" t="s">
        <v>270</v>
      </c>
      <c r="P470" s="133" t="s">
        <v>275</v>
      </c>
      <c r="Q470" s="147">
        <v>19.2</v>
      </c>
      <c r="R470" s="131"/>
    </row>
    <row r="471" ht="24.95" customHeight="1" spans="1:18">
      <c r="A471" s="135" t="s">
        <v>4381</v>
      </c>
      <c r="B471" s="131" t="s">
        <v>4382</v>
      </c>
      <c r="C471" s="136" t="str">
        <f>VLOOKUP(A471,伤害计算器!$V$2:$Y$720,3,FALSE)</f>
        <v>スカタンク</v>
      </c>
      <c r="D471" s="136" t="str">
        <f>VLOOKUP(A471,伤害计算器!$V$2:$Y$720,4,FALSE)</f>
        <v>Skuntank</v>
      </c>
      <c r="E471" s="131" t="s">
        <v>3417</v>
      </c>
      <c r="F471" s="131" t="s">
        <v>3574</v>
      </c>
      <c r="G471" s="131" t="s">
        <v>3336</v>
      </c>
      <c r="H471" s="138">
        <v>103</v>
      </c>
      <c r="I471" s="139">
        <v>93</v>
      </c>
      <c r="J471" s="140">
        <v>67</v>
      </c>
      <c r="K471" s="141">
        <v>71</v>
      </c>
      <c r="L471" s="142">
        <v>61</v>
      </c>
      <c r="M471" s="143">
        <v>84</v>
      </c>
      <c r="N471" s="144">
        <v>479</v>
      </c>
      <c r="O471" s="145" t="s">
        <v>270</v>
      </c>
      <c r="P471" s="133" t="s">
        <v>275</v>
      </c>
      <c r="Q471" s="147">
        <v>38</v>
      </c>
      <c r="R471" s="131"/>
    </row>
    <row r="472" ht="24.95" customHeight="1" spans="1:18">
      <c r="A472" s="135" t="s">
        <v>4383</v>
      </c>
      <c r="B472" s="131" t="s">
        <v>4384</v>
      </c>
      <c r="C472" s="136" t="str">
        <f>VLOOKUP(A472,伤害计算器!$V$2:$Y$720,3,FALSE)</f>
        <v>ドーミラー</v>
      </c>
      <c r="D472" s="136" t="str">
        <f>VLOOKUP(A472,伤害计算器!$V$2:$Y$720,4,FALSE)</f>
        <v>Bronzor</v>
      </c>
      <c r="E472" s="131" t="s">
        <v>582</v>
      </c>
      <c r="F472" s="131" t="s">
        <v>71</v>
      </c>
      <c r="G472" s="131" t="s">
        <v>4061</v>
      </c>
      <c r="H472" s="138">
        <v>57</v>
      </c>
      <c r="I472" s="139">
        <v>24</v>
      </c>
      <c r="J472" s="140">
        <v>86</v>
      </c>
      <c r="K472" s="141">
        <v>24</v>
      </c>
      <c r="L472" s="142">
        <v>86</v>
      </c>
      <c r="M472" s="143">
        <v>23</v>
      </c>
      <c r="N472" s="144">
        <v>300</v>
      </c>
      <c r="O472" s="145" t="s">
        <v>276</v>
      </c>
      <c r="P472" s="133" t="s">
        <v>271</v>
      </c>
      <c r="Q472" s="147">
        <v>60.5</v>
      </c>
      <c r="R472" s="131"/>
    </row>
    <row r="473" ht="24.95" customHeight="1" spans="1:18">
      <c r="A473" s="135" t="s">
        <v>4385</v>
      </c>
      <c r="B473" s="131" t="s">
        <v>4386</v>
      </c>
      <c r="C473" s="136" t="str">
        <f>VLOOKUP(A473,伤害计算器!$V$2:$Y$720,3,FALSE)</f>
        <v>ドータクン</v>
      </c>
      <c r="D473" s="136" t="str">
        <f>VLOOKUP(A473,伤害计算器!$V$2:$Y$720,4,FALSE)</f>
        <v>Bronzong</v>
      </c>
      <c r="E473" s="131" t="s">
        <v>582</v>
      </c>
      <c r="F473" s="131" t="s">
        <v>71</v>
      </c>
      <c r="G473" s="131" t="s">
        <v>4061</v>
      </c>
      <c r="H473" s="138">
        <v>67</v>
      </c>
      <c r="I473" s="139">
        <v>89</v>
      </c>
      <c r="J473" s="140">
        <v>116</v>
      </c>
      <c r="K473" s="141">
        <v>79</v>
      </c>
      <c r="L473" s="142">
        <v>116</v>
      </c>
      <c r="M473" s="143">
        <v>33</v>
      </c>
      <c r="N473" s="144">
        <v>500</v>
      </c>
      <c r="O473" s="145" t="s">
        <v>276</v>
      </c>
      <c r="P473" s="133" t="s">
        <v>271</v>
      </c>
      <c r="Q473" s="147">
        <v>187</v>
      </c>
      <c r="R473" s="131"/>
    </row>
    <row r="474" ht="24.95" customHeight="1" spans="1:18">
      <c r="A474" s="135" t="s">
        <v>4387</v>
      </c>
      <c r="B474" s="131" t="s">
        <v>4388</v>
      </c>
      <c r="C474" s="136" t="str">
        <f>VLOOKUP(A474,伤害计算器!$V$2:$Y$720,3,FALSE)</f>
        <v>ウソハチ</v>
      </c>
      <c r="D474" s="136" t="str">
        <f>VLOOKUP(A474,伤害计算器!$V$2:$Y$720,4,FALSE)</f>
        <v>Bonsly</v>
      </c>
      <c r="E474" s="131" t="s">
        <v>3500</v>
      </c>
      <c r="F474" s="131" t="s">
        <v>4389</v>
      </c>
      <c r="G474" s="131" t="s">
        <v>3833</v>
      </c>
      <c r="H474" s="138">
        <v>50</v>
      </c>
      <c r="I474" s="139">
        <v>80</v>
      </c>
      <c r="J474" s="140">
        <v>95</v>
      </c>
      <c r="K474" s="141">
        <v>10</v>
      </c>
      <c r="L474" s="142">
        <v>45</v>
      </c>
      <c r="M474" s="143">
        <v>10</v>
      </c>
      <c r="N474" s="144">
        <v>290</v>
      </c>
      <c r="O474" s="145" t="s">
        <v>252</v>
      </c>
      <c r="Q474" s="147">
        <v>15</v>
      </c>
      <c r="R474" s="131"/>
    </row>
    <row r="475" ht="24.95" customHeight="1" spans="1:18">
      <c r="A475" s="135" t="s">
        <v>4390</v>
      </c>
      <c r="B475" s="131" t="s">
        <v>4391</v>
      </c>
      <c r="C475" s="136" t="str">
        <f>VLOOKUP(A475,伤害计算器!$V$2:$Y$720,3,FALSE)</f>
        <v>マネネ</v>
      </c>
      <c r="D475" s="136" t="str">
        <f>VLOOKUP(A475,伤害计算器!$V$2:$Y$720,4,FALSE)</f>
        <v>Mime Jr.</v>
      </c>
      <c r="E475" s="131" t="s">
        <v>591</v>
      </c>
      <c r="F475" s="131" t="s">
        <v>77</v>
      </c>
      <c r="G475" s="131" t="s">
        <v>36</v>
      </c>
      <c r="H475" s="138">
        <v>20</v>
      </c>
      <c r="I475" s="139">
        <v>25</v>
      </c>
      <c r="J475" s="140">
        <v>45</v>
      </c>
      <c r="K475" s="141">
        <v>70</v>
      </c>
      <c r="L475" s="142">
        <v>90</v>
      </c>
      <c r="M475" s="143">
        <v>60</v>
      </c>
      <c r="N475" s="144">
        <v>310</v>
      </c>
      <c r="O475" s="145" t="s">
        <v>271</v>
      </c>
      <c r="P475" s="133" t="s">
        <v>98</v>
      </c>
      <c r="Q475" s="147">
        <v>13</v>
      </c>
      <c r="R475" s="131"/>
    </row>
    <row r="476" ht="24.95" customHeight="1" spans="1:18">
      <c r="A476" s="135" t="s">
        <v>4392</v>
      </c>
      <c r="B476" s="131" t="s">
        <v>4393</v>
      </c>
      <c r="C476" s="136" t="str">
        <f>VLOOKUP(A476,伤害计算器!$V$2:$Y$720,3,FALSE)</f>
        <v>ピンプク</v>
      </c>
      <c r="D476" s="136" t="str">
        <f>VLOOKUP(A476,伤害计算器!$V$2:$Y$720,4,FALSE)</f>
        <v>Happiny</v>
      </c>
      <c r="E476" s="131" t="s">
        <v>3604</v>
      </c>
      <c r="F476" s="131" t="s">
        <v>3752</v>
      </c>
      <c r="G476" s="131" t="s">
        <v>4394</v>
      </c>
      <c r="H476" s="138">
        <v>100</v>
      </c>
      <c r="I476" s="139">
        <v>5</v>
      </c>
      <c r="J476" s="140">
        <v>5</v>
      </c>
      <c r="K476" s="141">
        <v>15</v>
      </c>
      <c r="L476" s="142">
        <v>65</v>
      </c>
      <c r="M476" s="143">
        <v>30</v>
      </c>
      <c r="N476" s="144">
        <v>220</v>
      </c>
      <c r="O476" s="145" t="s">
        <v>267</v>
      </c>
      <c r="Q476" s="147">
        <v>24.4</v>
      </c>
      <c r="R476" s="131"/>
    </row>
    <row r="477" ht="24.95" customHeight="1" spans="1:18">
      <c r="A477" s="135" t="s">
        <v>4395</v>
      </c>
      <c r="B477" s="131" t="s">
        <v>4396</v>
      </c>
      <c r="C477" s="136" t="str">
        <f>VLOOKUP(A477,伤害计算器!$V$2:$Y$720,3,FALSE)</f>
        <v>ペラップ</v>
      </c>
      <c r="D477" s="136" t="str">
        <f>VLOOKUP(A477,伤害计算器!$V$2:$Y$720,4,FALSE)</f>
        <v>Chatot</v>
      </c>
      <c r="E477" s="131" t="s">
        <v>3336</v>
      </c>
      <c r="F477" s="131" t="s">
        <v>79</v>
      </c>
      <c r="G477" s="131" t="s">
        <v>3337</v>
      </c>
      <c r="H477" s="138">
        <v>76</v>
      </c>
      <c r="I477" s="139">
        <v>65</v>
      </c>
      <c r="J477" s="140">
        <v>45</v>
      </c>
      <c r="K477" s="141">
        <v>92</v>
      </c>
      <c r="L477" s="142">
        <v>42</v>
      </c>
      <c r="M477" s="143">
        <v>91</v>
      </c>
      <c r="N477" s="144">
        <v>411</v>
      </c>
      <c r="O477" s="145" t="s">
        <v>267</v>
      </c>
      <c r="P477" s="133" t="s">
        <v>99</v>
      </c>
      <c r="Q477" s="147">
        <v>1.9</v>
      </c>
      <c r="R477" s="131"/>
    </row>
    <row r="478" ht="24.95" customHeight="1" spans="1:18">
      <c r="A478" s="135" t="s">
        <v>4397</v>
      </c>
      <c r="B478" s="131" t="s">
        <v>4398</v>
      </c>
      <c r="C478" s="136" t="str">
        <f>VLOOKUP(A478,伤害计算器!$V$2:$Y$720,3,FALSE)</f>
        <v>ミカルゲ</v>
      </c>
      <c r="D478" s="136" t="str">
        <f>VLOOKUP(A478,伤害计算器!$V$2:$Y$720,4,FALSE)</f>
        <v>Spiritomb</v>
      </c>
      <c r="E478" s="131" t="s">
        <v>3679</v>
      </c>
      <c r="F478" s="137"/>
      <c r="G478" s="131" t="s">
        <v>3410</v>
      </c>
      <c r="H478" s="138">
        <v>50</v>
      </c>
      <c r="I478" s="139">
        <v>92</v>
      </c>
      <c r="J478" s="140">
        <v>108</v>
      </c>
      <c r="K478" s="141">
        <v>92</v>
      </c>
      <c r="L478" s="142">
        <v>108</v>
      </c>
      <c r="M478" s="143">
        <v>35</v>
      </c>
      <c r="N478" s="144">
        <v>485</v>
      </c>
      <c r="O478" s="145" t="s">
        <v>273</v>
      </c>
      <c r="P478" s="133" t="s">
        <v>275</v>
      </c>
      <c r="Q478" s="147">
        <v>108</v>
      </c>
      <c r="R478" s="131"/>
    </row>
    <row r="479" ht="24.95" customHeight="1" spans="1:18">
      <c r="A479" s="135" t="s">
        <v>4399</v>
      </c>
      <c r="B479" s="131" t="s">
        <v>4400</v>
      </c>
      <c r="C479" s="136" t="str">
        <f>VLOOKUP(A479,伤害计算器!$V$2:$Y$720,3,FALSE)</f>
        <v>フカマル</v>
      </c>
      <c r="D479" s="136" t="str">
        <f>VLOOKUP(A479,伤害计算器!$V$2:$Y$720,4,FALSE)</f>
        <v>Gible</v>
      </c>
      <c r="E479" s="131" t="s">
        <v>80</v>
      </c>
      <c r="F479" s="137"/>
      <c r="G479" s="131" t="s">
        <v>4102</v>
      </c>
      <c r="H479" s="138">
        <v>58</v>
      </c>
      <c r="I479" s="139">
        <v>70</v>
      </c>
      <c r="J479" s="140">
        <v>45</v>
      </c>
      <c r="K479" s="141">
        <v>40</v>
      </c>
      <c r="L479" s="142">
        <v>45</v>
      </c>
      <c r="M479" s="143">
        <v>42</v>
      </c>
      <c r="N479" s="144">
        <v>300</v>
      </c>
      <c r="O479" s="145" t="s">
        <v>274</v>
      </c>
      <c r="P479" s="133" t="s">
        <v>237</v>
      </c>
      <c r="Q479" s="147">
        <v>20.5</v>
      </c>
      <c r="R479" s="131"/>
    </row>
    <row r="480" ht="24.95" customHeight="1" spans="1:18">
      <c r="A480" s="135" t="s">
        <v>4401</v>
      </c>
      <c r="B480" s="131" t="s">
        <v>4402</v>
      </c>
      <c r="C480" s="136" t="str">
        <f>VLOOKUP(A480,伤害计算器!$V$2:$Y$720,3,FALSE)</f>
        <v>ガバイト</v>
      </c>
      <c r="D480" s="136" t="str">
        <f>VLOOKUP(A480,伤害计算器!$V$2:$Y$720,4,FALSE)</f>
        <v>Gabite</v>
      </c>
      <c r="E480" s="131" t="s">
        <v>80</v>
      </c>
      <c r="F480" s="137"/>
      <c r="G480" s="131" t="s">
        <v>4102</v>
      </c>
      <c r="H480" s="138">
        <v>68</v>
      </c>
      <c r="I480" s="139">
        <v>90</v>
      </c>
      <c r="J480" s="140">
        <v>65</v>
      </c>
      <c r="K480" s="141">
        <v>50</v>
      </c>
      <c r="L480" s="142">
        <v>55</v>
      </c>
      <c r="M480" s="143">
        <v>82</v>
      </c>
      <c r="N480" s="144">
        <v>410</v>
      </c>
      <c r="O480" s="145" t="s">
        <v>274</v>
      </c>
      <c r="P480" s="133" t="s">
        <v>237</v>
      </c>
      <c r="Q480" s="147">
        <v>56</v>
      </c>
      <c r="R480" s="131"/>
    </row>
    <row r="481" ht="24.95" customHeight="1" spans="1:18">
      <c r="A481" s="135" t="s">
        <v>4403</v>
      </c>
      <c r="B481" s="131" t="s">
        <v>4404</v>
      </c>
      <c r="C481" s="136" t="str">
        <f>VLOOKUP(A481,伤害计算器!$V$2:$Y$720,3,FALSE)</f>
        <v>ガブリアス</v>
      </c>
      <c r="D481" s="136" t="str">
        <f>VLOOKUP(A481,伤害计算器!$V$2:$Y$720,4,FALSE)</f>
        <v>Garchomp</v>
      </c>
      <c r="E481" s="131" t="s">
        <v>80</v>
      </c>
      <c r="F481" s="137"/>
      <c r="G481" s="131" t="s">
        <v>4102</v>
      </c>
      <c r="H481" s="138">
        <v>108</v>
      </c>
      <c r="I481" s="139">
        <v>130</v>
      </c>
      <c r="J481" s="140">
        <v>95</v>
      </c>
      <c r="K481" s="141">
        <v>80</v>
      </c>
      <c r="L481" s="142">
        <v>85</v>
      </c>
      <c r="M481" s="143">
        <v>102</v>
      </c>
      <c r="N481" s="144">
        <v>600</v>
      </c>
      <c r="O481" s="145" t="s">
        <v>274</v>
      </c>
      <c r="P481" s="133" t="s">
        <v>237</v>
      </c>
      <c r="Q481" s="147">
        <v>95</v>
      </c>
      <c r="R481" s="131"/>
    </row>
    <row r="482" ht="24.95" customHeight="1" spans="1:18">
      <c r="A482" s="135" t="s">
        <v>4403</v>
      </c>
      <c r="B482" s="131" t="s">
        <v>4405</v>
      </c>
      <c r="C482" s="136" t="str">
        <f>VLOOKUP(A482,伤害计算器!$V$2:$Y$720,3,FALSE)</f>
        <v>ガブリアス</v>
      </c>
      <c r="D482" s="136" t="str">
        <f>VLOOKUP(A482,伤害计算器!$V$2:$Y$720,4,FALSE)</f>
        <v>Garchomp</v>
      </c>
      <c r="E482" s="131" t="s">
        <v>40</v>
      </c>
      <c r="F482" s="137"/>
      <c r="G482" s="131" t="s">
        <v>40</v>
      </c>
      <c r="H482" s="138">
        <v>108</v>
      </c>
      <c r="I482" s="139">
        <v>170</v>
      </c>
      <c r="J482" s="140">
        <v>115</v>
      </c>
      <c r="K482" s="141">
        <v>120</v>
      </c>
      <c r="L482" s="142">
        <v>95</v>
      </c>
      <c r="M482" s="143">
        <v>92</v>
      </c>
      <c r="N482" s="144">
        <v>700</v>
      </c>
      <c r="O482" s="145" t="s">
        <v>274</v>
      </c>
      <c r="P482" s="133" t="s">
        <v>237</v>
      </c>
      <c r="Q482" s="133">
        <v>95</v>
      </c>
      <c r="R482" s="131"/>
    </row>
    <row r="483" ht="24.95" customHeight="1" spans="1:18">
      <c r="A483" s="135" t="s">
        <v>4406</v>
      </c>
      <c r="B483" s="131" t="s">
        <v>4407</v>
      </c>
      <c r="C483" s="136" t="str">
        <f>VLOOKUP(A483,伤害计算器!$V$2:$Y$720,3,FALSE)</f>
        <v>ゴンベ</v>
      </c>
      <c r="D483" s="136" t="str">
        <f>VLOOKUP(A483,伤害计算器!$V$2:$Y$720,4,FALSE)</f>
        <v>Munchlax</v>
      </c>
      <c r="E483" s="131" t="s">
        <v>3441</v>
      </c>
      <c r="F483" s="131" t="s">
        <v>3683</v>
      </c>
      <c r="G483" s="131" t="s">
        <v>3684</v>
      </c>
      <c r="H483" s="138">
        <v>135</v>
      </c>
      <c r="I483" s="139">
        <v>85</v>
      </c>
      <c r="J483" s="140">
        <v>40</v>
      </c>
      <c r="K483" s="141">
        <v>40</v>
      </c>
      <c r="L483" s="142">
        <v>85</v>
      </c>
      <c r="M483" s="143">
        <v>5</v>
      </c>
      <c r="N483" s="144">
        <v>390</v>
      </c>
      <c r="O483" s="145" t="s">
        <v>267</v>
      </c>
      <c r="Q483" s="147">
        <v>105</v>
      </c>
      <c r="R483" s="131"/>
    </row>
    <row r="484" ht="24.95" customHeight="1" spans="1:18">
      <c r="A484" s="135" t="s">
        <v>4408</v>
      </c>
      <c r="B484" s="131" t="s">
        <v>4409</v>
      </c>
      <c r="C484" s="136" t="str">
        <f>VLOOKUP(A484,伤害计算器!$V$2:$Y$720,3,FALSE)</f>
        <v>リオル</v>
      </c>
      <c r="D484" s="136" t="str">
        <f>VLOOKUP(A484,伤害计算器!$V$2:$Y$720,4,FALSE)</f>
        <v>Riolu</v>
      </c>
      <c r="E484" s="131" t="s">
        <v>3479</v>
      </c>
      <c r="F484" s="131" t="s">
        <v>3563</v>
      </c>
      <c r="G484" s="131" t="s">
        <v>4092</v>
      </c>
      <c r="H484" s="138">
        <v>40</v>
      </c>
      <c r="I484" s="139">
        <v>70</v>
      </c>
      <c r="J484" s="140">
        <v>40</v>
      </c>
      <c r="K484" s="141">
        <v>35</v>
      </c>
      <c r="L484" s="142">
        <v>40</v>
      </c>
      <c r="M484" s="143">
        <v>60</v>
      </c>
      <c r="N484" s="144">
        <v>285</v>
      </c>
      <c r="O484" s="145" t="s">
        <v>269</v>
      </c>
      <c r="Q484" s="147">
        <v>20.2</v>
      </c>
      <c r="R484" s="131"/>
    </row>
    <row r="485" ht="24.95" customHeight="1" spans="1:18">
      <c r="A485" s="135" t="s">
        <v>4410</v>
      </c>
      <c r="B485" s="131" t="s">
        <v>4411</v>
      </c>
      <c r="C485" s="136" t="str">
        <f>VLOOKUP(A485,伤害计算器!$V$2:$Y$720,3,FALSE)</f>
        <v>ルカリオ</v>
      </c>
      <c r="D485" s="136" t="str">
        <f>VLOOKUP(A485,伤害计算器!$V$2:$Y$720,4,FALSE)</f>
        <v>Lucario</v>
      </c>
      <c r="E485" s="131" t="s">
        <v>3479</v>
      </c>
      <c r="F485" s="131" t="s">
        <v>3409</v>
      </c>
      <c r="G485" s="131" t="s">
        <v>3460</v>
      </c>
      <c r="H485" s="138">
        <v>70</v>
      </c>
      <c r="I485" s="139">
        <v>110</v>
      </c>
      <c r="J485" s="140">
        <v>70</v>
      </c>
      <c r="K485" s="141">
        <v>115</v>
      </c>
      <c r="L485" s="142">
        <v>70</v>
      </c>
      <c r="M485" s="143">
        <v>90</v>
      </c>
      <c r="N485" s="144">
        <v>525</v>
      </c>
      <c r="O485" s="145" t="s">
        <v>269</v>
      </c>
      <c r="P485" s="133" t="s">
        <v>276</v>
      </c>
      <c r="Q485" s="147">
        <v>54</v>
      </c>
      <c r="R485" s="131"/>
    </row>
    <row r="486" ht="24.95" customHeight="1" spans="1:18">
      <c r="A486" s="135" t="s">
        <v>4410</v>
      </c>
      <c r="B486" s="131" t="s">
        <v>4412</v>
      </c>
      <c r="C486" s="136" t="str">
        <f>VLOOKUP(A486,伤害计算器!$V$2:$Y$720,3,FALSE)</f>
        <v>ルカリオ</v>
      </c>
      <c r="D486" s="136" t="str">
        <f>VLOOKUP(A486,伤害计算器!$V$2:$Y$720,4,FALSE)</f>
        <v>Lucario</v>
      </c>
      <c r="E486" s="131" t="s">
        <v>63</v>
      </c>
      <c r="F486" s="137"/>
      <c r="G486" s="131" t="s">
        <v>63</v>
      </c>
      <c r="H486" s="138">
        <v>70</v>
      </c>
      <c r="I486" s="139">
        <v>145</v>
      </c>
      <c r="J486" s="140">
        <v>88</v>
      </c>
      <c r="K486" s="141">
        <v>140</v>
      </c>
      <c r="L486" s="142">
        <v>70</v>
      </c>
      <c r="M486" s="143">
        <v>112</v>
      </c>
      <c r="N486" s="144">
        <v>625</v>
      </c>
      <c r="O486" s="145" t="s">
        <v>269</v>
      </c>
      <c r="P486" s="133" t="s">
        <v>276</v>
      </c>
      <c r="Q486" s="147">
        <v>57.5</v>
      </c>
      <c r="R486" s="131"/>
    </row>
    <row r="487" ht="24.95" customHeight="1" spans="1:18">
      <c r="A487" s="135" t="s">
        <v>4413</v>
      </c>
      <c r="B487" s="131" t="s">
        <v>4414</v>
      </c>
      <c r="C487" s="136" t="str">
        <f>VLOOKUP(A487,伤害计算器!$V$2:$Y$720,3,FALSE)</f>
        <v>ヒポポタス</v>
      </c>
      <c r="D487" s="136" t="str">
        <f>VLOOKUP(A487,伤害计算器!$V$2:$Y$720,4,FALSE)</f>
        <v>Hippopotas</v>
      </c>
      <c r="E487" s="131" t="s">
        <v>3931</v>
      </c>
      <c r="F487" s="137"/>
      <c r="G487" s="131" t="s">
        <v>3438</v>
      </c>
      <c r="H487" s="138">
        <v>68</v>
      </c>
      <c r="I487" s="139">
        <v>72</v>
      </c>
      <c r="J487" s="140">
        <v>78</v>
      </c>
      <c r="K487" s="141">
        <v>38</v>
      </c>
      <c r="L487" s="142">
        <v>42</v>
      </c>
      <c r="M487" s="143">
        <v>32</v>
      </c>
      <c r="N487" s="144">
        <v>330</v>
      </c>
      <c r="O487" s="145" t="s">
        <v>237</v>
      </c>
      <c r="Q487" s="147">
        <v>49.5</v>
      </c>
      <c r="R487" s="131"/>
    </row>
    <row r="488" ht="24.95" customHeight="1" spans="1:18">
      <c r="A488" s="135" t="s">
        <v>4415</v>
      </c>
      <c r="B488" s="131" t="s">
        <v>4416</v>
      </c>
      <c r="C488" s="136" t="str">
        <f>VLOOKUP(A488,伤害计算器!$V$2:$Y$720,3,FALSE)</f>
        <v>カバルドン</v>
      </c>
      <c r="D488" s="136" t="str">
        <f>VLOOKUP(A488,伤害计算器!$V$2:$Y$720,4,FALSE)</f>
        <v>Hippowdon</v>
      </c>
      <c r="E488" s="131" t="s">
        <v>3931</v>
      </c>
      <c r="F488" s="137"/>
      <c r="G488" s="131" t="s">
        <v>40</v>
      </c>
      <c r="H488" s="138">
        <v>108</v>
      </c>
      <c r="I488" s="139">
        <v>112</v>
      </c>
      <c r="J488" s="140">
        <v>118</v>
      </c>
      <c r="K488" s="141">
        <v>68</v>
      </c>
      <c r="L488" s="142">
        <v>72</v>
      </c>
      <c r="M488" s="143">
        <v>47</v>
      </c>
      <c r="N488" s="144">
        <v>525</v>
      </c>
      <c r="O488" s="145" t="s">
        <v>237</v>
      </c>
      <c r="Q488" s="147">
        <v>300</v>
      </c>
      <c r="R488" s="131"/>
    </row>
    <row r="489" ht="24.95" customHeight="1" spans="1:18">
      <c r="A489" s="135" t="s">
        <v>4417</v>
      </c>
      <c r="B489" s="131" t="s">
        <v>4418</v>
      </c>
      <c r="C489" s="136" t="str">
        <f>VLOOKUP(A489,伤害计算器!$V$2:$Y$720,3,FALSE)</f>
        <v>スコルピ</v>
      </c>
      <c r="D489" s="136" t="str">
        <f>VLOOKUP(A489,伤害计算器!$V$2:$Y$720,4,FALSE)</f>
        <v>Skorupi</v>
      </c>
      <c r="E489" s="131" t="s">
        <v>3584</v>
      </c>
      <c r="F489" s="131" t="s">
        <v>65</v>
      </c>
      <c r="G489" s="131" t="s">
        <v>3336</v>
      </c>
      <c r="H489" s="138">
        <v>40</v>
      </c>
      <c r="I489" s="139">
        <v>50</v>
      </c>
      <c r="J489" s="140">
        <v>90</v>
      </c>
      <c r="K489" s="141">
        <v>30</v>
      </c>
      <c r="L489" s="142">
        <v>55</v>
      </c>
      <c r="M489" s="143">
        <v>65</v>
      </c>
      <c r="N489" s="144">
        <v>330</v>
      </c>
      <c r="O489" s="145" t="s">
        <v>270</v>
      </c>
      <c r="P489" s="133" t="s">
        <v>272</v>
      </c>
      <c r="Q489" s="147">
        <v>12</v>
      </c>
      <c r="R489" s="131"/>
    </row>
    <row r="490" ht="24.95" customHeight="1" spans="1:18">
      <c r="A490" s="135" t="s">
        <v>4419</v>
      </c>
      <c r="B490" s="131" t="s">
        <v>4420</v>
      </c>
      <c r="C490" s="136" t="str">
        <f>VLOOKUP(A490,伤害计算器!$V$2:$Y$720,3,FALSE)</f>
        <v>ドラピオン</v>
      </c>
      <c r="D490" s="136" t="str">
        <f>VLOOKUP(A490,伤害计算器!$V$2:$Y$720,4,FALSE)</f>
        <v>Drapion</v>
      </c>
      <c r="E490" s="131" t="s">
        <v>3584</v>
      </c>
      <c r="F490" s="131" t="s">
        <v>65</v>
      </c>
      <c r="G490" s="131" t="s">
        <v>3336</v>
      </c>
      <c r="H490" s="138">
        <v>70</v>
      </c>
      <c r="I490" s="139">
        <v>90</v>
      </c>
      <c r="J490" s="140">
        <v>110</v>
      </c>
      <c r="K490" s="141">
        <v>60</v>
      </c>
      <c r="L490" s="142">
        <v>75</v>
      </c>
      <c r="M490" s="143">
        <v>95</v>
      </c>
      <c r="N490" s="144">
        <v>500</v>
      </c>
      <c r="O490" s="145" t="s">
        <v>270</v>
      </c>
      <c r="P490" s="133" t="s">
        <v>275</v>
      </c>
      <c r="Q490" s="147">
        <v>61.5</v>
      </c>
      <c r="R490" s="131"/>
    </row>
    <row r="491" ht="24.95" customHeight="1" spans="1:18">
      <c r="A491" s="135" t="s">
        <v>4421</v>
      </c>
      <c r="B491" s="131" t="s">
        <v>4422</v>
      </c>
      <c r="C491" s="136" t="str">
        <f>VLOOKUP(A491,伤害计算器!$V$2:$Y$720,3,FALSE)</f>
        <v>グレッグル</v>
      </c>
      <c r="D491" s="136" t="str">
        <f>VLOOKUP(A491,伤害计算器!$V$2:$Y$720,4,FALSE)</f>
        <v>Croagunk</v>
      </c>
      <c r="E491" s="131" t="s">
        <v>3655</v>
      </c>
      <c r="F491" s="131" t="s">
        <v>3423</v>
      </c>
      <c r="G491" s="131" t="s">
        <v>3539</v>
      </c>
      <c r="H491" s="138">
        <v>48</v>
      </c>
      <c r="I491" s="139">
        <v>61</v>
      </c>
      <c r="J491" s="140">
        <v>40</v>
      </c>
      <c r="K491" s="141">
        <v>61</v>
      </c>
      <c r="L491" s="142">
        <v>40</v>
      </c>
      <c r="M491" s="143">
        <v>50</v>
      </c>
      <c r="N491" s="144">
        <v>300</v>
      </c>
      <c r="O491" s="145" t="s">
        <v>270</v>
      </c>
      <c r="P491" s="133" t="s">
        <v>269</v>
      </c>
      <c r="Q491" s="147">
        <v>23</v>
      </c>
      <c r="R491" s="131"/>
    </row>
    <row r="492" ht="24.95" customHeight="1" spans="1:18">
      <c r="A492" s="135" t="s">
        <v>4423</v>
      </c>
      <c r="B492" s="131" t="s">
        <v>4424</v>
      </c>
      <c r="C492" s="136" t="str">
        <f>VLOOKUP(A492,伤害计算器!$V$2:$Y$720,3,FALSE)</f>
        <v>ドクロッグ</v>
      </c>
      <c r="D492" s="136" t="str">
        <f>VLOOKUP(A492,伤害计算器!$V$2:$Y$720,4,FALSE)</f>
        <v>Toxicroak</v>
      </c>
      <c r="E492" s="131" t="s">
        <v>3655</v>
      </c>
      <c r="F492" s="131" t="s">
        <v>3423</v>
      </c>
      <c r="G492" s="131" t="s">
        <v>3539</v>
      </c>
      <c r="H492" s="138">
        <v>83</v>
      </c>
      <c r="I492" s="139">
        <v>106</v>
      </c>
      <c r="J492" s="140">
        <v>65</v>
      </c>
      <c r="K492" s="141">
        <v>86</v>
      </c>
      <c r="L492" s="142">
        <v>65</v>
      </c>
      <c r="M492" s="143">
        <v>85</v>
      </c>
      <c r="N492" s="144">
        <v>490</v>
      </c>
      <c r="O492" s="145" t="s">
        <v>270</v>
      </c>
      <c r="P492" s="133" t="s">
        <v>269</v>
      </c>
      <c r="Q492" s="147">
        <v>44.4</v>
      </c>
      <c r="R492" s="131"/>
    </row>
    <row r="493" ht="24.95" customHeight="1" spans="1:18">
      <c r="A493" s="135" t="s">
        <v>4425</v>
      </c>
      <c r="B493" s="131" t="s">
        <v>4426</v>
      </c>
      <c r="C493" s="136" t="str">
        <f>VLOOKUP(A493,伤害计算器!$V$2:$Y$720,3,FALSE)</f>
        <v>マスキッパ</v>
      </c>
      <c r="D493" s="136" t="str">
        <f>VLOOKUP(A493,伤害计算器!$V$2:$Y$720,4,FALSE)</f>
        <v>Carnivine</v>
      </c>
      <c r="E493" s="131" t="s">
        <v>582</v>
      </c>
      <c r="F493" s="137"/>
      <c r="G493" s="137"/>
      <c r="H493" s="138">
        <v>74</v>
      </c>
      <c r="I493" s="139">
        <v>100</v>
      </c>
      <c r="J493" s="140">
        <v>72</v>
      </c>
      <c r="K493" s="141">
        <v>90</v>
      </c>
      <c r="L493" s="142">
        <v>72</v>
      </c>
      <c r="M493" s="143">
        <v>46</v>
      </c>
      <c r="N493" s="144">
        <v>454</v>
      </c>
      <c r="O493" s="145" t="s">
        <v>235</v>
      </c>
      <c r="Q493" s="147">
        <v>27</v>
      </c>
      <c r="R493" s="131"/>
    </row>
    <row r="494" ht="24.95" customHeight="1" spans="1:18">
      <c r="A494" s="135" t="s">
        <v>4427</v>
      </c>
      <c r="B494" s="131" t="s">
        <v>4428</v>
      </c>
      <c r="C494" s="136" t="str">
        <f>VLOOKUP(A494,伤害计算器!$V$2:$Y$720,3,FALSE)</f>
        <v>ケイコウオ</v>
      </c>
      <c r="D494" s="136" t="str">
        <f>VLOOKUP(A494,伤害计算器!$V$2:$Y$720,4,FALSE)</f>
        <v>Finneon</v>
      </c>
      <c r="E494" s="131" t="s">
        <v>3448</v>
      </c>
      <c r="F494" s="131" t="s">
        <v>523</v>
      </c>
      <c r="G494" s="131" t="s">
        <v>3619</v>
      </c>
      <c r="H494" s="138">
        <v>49</v>
      </c>
      <c r="I494" s="139">
        <v>49</v>
      </c>
      <c r="J494" s="140">
        <v>56</v>
      </c>
      <c r="K494" s="141">
        <v>49</v>
      </c>
      <c r="L494" s="142">
        <v>61</v>
      </c>
      <c r="M494" s="143">
        <v>66</v>
      </c>
      <c r="N494" s="144">
        <v>330</v>
      </c>
      <c r="O494" s="145" t="s">
        <v>251</v>
      </c>
      <c r="Q494" s="147">
        <v>7</v>
      </c>
      <c r="R494" s="131"/>
    </row>
    <row r="495" ht="24.95" customHeight="1" spans="1:18">
      <c r="A495" s="135" t="s">
        <v>4429</v>
      </c>
      <c r="B495" s="131" t="s">
        <v>4430</v>
      </c>
      <c r="C495" s="136" t="str">
        <f>VLOOKUP(A495,伤害计算器!$V$2:$Y$720,3,FALSE)</f>
        <v>ネオラント</v>
      </c>
      <c r="D495" s="136" t="str">
        <f>VLOOKUP(A495,伤害计算器!$V$2:$Y$720,4,FALSE)</f>
        <v>Lumineon</v>
      </c>
      <c r="E495" s="131" t="s">
        <v>3448</v>
      </c>
      <c r="F495" s="131" t="s">
        <v>523</v>
      </c>
      <c r="G495" s="131" t="s">
        <v>3619</v>
      </c>
      <c r="H495" s="138">
        <v>69</v>
      </c>
      <c r="I495" s="139">
        <v>69</v>
      </c>
      <c r="J495" s="140">
        <v>76</v>
      </c>
      <c r="K495" s="141">
        <v>69</v>
      </c>
      <c r="L495" s="142">
        <v>86</v>
      </c>
      <c r="M495" s="143">
        <v>91</v>
      </c>
      <c r="N495" s="144">
        <v>460</v>
      </c>
      <c r="O495" s="145" t="s">
        <v>251</v>
      </c>
      <c r="Q495" s="147">
        <v>24</v>
      </c>
      <c r="R495" s="131"/>
    </row>
    <row r="496" ht="24.95" customHeight="1" spans="1:18">
      <c r="A496" s="135" t="s">
        <v>4431</v>
      </c>
      <c r="B496" s="131" t="s">
        <v>4432</v>
      </c>
      <c r="C496" s="136" t="str">
        <f>VLOOKUP(A496,伤害计算器!$V$2:$Y$720,3,FALSE)</f>
        <v>タマンタ</v>
      </c>
      <c r="D496" s="136" t="str">
        <f>VLOOKUP(A496,伤害计算器!$V$2:$Y$720,4,FALSE)</f>
        <v>Mantyke</v>
      </c>
      <c r="E496" s="131" t="s">
        <v>3448</v>
      </c>
      <c r="F496" s="131" t="s">
        <v>533</v>
      </c>
      <c r="G496" s="131" t="s">
        <v>3619</v>
      </c>
      <c r="H496" s="138">
        <v>45</v>
      </c>
      <c r="I496" s="139">
        <v>20</v>
      </c>
      <c r="J496" s="140">
        <v>50</v>
      </c>
      <c r="K496" s="141">
        <v>60</v>
      </c>
      <c r="L496" s="142">
        <v>120</v>
      </c>
      <c r="M496" s="143">
        <v>50</v>
      </c>
      <c r="N496" s="144">
        <v>345</v>
      </c>
      <c r="O496" s="145" t="s">
        <v>251</v>
      </c>
      <c r="P496" s="133" t="s">
        <v>99</v>
      </c>
      <c r="Q496" s="147">
        <v>65</v>
      </c>
      <c r="R496" s="131"/>
    </row>
    <row r="497" ht="24.95" customHeight="1" spans="1:18">
      <c r="A497" s="135" t="s">
        <v>4433</v>
      </c>
      <c r="B497" s="131" t="s">
        <v>4434</v>
      </c>
      <c r="C497" s="136" t="str">
        <f>VLOOKUP(A497,伤害计算器!$V$2:$Y$720,3,FALSE)</f>
        <v>ユキカブリ</v>
      </c>
      <c r="D497" s="136" t="str">
        <f>VLOOKUP(A497,伤害计算器!$V$2:$Y$720,4,FALSE)</f>
        <v>Snover</v>
      </c>
      <c r="E497" s="131" t="s">
        <v>4435</v>
      </c>
      <c r="F497" s="137"/>
      <c r="G497" s="131" t="s">
        <v>591</v>
      </c>
      <c r="H497" s="138">
        <v>60</v>
      </c>
      <c r="I497" s="139">
        <v>62</v>
      </c>
      <c r="J497" s="140">
        <v>50</v>
      </c>
      <c r="K497" s="141">
        <v>62</v>
      </c>
      <c r="L497" s="142">
        <v>60</v>
      </c>
      <c r="M497" s="143">
        <v>40</v>
      </c>
      <c r="N497" s="144">
        <v>334</v>
      </c>
      <c r="O497" s="145" t="s">
        <v>235</v>
      </c>
      <c r="P497" s="133" t="s">
        <v>100</v>
      </c>
      <c r="Q497" s="147">
        <v>50.5</v>
      </c>
      <c r="R497" s="131"/>
    </row>
    <row r="498" ht="24.95" customHeight="1" spans="1:18">
      <c r="A498" s="135" t="s">
        <v>4436</v>
      </c>
      <c r="B498" s="131" t="s">
        <v>4437</v>
      </c>
      <c r="C498" s="136" t="str">
        <f>VLOOKUP(A498,伤害计算器!$V$2:$Y$720,3,FALSE)</f>
        <v>ユキノオー</v>
      </c>
      <c r="D498" s="136" t="str">
        <f>VLOOKUP(A498,伤害计算器!$V$2:$Y$720,4,FALSE)</f>
        <v>Abomasnow</v>
      </c>
      <c r="E498" s="131" t="s">
        <v>4435</v>
      </c>
      <c r="F498" s="137"/>
      <c r="G498" s="131" t="s">
        <v>591</v>
      </c>
      <c r="H498" s="138">
        <v>90</v>
      </c>
      <c r="I498" s="139">
        <v>92</v>
      </c>
      <c r="J498" s="140">
        <v>75</v>
      </c>
      <c r="K498" s="141">
        <v>92</v>
      </c>
      <c r="L498" s="142">
        <v>85</v>
      </c>
      <c r="M498" s="143">
        <v>60</v>
      </c>
      <c r="N498" s="144">
        <v>494</v>
      </c>
      <c r="O498" s="145" t="s">
        <v>235</v>
      </c>
      <c r="P498" s="133" t="s">
        <v>100</v>
      </c>
      <c r="Q498" s="147">
        <v>135.5</v>
      </c>
      <c r="R498" s="131"/>
    </row>
    <row r="499" ht="24.95" customHeight="1" spans="1:18">
      <c r="A499" s="135" t="s">
        <v>4436</v>
      </c>
      <c r="B499" s="131" t="s">
        <v>4438</v>
      </c>
      <c r="C499" s="136" t="str">
        <f>VLOOKUP(A499,伤害计算器!$V$2:$Y$720,3,FALSE)</f>
        <v>ユキノオー</v>
      </c>
      <c r="D499" s="136" t="str">
        <f>VLOOKUP(A499,伤害计算器!$V$2:$Y$720,4,FALSE)</f>
        <v>Abomasnow</v>
      </c>
      <c r="E499" s="131" t="s">
        <v>4435</v>
      </c>
      <c r="F499" s="137"/>
      <c r="G499" s="131" t="s">
        <v>4435</v>
      </c>
      <c r="H499" s="138">
        <v>90</v>
      </c>
      <c r="I499" s="139">
        <v>132</v>
      </c>
      <c r="J499" s="140">
        <v>105</v>
      </c>
      <c r="K499" s="141">
        <v>132</v>
      </c>
      <c r="L499" s="142">
        <v>105</v>
      </c>
      <c r="M499" s="143">
        <v>30</v>
      </c>
      <c r="N499" s="144">
        <v>594</v>
      </c>
      <c r="O499" s="145" t="s">
        <v>235</v>
      </c>
      <c r="P499" s="133" t="s">
        <v>100</v>
      </c>
      <c r="Q499" s="147">
        <v>185</v>
      </c>
      <c r="R499" s="131"/>
    </row>
    <row r="500" ht="24.95" customHeight="1" spans="1:18">
      <c r="A500" s="135" t="s">
        <v>4439</v>
      </c>
      <c r="B500" s="131" t="s">
        <v>4440</v>
      </c>
      <c r="C500" s="136" t="str">
        <f>VLOOKUP(A500,伤害计算器!$V$2:$Y$720,3,FALSE)</f>
        <v>マニューラ</v>
      </c>
      <c r="D500" s="136" t="str">
        <f>VLOOKUP(A500,伤害计算器!$V$2:$Y$720,4,FALSE)</f>
        <v>Weavile</v>
      </c>
      <c r="E500" s="131" t="s">
        <v>3679</v>
      </c>
      <c r="F500" s="137"/>
      <c r="G500" s="131" t="s">
        <v>3858</v>
      </c>
      <c r="H500" s="138">
        <v>70</v>
      </c>
      <c r="I500" s="139">
        <v>120</v>
      </c>
      <c r="J500" s="140">
        <v>65</v>
      </c>
      <c r="K500" s="141">
        <v>45</v>
      </c>
      <c r="L500" s="142">
        <v>85</v>
      </c>
      <c r="M500" s="143">
        <v>125</v>
      </c>
      <c r="N500" s="144">
        <v>510</v>
      </c>
      <c r="O500" s="145" t="s">
        <v>275</v>
      </c>
      <c r="P500" s="133" t="s">
        <v>100</v>
      </c>
      <c r="Q500" s="147">
        <v>34</v>
      </c>
      <c r="R500" s="131"/>
    </row>
    <row r="501" ht="24.95" customHeight="1" spans="1:18">
      <c r="A501" s="135" t="s">
        <v>4441</v>
      </c>
      <c r="B501" s="131" t="s">
        <v>4442</v>
      </c>
      <c r="C501" s="136" t="str">
        <f>VLOOKUP(A501,伤害计算器!$V$2:$Y$720,3,FALSE)</f>
        <v>ジバコイル</v>
      </c>
      <c r="D501" s="136" t="str">
        <f>VLOOKUP(A501,伤害计算器!$V$2:$Y$720,4,FALSE)</f>
        <v>Magnezone</v>
      </c>
      <c r="E501" s="131" t="s">
        <v>3520</v>
      </c>
      <c r="F501" s="131" t="s">
        <v>3500</v>
      </c>
      <c r="G501" s="131" t="s">
        <v>37</v>
      </c>
      <c r="H501" s="138">
        <v>70</v>
      </c>
      <c r="I501" s="139">
        <v>70</v>
      </c>
      <c r="J501" s="140">
        <v>115</v>
      </c>
      <c r="K501" s="141">
        <v>130</v>
      </c>
      <c r="L501" s="142">
        <v>90</v>
      </c>
      <c r="M501" s="143">
        <v>60</v>
      </c>
      <c r="N501" s="144">
        <v>535</v>
      </c>
      <c r="O501" s="145" t="s">
        <v>268</v>
      </c>
      <c r="P501" s="133" t="s">
        <v>276</v>
      </c>
      <c r="Q501" s="147">
        <v>180</v>
      </c>
      <c r="R501" s="131"/>
    </row>
    <row r="502" ht="24.95" customHeight="1" spans="1:18">
      <c r="A502" s="135" t="s">
        <v>4443</v>
      </c>
      <c r="B502" s="131" t="s">
        <v>4444</v>
      </c>
      <c r="C502" s="136" t="str">
        <f>VLOOKUP(A502,伤害计算器!$V$2:$Y$720,3,FALSE)</f>
        <v>ベロベルト</v>
      </c>
      <c r="D502" s="136" t="str">
        <f>VLOOKUP(A502,伤害计算器!$V$2:$Y$720,4,FALSE)</f>
        <v>Lickilicky</v>
      </c>
      <c r="E502" s="131" t="s">
        <v>3514</v>
      </c>
      <c r="F502" s="131" t="s">
        <v>4108</v>
      </c>
      <c r="G502" s="131" t="s">
        <v>4445</v>
      </c>
      <c r="H502" s="138">
        <v>110</v>
      </c>
      <c r="I502" s="139">
        <v>85</v>
      </c>
      <c r="J502" s="140">
        <v>95</v>
      </c>
      <c r="K502" s="141">
        <v>80</v>
      </c>
      <c r="L502" s="142">
        <v>95</v>
      </c>
      <c r="M502" s="143">
        <v>50</v>
      </c>
      <c r="N502" s="144">
        <v>515</v>
      </c>
      <c r="O502" s="145" t="s">
        <v>267</v>
      </c>
      <c r="Q502" s="147">
        <v>140</v>
      </c>
      <c r="R502" s="131"/>
    </row>
    <row r="503" ht="24.95" customHeight="1" spans="1:18">
      <c r="A503" s="135" t="s">
        <v>4446</v>
      </c>
      <c r="B503" s="131" t="s">
        <v>4447</v>
      </c>
      <c r="C503" s="136" t="str">
        <f>VLOOKUP(A503,伤害计算器!$V$2:$Y$720,3,FALSE)</f>
        <v>ドサイドン</v>
      </c>
      <c r="D503" s="136" t="str">
        <f>VLOOKUP(A503,伤害计算器!$V$2:$Y$720,4,FALSE)</f>
        <v>Rhyperior</v>
      </c>
      <c r="E503" s="131" t="s">
        <v>562</v>
      </c>
      <c r="F503" s="131" t="s">
        <v>4117</v>
      </c>
      <c r="G503" s="131" t="s">
        <v>38</v>
      </c>
      <c r="H503" s="138">
        <v>115</v>
      </c>
      <c r="I503" s="139">
        <v>140</v>
      </c>
      <c r="J503" s="140">
        <v>130</v>
      </c>
      <c r="K503" s="141">
        <v>55</v>
      </c>
      <c r="L503" s="142">
        <v>55</v>
      </c>
      <c r="M503" s="143">
        <v>40</v>
      </c>
      <c r="N503" s="144">
        <v>535</v>
      </c>
      <c r="O503" s="145" t="s">
        <v>237</v>
      </c>
      <c r="P503" s="133" t="s">
        <v>252</v>
      </c>
      <c r="Q503" s="147">
        <v>282.8</v>
      </c>
      <c r="R503" s="131"/>
    </row>
    <row r="504" ht="24.95" customHeight="1" spans="1:18">
      <c r="A504" s="135" t="s">
        <v>4448</v>
      </c>
      <c r="B504" s="131" t="s">
        <v>4449</v>
      </c>
      <c r="C504" s="136" t="str">
        <f>VLOOKUP(A504,伤害计算器!$V$2:$Y$720,3,FALSE)</f>
        <v>モジャンボ</v>
      </c>
      <c r="D504" s="136" t="str">
        <f>VLOOKUP(A504,伤害计算器!$V$2:$Y$720,4,FALSE)</f>
        <v>Tangrowth</v>
      </c>
      <c r="E504" s="131" t="s">
        <v>3296</v>
      </c>
      <c r="F504" s="131" t="s">
        <v>3609</v>
      </c>
      <c r="G504" s="131" t="s">
        <v>3515</v>
      </c>
      <c r="H504" s="138">
        <v>100</v>
      </c>
      <c r="I504" s="139">
        <v>100</v>
      </c>
      <c r="J504" s="140">
        <v>125</v>
      </c>
      <c r="K504" s="141">
        <v>110</v>
      </c>
      <c r="L504" s="142">
        <v>50</v>
      </c>
      <c r="M504" s="143">
        <v>50</v>
      </c>
      <c r="N504" s="144">
        <v>535</v>
      </c>
      <c r="O504" s="145" t="s">
        <v>235</v>
      </c>
      <c r="Q504" s="147">
        <v>128.6</v>
      </c>
      <c r="R504" s="131"/>
    </row>
    <row r="505" ht="24.95" customHeight="1" spans="1:18">
      <c r="A505" s="135" t="s">
        <v>4450</v>
      </c>
      <c r="B505" s="131" t="s">
        <v>4451</v>
      </c>
      <c r="C505" s="136" t="str">
        <f>VLOOKUP(A505,伤害计算器!$V$2:$Y$720,3,FALSE)</f>
        <v>エレキブル</v>
      </c>
      <c r="D505" s="136" t="str">
        <f>VLOOKUP(A505,伤害计算器!$V$2:$Y$720,4,FALSE)</f>
        <v>Electivire</v>
      </c>
      <c r="E505" s="131" t="s">
        <v>572</v>
      </c>
      <c r="F505" s="137"/>
      <c r="G505" s="131" t="s">
        <v>3453</v>
      </c>
      <c r="H505" s="138">
        <v>75</v>
      </c>
      <c r="I505" s="139">
        <v>123</v>
      </c>
      <c r="J505" s="140">
        <v>67</v>
      </c>
      <c r="K505" s="141">
        <v>95</v>
      </c>
      <c r="L505" s="142">
        <v>85</v>
      </c>
      <c r="M505" s="143">
        <v>95</v>
      </c>
      <c r="N505" s="144">
        <v>540</v>
      </c>
      <c r="O505" s="145" t="s">
        <v>268</v>
      </c>
      <c r="Q505" s="147">
        <v>138.6</v>
      </c>
      <c r="R505" s="131"/>
    </row>
    <row r="506" ht="24.95" customHeight="1" spans="1:18">
      <c r="A506" s="135" t="s">
        <v>4452</v>
      </c>
      <c r="B506" s="131" t="s">
        <v>4453</v>
      </c>
      <c r="C506" s="136" t="str">
        <f>VLOOKUP(A506,伤害计算器!$V$2:$Y$720,3,FALSE)</f>
        <v>ブーバーン</v>
      </c>
      <c r="D506" s="136" t="str">
        <f>VLOOKUP(A506,伤害计算器!$V$2:$Y$720,4,FALSE)</f>
        <v>Magmortar</v>
      </c>
      <c r="E506" s="131" t="s">
        <v>3508</v>
      </c>
      <c r="F506" s="137"/>
      <c r="G506" s="131" t="s">
        <v>3453</v>
      </c>
      <c r="H506" s="138">
        <v>75</v>
      </c>
      <c r="I506" s="139">
        <v>95</v>
      </c>
      <c r="J506" s="140">
        <v>67</v>
      </c>
      <c r="K506" s="141">
        <v>125</v>
      </c>
      <c r="L506" s="142">
        <v>95</v>
      </c>
      <c r="M506" s="143">
        <v>83</v>
      </c>
      <c r="N506" s="144">
        <v>540</v>
      </c>
      <c r="O506" s="145" t="s">
        <v>250</v>
      </c>
      <c r="Q506" s="147">
        <v>68</v>
      </c>
      <c r="R506" s="131"/>
    </row>
    <row r="507" ht="24.95" customHeight="1" spans="1:18">
      <c r="A507" s="135" t="s">
        <v>4454</v>
      </c>
      <c r="B507" s="131" t="s">
        <v>4455</v>
      </c>
      <c r="C507" s="136" t="str">
        <f>VLOOKUP(A507,伤害计算器!$V$2:$Y$720,3,FALSE)</f>
        <v>トゲキッス</v>
      </c>
      <c r="D507" s="136" t="str">
        <f>VLOOKUP(A507,伤害计算器!$V$2:$Y$720,4,FALSE)</f>
        <v>Togekiss</v>
      </c>
      <c r="E507" s="131" t="s">
        <v>61</v>
      </c>
      <c r="F507" s="131" t="s">
        <v>3605</v>
      </c>
      <c r="G507" s="131" t="s">
        <v>3756</v>
      </c>
      <c r="H507" s="138">
        <v>85</v>
      </c>
      <c r="I507" s="139">
        <v>50</v>
      </c>
      <c r="J507" s="140">
        <v>95</v>
      </c>
      <c r="K507" s="141">
        <v>120</v>
      </c>
      <c r="L507" s="142">
        <v>115</v>
      </c>
      <c r="M507" s="143">
        <v>80</v>
      </c>
      <c r="N507" s="144">
        <v>545</v>
      </c>
      <c r="O507" s="145" t="s">
        <v>98</v>
      </c>
      <c r="P507" s="133" t="s">
        <v>99</v>
      </c>
      <c r="Q507" s="147">
        <v>38</v>
      </c>
      <c r="R507" s="131"/>
    </row>
    <row r="508" ht="24.95" customHeight="1" spans="1:18">
      <c r="A508" s="135" t="s">
        <v>4456</v>
      </c>
      <c r="B508" s="131" t="s">
        <v>4457</v>
      </c>
      <c r="C508" s="136" t="str">
        <f>VLOOKUP(A508,伤害计算器!$V$2:$Y$720,3,FALSE)</f>
        <v>メガヤンマ</v>
      </c>
      <c r="D508" s="136" t="str">
        <f>VLOOKUP(A508,伤害计算器!$V$2:$Y$720,4,FALSE)</f>
        <v>Yanmega</v>
      </c>
      <c r="E508" s="131" t="s">
        <v>3800</v>
      </c>
      <c r="F508" s="131" t="s">
        <v>64</v>
      </c>
      <c r="G508" s="131" t="s">
        <v>3406</v>
      </c>
      <c r="H508" s="138">
        <v>86</v>
      </c>
      <c r="I508" s="139">
        <v>76</v>
      </c>
      <c r="J508" s="140">
        <v>86</v>
      </c>
      <c r="K508" s="141">
        <v>116</v>
      </c>
      <c r="L508" s="142">
        <v>56</v>
      </c>
      <c r="M508" s="143">
        <v>95</v>
      </c>
      <c r="N508" s="144">
        <v>515</v>
      </c>
      <c r="O508" s="145" t="s">
        <v>272</v>
      </c>
      <c r="P508" s="133" t="s">
        <v>99</v>
      </c>
      <c r="Q508" s="147">
        <v>51.5</v>
      </c>
      <c r="R508" s="131"/>
    </row>
    <row r="509" ht="24.95" customHeight="1" spans="1:18">
      <c r="A509" s="135" t="s">
        <v>4458</v>
      </c>
      <c r="B509" s="131" t="s">
        <v>4459</v>
      </c>
      <c r="C509" s="136" t="str">
        <f>VLOOKUP(A509,伤害计算器!$V$2:$Y$720,3,FALSE)</f>
        <v>リーフィア</v>
      </c>
      <c r="D509" s="136" t="str">
        <f>VLOOKUP(A509,伤害计算器!$V$2:$Y$720,4,FALSE)</f>
        <v>Leafeon</v>
      </c>
      <c r="E509" s="131" t="s">
        <v>3609</v>
      </c>
      <c r="F509" s="137"/>
      <c r="G509" s="131" t="s">
        <v>3296</v>
      </c>
      <c r="H509" s="138">
        <v>65</v>
      </c>
      <c r="I509" s="139">
        <v>110</v>
      </c>
      <c r="J509" s="140">
        <v>130</v>
      </c>
      <c r="K509" s="141">
        <v>60</v>
      </c>
      <c r="L509" s="142">
        <v>65</v>
      </c>
      <c r="M509" s="143">
        <v>95</v>
      </c>
      <c r="N509" s="144">
        <v>525</v>
      </c>
      <c r="O509" s="145" t="s">
        <v>235</v>
      </c>
      <c r="Q509" s="147">
        <v>25.5</v>
      </c>
      <c r="R509" s="131"/>
    </row>
    <row r="510" ht="24.95" customHeight="1" spans="1:18">
      <c r="A510" s="135" t="s">
        <v>4460</v>
      </c>
      <c r="B510" s="131" t="s">
        <v>4461</v>
      </c>
      <c r="C510" s="136" t="str">
        <f>VLOOKUP(A510,伤害计算器!$V$2:$Y$720,3,FALSE)</f>
        <v>グレイシア</v>
      </c>
      <c r="D510" s="136" t="str">
        <f>VLOOKUP(A510,伤害计算器!$V$2:$Y$720,4,FALSE)</f>
        <v>Glaceon</v>
      </c>
      <c r="E510" s="131" t="s">
        <v>81</v>
      </c>
      <c r="F510" s="137"/>
      <c r="G510" s="131" t="s">
        <v>3533</v>
      </c>
      <c r="H510" s="138">
        <v>65</v>
      </c>
      <c r="I510" s="139">
        <v>60</v>
      </c>
      <c r="J510" s="140">
        <v>110</v>
      </c>
      <c r="K510" s="141">
        <v>130</v>
      </c>
      <c r="L510" s="142">
        <v>95</v>
      </c>
      <c r="M510" s="143">
        <v>65</v>
      </c>
      <c r="N510" s="144">
        <v>525</v>
      </c>
      <c r="O510" s="145" t="s">
        <v>100</v>
      </c>
      <c r="Q510" s="147">
        <v>25.9</v>
      </c>
      <c r="R510" s="131"/>
    </row>
    <row r="511" ht="24.95" customHeight="1" spans="1:18">
      <c r="A511" s="135" t="s">
        <v>4462</v>
      </c>
      <c r="B511" s="131" t="s">
        <v>4463</v>
      </c>
      <c r="C511" s="136" t="str">
        <f>VLOOKUP(A511,伤害计算器!$V$2:$Y$720,3,FALSE)</f>
        <v>グライオン</v>
      </c>
      <c r="D511" s="136" t="str">
        <f>VLOOKUP(A511,伤害计算器!$V$2:$Y$720,4,FALSE)</f>
        <v>Gliscor</v>
      </c>
      <c r="E511" s="131" t="s">
        <v>3569</v>
      </c>
      <c r="F511" s="131" t="s">
        <v>80</v>
      </c>
      <c r="G511" s="131" t="s">
        <v>4018</v>
      </c>
      <c r="H511" s="138">
        <v>75</v>
      </c>
      <c r="I511" s="139">
        <v>95</v>
      </c>
      <c r="J511" s="140">
        <v>125</v>
      </c>
      <c r="K511" s="141">
        <v>45</v>
      </c>
      <c r="L511" s="142">
        <v>75</v>
      </c>
      <c r="M511" s="143">
        <v>95</v>
      </c>
      <c r="N511" s="144">
        <v>510</v>
      </c>
      <c r="O511" s="145" t="s">
        <v>237</v>
      </c>
      <c r="P511" s="133" t="s">
        <v>99</v>
      </c>
      <c r="Q511" s="147">
        <v>42.5</v>
      </c>
      <c r="R511" s="131"/>
    </row>
    <row r="512" ht="24.95" customHeight="1" spans="1:18">
      <c r="A512" s="135" t="s">
        <v>4464</v>
      </c>
      <c r="B512" s="131" t="s">
        <v>4465</v>
      </c>
      <c r="C512" s="136" t="str">
        <f>VLOOKUP(A512,伤害计算器!$V$2:$Y$720,3,FALSE)</f>
        <v>マンムー</v>
      </c>
      <c r="D512" s="136" t="str">
        <f>VLOOKUP(A512,伤害计算器!$V$2:$Y$720,4,FALSE)</f>
        <v>Mamoswine</v>
      </c>
      <c r="E512" s="131" t="s">
        <v>3513</v>
      </c>
      <c r="F512" s="131" t="s">
        <v>81</v>
      </c>
      <c r="G512" s="131" t="s">
        <v>70</v>
      </c>
      <c r="H512" s="138">
        <v>110</v>
      </c>
      <c r="I512" s="139">
        <v>130</v>
      </c>
      <c r="J512" s="140">
        <v>80</v>
      </c>
      <c r="K512" s="141">
        <v>70</v>
      </c>
      <c r="L512" s="142">
        <v>60</v>
      </c>
      <c r="M512" s="143">
        <v>80</v>
      </c>
      <c r="N512" s="144">
        <v>530</v>
      </c>
      <c r="O512" s="145" t="s">
        <v>100</v>
      </c>
      <c r="P512" s="133" t="s">
        <v>237</v>
      </c>
      <c r="Q512" s="147">
        <v>291</v>
      </c>
      <c r="R512" s="131"/>
    </row>
    <row r="513" ht="24.95" customHeight="1" spans="1:18">
      <c r="A513" s="135" t="s">
        <v>4466</v>
      </c>
      <c r="B513" s="131" t="s">
        <v>4467</v>
      </c>
      <c r="C513" s="136" t="str">
        <f>VLOOKUP(A513,伤害计算器!$V$2:$Y$720,3,FALSE)</f>
        <v>ポリゴンＺ</v>
      </c>
      <c r="D513" s="136" t="str">
        <f>VLOOKUP(A513,伤害计算器!$V$2:$Y$720,4,FALSE)</f>
        <v>Porygon-Z</v>
      </c>
      <c r="E513" s="131" t="s">
        <v>63</v>
      </c>
      <c r="F513" s="131" t="s">
        <v>4468</v>
      </c>
      <c r="G513" s="131" t="s">
        <v>4469</v>
      </c>
      <c r="H513" s="138">
        <v>85</v>
      </c>
      <c r="I513" s="139">
        <v>80</v>
      </c>
      <c r="J513" s="140">
        <v>70</v>
      </c>
      <c r="K513" s="141">
        <v>135</v>
      </c>
      <c r="L513" s="142">
        <v>75</v>
      </c>
      <c r="M513" s="143">
        <v>90</v>
      </c>
      <c r="N513" s="144">
        <v>535</v>
      </c>
      <c r="O513" s="145" t="s">
        <v>267</v>
      </c>
      <c r="Q513" s="147">
        <v>34</v>
      </c>
      <c r="R513" s="131"/>
    </row>
    <row r="514" ht="24.95" customHeight="1" spans="1:18">
      <c r="A514" s="135" t="s">
        <v>4470</v>
      </c>
      <c r="B514" s="131" t="s">
        <v>4471</v>
      </c>
      <c r="C514" s="136" t="str">
        <f>VLOOKUP(A514,伤害计算器!$V$2:$Y$720,3,FALSE)</f>
        <v>エルレイド</v>
      </c>
      <c r="D514" s="136" t="str">
        <f>VLOOKUP(A514,伤害计算器!$V$2:$Y$720,4,FALSE)</f>
        <v>Gallade</v>
      </c>
      <c r="E514" s="131" t="s">
        <v>3479</v>
      </c>
      <c r="F514" s="137"/>
      <c r="G514" s="131" t="s">
        <v>3460</v>
      </c>
      <c r="H514" s="138">
        <v>68</v>
      </c>
      <c r="I514" s="139">
        <v>125</v>
      </c>
      <c r="J514" s="140">
        <v>65</v>
      </c>
      <c r="K514" s="141">
        <v>65</v>
      </c>
      <c r="L514" s="142">
        <v>115</v>
      </c>
      <c r="M514" s="143">
        <v>80</v>
      </c>
      <c r="N514" s="144">
        <v>518</v>
      </c>
      <c r="O514" s="145" t="s">
        <v>271</v>
      </c>
      <c r="P514" s="133" t="s">
        <v>269</v>
      </c>
      <c r="Q514" s="147">
        <v>52</v>
      </c>
      <c r="R514" s="131"/>
    </row>
    <row r="515" ht="24.95" customHeight="1" spans="1:18">
      <c r="A515" s="135" t="s">
        <v>4470</v>
      </c>
      <c r="B515" s="147" t="s">
        <v>4472</v>
      </c>
      <c r="C515" s="136" t="str">
        <f>VLOOKUP(A515,伤害计算器!$V$2:$Y$720,3,FALSE)</f>
        <v>エルレイド</v>
      </c>
      <c r="D515" s="136" t="str">
        <f>VLOOKUP(A515,伤害计算器!$V$2:$Y$720,4,FALSE)</f>
        <v>Gallade</v>
      </c>
      <c r="E515" s="147" t="s">
        <v>3409</v>
      </c>
      <c r="F515" s="137"/>
      <c r="G515" s="136" t="s">
        <v>3409</v>
      </c>
      <c r="H515" s="138">
        <v>68</v>
      </c>
      <c r="I515" s="139">
        <v>165</v>
      </c>
      <c r="J515" s="140">
        <v>95</v>
      </c>
      <c r="K515" s="141">
        <v>65</v>
      </c>
      <c r="L515" s="142">
        <v>115</v>
      </c>
      <c r="M515" s="143">
        <v>110</v>
      </c>
      <c r="N515" s="144">
        <v>618</v>
      </c>
      <c r="O515" s="145" t="s">
        <v>271</v>
      </c>
      <c r="P515" s="133" t="s">
        <v>269</v>
      </c>
      <c r="Q515" s="147">
        <v>56.4</v>
      </c>
      <c r="R515" s="131"/>
    </row>
    <row r="516" ht="24.95" customHeight="1" spans="1:18">
      <c r="A516" s="135" t="s">
        <v>4473</v>
      </c>
      <c r="B516" s="131" t="s">
        <v>4474</v>
      </c>
      <c r="C516" s="136" t="str">
        <f>VLOOKUP(A516,伤害计算器!$V$2:$Y$720,3,FALSE)</f>
        <v>ダイノーズ</v>
      </c>
      <c r="D516" s="136" t="str">
        <f>VLOOKUP(A516,伤害计算器!$V$2:$Y$720,4,FALSE)</f>
        <v>Probopass</v>
      </c>
      <c r="E516" s="131" t="s">
        <v>3500</v>
      </c>
      <c r="F516" s="131" t="s">
        <v>3520</v>
      </c>
      <c r="G516" s="131" t="s">
        <v>40</v>
      </c>
      <c r="H516" s="138">
        <v>60</v>
      </c>
      <c r="I516" s="139">
        <v>55</v>
      </c>
      <c r="J516" s="140">
        <v>145</v>
      </c>
      <c r="K516" s="141">
        <v>75</v>
      </c>
      <c r="L516" s="142">
        <v>150</v>
      </c>
      <c r="M516" s="143">
        <v>40</v>
      </c>
      <c r="N516" s="144">
        <v>525</v>
      </c>
      <c r="O516" s="145" t="s">
        <v>252</v>
      </c>
      <c r="P516" s="133" t="s">
        <v>276</v>
      </c>
      <c r="Q516" s="147">
        <v>340</v>
      </c>
      <c r="R516" s="131"/>
    </row>
    <row r="517" ht="24.95" customHeight="1" spans="1:18">
      <c r="A517" s="135" t="s">
        <v>4475</v>
      </c>
      <c r="B517" s="131" t="s">
        <v>4476</v>
      </c>
      <c r="C517" s="136" t="str">
        <f>VLOOKUP(A517,伤害计算器!$V$2:$Y$720,3,FALSE)</f>
        <v>ヨノワール</v>
      </c>
      <c r="D517" s="136" t="str">
        <f>VLOOKUP(A517,伤害计算器!$V$2:$Y$720,4,FALSE)</f>
        <v>Dusknoir</v>
      </c>
      <c r="E517" s="131" t="s">
        <v>3679</v>
      </c>
      <c r="F517" s="137"/>
      <c r="G517" s="131" t="s">
        <v>3406</v>
      </c>
      <c r="H517" s="138">
        <v>45</v>
      </c>
      <c r="I517" s="139">
        <v>100</v>
      </c>
      <c r="J517" s="140">
        <v>135</v>
      </c>
      <c r="K517" s="141">
        <v>65</v>
      </c>
      <c r="L517" s="142">
        <v>135</v>
      </c>
      <c r="M517" s="143">
        <v>45</v>
      </c>
      <c r="N517" s="144">
        <v>525</v>
      </c>
      <c r="O517" s="145" t="s">
        <v>273</v>
      </c>
      <c r="Q517" s="147">
        <v>106.6</v>
      </c>
      <c r="R517" s="131"/>
    </row>
    <row r="518" ht="24.95" customHeight="1" spans="1:18">
      <c r="A518" s="135" t="s">
        <v>4477</v>
      </c>
      <c r="B518" s="131" t="s">
        <v>4478</v>
      </c>
      <c r="C518" s="136" t="str">
        <f>VLOOKUP(A518,伤害计算器!$V$2:$Y$720,3,FALSE)</f>
        <v>ユキメノコ</v>
      </c>
      <c r="D518" s="136" t="str">
        <f>VLOOKUP(A518,伤害计算器!$V$2:$Y$720,4,FALSE)</f>
        <v>Froslass</v>
      </c>
      <c r="E518" s="131" t="s">
        <v>81</v>
      </c>
      <c r="F518" s="137"/>
      <c r="G518" s="131" t="s">
        <v>3551</v>
      </c>
      <c r="H518" s="138">
        <v>70</v>
      </c>
      <c r="I518" s="139">
        <v>80</v>
      </c>
      <c r="J518" s="140">
        <v>70</v>
      </c>
      <c r="K518" s="141">
        <v>80</v>
      </c>
      <c r="L518" s="142">
        <v>70</v>
      </c>
      <c r="M518" s="143">
        <v>110</v>
      </c>
      <c r="N518" s="144">
        <v>480</v>
      </c>
      <c r="O518" s="145" t="s">
        <v>100</v>
      </c>
      <c r="P518" s="133" t="s">
        <v>273</v>
      </c>
      <c r="Q518" s="147">
        <v>26.6</v>
      </c>
      <c r="R518" s="131"/>
    </row>
    <row r="519" ht="24.95" customHeight="1" spans="1:18">
      <c r="A519" s="135" t="s">
        <v>4479</v>
      </c>
      <c r="B519" s="131" t="s">
        <v>4480</v>
      </c>
      <c r="C519" s="136" t="str">
        <f>VLOOKUP(A519,伤害计算器!$V$2:$Y$720,3,FALSE)</f>
        <v>ロトム</v>
      </c>
      <c r="D519" s="136" t="str">
        <f>VLOOKUP(A519,伤害计算器!$V$2:$Y$720,4,FALSE)</f>
        <v>Rotom</v>
      </c>
      <c r="E519" s="131" t="s">
        <v>582</v>
      </c>
      <c r="F519" s="137"/>
      <c r="G519" s="137"/>
      <c r="H519" s="138">
        <v>50</v>
      </c>
      <c r="I519" s="139">
        <v>50</v>
      </c>
      <c r="J519" s="140">
        <v>77</v>
      </c>
      <c r="K519" s="141">
        <v>95</v>
      </c>
      <c r="L519" s="142">
        <v>77</v>
      </c>
      <c r="M519" s="143">
        <v>91</v>
      </c>
      <c r="N519" s="144">
        <v>440</v>
      </c>
      <c r="O519" s="145" t="s">
        <v>268</v>
      </c>
      <c r="P519" s="133" t="s">
        <v>273</v>
      </c>
      <c r="Q519" s="147">
        <v>0.3</v>
      </c>
      <c r="R519" s="131"/>
    </row>
    <row r="520" ht="24.95" customHeight="1" spans="1:18">
      <c r="A520" s="135" t="s">
        <v>4479</v>
      </c>
      <c r="B520" s="131" t="s">
        <v>4481</v>
      </c>
      <c r="C520" s="136" t="str">
        <f>VLOOKUP(A520,伤害计算器!$V$2:$Y$720,3,FALSE)</f>
        <v>ロトム</v>
      </c>
      <c r="D520" s="136" t="str">
        <f>VLOOKUP(A520,伤害计算器!$V$2:$Y$720,4,FALSE)</f>
        <v>Rotom</v>
      </c>
      <c r="E520" s="131" t="s">
        <v>582</v>
      </c>
      <c r="F520" s="137"/>
      <c r="G520" s="137"/>
      <c r="H520" s="138">
        <v>50</v>
      </c>
      <c r="I520" s="139">
        <v>65</v>
      </c>
      <c r="J520" s="140">
        <v>107</v>
      </c>
      <c r="K520" s="141">
        <v>105</v>
      </c>
      <c r="L520" s="142">
        <v>107</v>
      </c>
      <c r="M520" s="143">
        <v>86</v>
      </c>
      <c r="N520" s="144">
        <v>520</v>
      </c>
      <c r="O520" s="145" t="s">
        <v>268</v>
      </c>
      <c r="P520" s="133" t="s">
        <v>250</v>
      </c>
      <c r="Q520" s="133">
        <v>0.3</v>
      </c>
      <c r="R520" s="131"/>
    </row>
    <row r="521" ht="24.95" customHeight="1" spans="1:18">
      <c r="A521" s="135" t="s">
        <v>4479</v>
      </c>
      <c r="B521" s="131" t="s">
        <v>4482</v>
      </c>
      <c r="C521" s="136" t="str">
        <f>VLOOKUP(A521,伤害计算器!$V$2:$Y$720,3,FALSE)</f>
        <v>ロトム</v>
      </c>
      <c r="D521" s="136" t="str">
        <f>VLOOKUP(A521,伤害计算器!$V$2:$Y$720,4,FALSE)</f>
        <v>Rotom</v>
      </c>
      <c r="E521" s="131" t="s">
        <v>582</v>
      </c>
      <c r="F521" s="137"/>
      <c r="G521" s="137"/>
      <c r="H521" s="138">
        <v>50</v>
      </c>
      <c r="I521" s="139">
        <v>65</v>
      </c>
      <c r="J521" s="140">
        <v>107</v>
      </c>
      <c r="K521" s="141">
        <v>105</v>
      </c>
      <c r="L521" s="142">
        <v>107</v>
      </c>
      <c r="M521" s="143">
        <v>86</v>
      </c>
      <c r="N521" s="144">
        <v>520</v>
      </c>
      <c r="O521" s="145" t="s">
        <v>268</v>
      </c>
      <c r="P521" s="133" t="s">
        <v>251</v>
      </c>
      <c r="Q521" s="133">
        <v>0.3</v>
      </c>
      <c r="R521" s="131"/>
    </row>
    <row r="522" ht="24.95" customHeight="1" spans="1:18">
      <c r="A522" s="135" t="s">
        <v>4479</v>
      </c>
      <c r="B522" s="131" t="s">
        <v>4483</v>
      </c>
      <c r="C522" s="136" t="str">
        <f>VLOOKUP(A522,伤害计算器!$V$2:$Y$720,3,FALSE)</f>
        <v>ロトム</v>
      </c>
      <c r="D522" s="136" t="str">
        <f>VLOOKUP(A522,伤害计算器!$V$2:$Y$720,4,FALSE)</f>
        <v>Rotom</v>
      </c>
      <c r="E522" s="131" t="s">
        <v>582</v>
      </c>
      <c r="F522" s="137"/>
      <c r="G522" s="137"/>
      <c r="H522" s="138">
        <v>50</v>
      </c>
      <c r="I522" s="139">
        <v>65</v>
      </c>
      <c r="J522" s="140">
        <v>107</v>
      </c>
      <c r="K522" s="141">
        <v>105</v>
      </c>
      <c r="L522" s="142">
        <v>107</v>
      </c>
      <c r="M522" s="143">
        <v>86</v>
      </c>
      <c r="N522" s="144">
        <v>520</v>
      </c>
      <c r="O522" s="145" t="s">
        <v>268</v>
      </c>
      <c r="P522" s="133" t="s">
        <v>100</v>
      </c>
      <c r="Q522" s="133">
        <v>0.3</v>
      </c>
      <c r="R522" s="131"/>
    </row>
    <row r="523" ht="24.95" customHeight="1" spans="1:18">
      <c r="A523" s="135" t="s">
        <v>4479</v>
      </c>
      <c r="B523" s="131" t="s">
        <v>4484</v>
      </c>
      <c r="C523" s="136" t="str">
        <f>VLOOKUP(A523,伤害计算器!$V$2:$Y$720,3,FALSE)</f>
        <v>ロトム</v>
      </c>
      <c r="D523" s="136" t="str">
        <f>VLOOKUP(A523,伤害计算器!$V$2:$Y$720,4,FALSE)</f>
        <v>Rotom</v>
      </c>
      <c r="E523" s="131" t="s">
        <v>582</v>
      </c>
      <c r="F523" s="137"/>
      <c r="G523" s="137"/>
      <c r="H523" s="138">
        <v>50</v>
      </c>
      <c r="I523" s="139">
        <v>65</v>
      </c>
      <c r="J523" s="140">
        <v>107</v>
      </c>
      <c r="K523" s="141">
        <v>105</v>
      </c>
      <c r="L523" s="142">
        <v>107</v>
      </c>
      <c r="M523" s="143">
        <v>86</v>
      </c>
      <c r="N523" s="144">
        <v>520</v>
      </c>
      <c r="O523" s="145" t="s">
        <v>268</v>
      </c>
      <c r="P523" s="133" t="s">
        <v>99</v>
      </c>
      <c r="Q523" s="133">
        <v>0.3</v>
      </c>
      <c r="R523" s="131"/>
    </row>
    <row r="524" ht="24.95" customHeight="1" spans="1:18">
      <c r="A524" s="135" t="s">
        <v>4479</v>
      </c>
      <c r="B524" s="131" t="s">
        <v>4485</v>
      </c>
      <c r="C524" s="136" t="str">
        <f>VLOOKUP(A524,伤害计算器!$V$2:$Y$720,3,FALSE)</f>
        <v>ロトム</v>
      </c>
      <c r="D524" s="136" t="str">
        <f>VLOOKUP(A524,伤害计算器!$V$2:$Y$720,4,FALSE)</f>
        <v>Rotom</v>
      </c>
      <c r="E524" s="131" t="s">
        <v>582</v>
      </c>
      <c r="F524" s="137"/>
      <c r="G524" s="137"/>
      <c r="H524" s="138">
        <v>50</v>
      </c>
      <c r="I524" s="139">
        <v>65</v>
      </c>
      <c r="J524" s="140">
        <v>107</v>
      </c>
      <c r="K524" s="141">
        <v>105</v>
      </c>
      <c r="L524" s="142">
        <v>107</v>
      </c>
      <c r="M524" s="143">
        <v>86</v>
      </c>
      <c r="N524" s="144">
        <v>520</v>
      </c>
      <c r="O524" s="145" t="s">
        <v>268</v>
      </c>
      <c r="P524" s="133" t="s">
        <v>235</v>
      </c>
      <c r="Q524" s="133">
        <v>0.3</v>
      </c>
      <c r="R524" s="131"/>
    </row>
    <row r="525" ht="24.95" customHeight="1" spans="1:18">
      <c r="A525" s="135" t="s">
        <v>4486</v>
      </c>
      <c r="B525" s="131" t="s">
        <v>4487</v>
      </c>
      <c r="C525" s="136" t="str">
        <f>VLOOKUP(A525,伤害计算器!$V$2:$Y$720,3,FALSE)</f>
        <v>ユクシー</v>
      </c>
      <c r="D525" s="136" t="str">
        <f>VLOOKUP(A525,伤害计算器!$V$2:$Y$720,4,FALSE)</f>
        <v>Uxie</v>
      </c>
      <c r="E525" s="131" t="s">
        <v>582</v>
      </c>
      <c r="F525" s="137"/>
      <c r="G525" s="137"/>
      <c r="H525" s="138">
        <v>75</v>
      </c>
      <c r="I525" s="139">
        <v>75</v>
      </c>
      <c r="J525" s="140">
        <v>130</v>
      </c>
      <c r="K525" s="141">
        <v>75</v>
      </c>
      <c r="L525" s="142">
        <v>130</v>
      </c>
      <c r="M525" s="143">
        <v>95</v>
      </c>
      <c r="N525" s="144">
        <v>580</v>
      </c>
      <c r="O525" s="145" t="s">
        <v>271</v>
      </c>
      <c r="Q525" s="147">
        <v>0.3</v>
      </c>
      <c r="R525" s="131"/>
    </row>
    <row r="526" ht="24.95" customHeight="1" spans="1:18">
      <c r="A526" s="135" t="s">
        <v>4488</v>
      </c>
      <c r="B526" s="131" t="s">
        <v>4489</v>
      </c>
      <c r="C526" s="136" t="str">
        <f>VLOOKUP(A526,伤害计算器!$V$2:$Y$720,3,FALSE)</f>
        <v>エムリット</v>
      </c>
      <c r="D526" s="136" t="str">
        <f>VLOOKUP(A526,伤害计算器!$V$2:$Y$720,4,FALSE)</f>
        <v>Mesprit</v>
      </c>
      <c r="E526" s="131" t="s">
        <v>582</v>
      </c>
      <c r="F526" s="137"/>
      <c r="G526" s="137"/>
      <c r="H526" s="138">
        <v>80</v>
      </c>
      <c r="I526" s="139">
        <v>105</v>
      </c>
      <c r="J526" s="140">
        <v>105</v>
      </c>
      <c r="K526" s="141">
        <v>105</v>
      </c>
      <c r="L526" s="142">
        <v>105</v>
      </c>
      <c r="M526" s="143">
        <v>80</v>
      </c>
      <c r="N526" s="144">
        <v>580</v>
      </c>
      <c r="O526" s="145" t="s">
        <v>271</v>
      </c>
      <c r="Q526" s="147">
        <v>0.3</v>
      </c>
      <c r="R526" s="131"/>
    </row>
    <row r="527" ht="24.95" customHeight="1" spans="1:18">
      <c r="A527" s="135" t="s">
        <v>4490</v>
      </c>
      <c r="B527" s="131" t="s">
        <v>4491</v>
      </c>
      <c r="C527" s="136" t="str">
        <f>VLOOKUP(A527,伤害计算器!$V$2:$Y$720,3,FALSE)</f>
        <v>アグノム</v>
      </c>
      <c r="D527" s="136" t="str">
        <f>VLOOKUP(A527,伤害计算器!$V$2:$Y$720,4,FALSE)</f>
        <v>Azelf</v>
      </c>
      <c r="E527" s="131" t="s">
        <v>582</v>
      </c>
      <c r="F527" s="137"/>
      <c r="G527" s="137"/>
      <c r="H527" s="138">
        <v>75</v>
      </c>
      <c r="I527" s="139">
        <v>125</v>
      </c>
      <c r="J527" s="140">
        <v>70</v>
      </c>
      <c r="K527" s="141">
        <v>125</v>
      </c>
      <c r="L527" s="142">
        <v>70</v>
      </c>
      <c r="M527" s="143">
        <v>115</v>
      </c>
      <c r="N527" s="144">
        <v>580</v>
      </c>
      <c r="O527" s="145" t="s">
        <v>271</v>
      </c>
      <c r="Q527" s="147">
        <v>0.3</v>
      </c>
      <c r="R527" s="131"/>
    </row>
    <row r="528" ht="24.95" customHeight="1" spans="1:18">
      <c r="A528" s="135" t="s">
        <v>4492</v>
      </c>
      <c r="B528" s="131" t="s">
        <v>4493</v>
      </c>
      <c r="C528" s="136" t="str">
        <f>VLOOKUP(A528,伤害计算器!$V$2:$Y$720,3,FALSE)</f>
        <v>ディアルガ</v>
      </c>
      <c r="D528" s="136" t="str">
        <f>VLOOKUP(A528,伤害计算器!$V$2:$Y$720,4,FALSE)</f>
        <v>Dialga</v>
      </c>
      <c r="E528" s="131" t="s">
        <v>3679</v>
      </c>
      <c r="F528" s="137"/>
      <c r="G528" s="131" t="s">
        <v>3822</v>
      </c>
      <c r="H528" s="138">
        <v>100</v>
      </c>
      <c r="I528" s="139">
        <v>120</v>
      </c>
      <c r="J528" s="140">
        <v>120</v>
      </c>
      <c r="K528" s="141">
        <v>150</v>
      </c>
      <c r="L528" s="142">
        <v>100</v>
      </c>
      <c r="M528" s="143">
        <v>90</v>
      </c>
      <c r="N528" s="144">
        <v>680</v>
      </c>
      <c r="O528" s="145" t="s">
        <v>276</v>
      </c>
      <c r="P528" s="133" t="s">
        <v>274</v>
      </c>
      <c r="Q528" s="147">
        <v>683</v>
      </c>
      <c r="R528" s="131"/>
    </row>
    <row r="529" ht="24.95" customHeight="1" spans="1:18">
      <c r="A529" s="135" t="s">
        <v>4494</v>
      </c>
      <c r="B529" s="131" t="s">
        <v>4495</v>
      </c>
      <c r="C529" s="136" t="str">
        <f>VLOOKUP(A529,伤害计算器!$V$2:$Y$720,3,FALSE)</f>
        <v>パルキア</v>
      </c>
      <c r="D529" s="136" t="str">
        <f>VLOOKUP(A529,伤害计算器!$V$2:$Y$720,4,FALSE)</f>
        <v>Palkia</v>
      </c>
      <c r="E529" s="131" t="s">
        <v>3679</v>
      </c>
      <c r="F529" s="137"/>
      <c r="G529" s="131" t="s">
        <v>3822</v>
      </c>
      <c r="H529" s="138">
        <v>90</v>
      </c>
      <c r="I529" s="139">
        <v>120</v>
      </c>
      <c r="J529" s="140">
        <v>100</v>
      </c>
      <c r="K529" s="141">
        <v>150</v>
      </c>
      <c r="L529" s="142">
        <v>120</v>
      </c>
      <c r="M529" s="143">
        <v>100</v>
      </c>
      <c r="N529" s="144">
        <v>680</v>
      </c>
      <c r="O529" s="145" t="s">
        <v>251</v>
      </c>
      <c r="P529" s="133" t="s">
        <v>274</v>
      </c>
      <c r="Q529" s="147">
        <v>336</v>
      </c>
      <c r="R529" s="131"/>
    </row>
    <row r="530" ht="24.95" customHeight="1" spans="1:18">
      <c r="A530" s="135" t="s">
        <v>4496</v>
      </c>
      <c r="B530" s="131" t="s">
        <v>4497</v>
      </c>
      <c r="C530" s="136" t="str">
        <f>VLOOKUP(A530,伤害计算器!$V$2:$Y$720,3,FALSE)</f>
        <v>ヒードラン</v>
      </c>
      <c r="D530" s="136" t="str">
        <f>VLOOKUP(A530,伤害计算器!$V$2:$Y$720,4,FALSE)</f>
        <v>Heatran</v>
      </c>
      <c r="E530" s="131" t="s">
        <v>542</v>
      </c>
      <c r="F530" s="137"/>
      <c r="G530" s="131" t="s">
        <v>3508</v>
      </c>
      <c r="H530" s="138">
        <v>91</v>
      </c>
      <c r="I530" s="139">
        <v>90</v>
      </c>
      <c r="J530" s="140">
        <v>106</v>
      </c>
      <c r="K530" s="141">
        <v>130</v>
      </c>
      <c r="L530" s="142">
        <v>106</v>
      </c>
      <c r="M530" s="143">
        <v>77</v>
      </c>
      <c r="N530" s="144">
        <v>600</v>
      </c>
      <c r="O530" s="145" t="s">
        <v>250</v>
      </c>
      <c r="P530" s="133" t="s">
        <v>276</v>
      </c>
      <c r="Q530" s="147">
        <v>430</v>
      </c>
      <c r="R530" s="131"/>
    </row>
    <row r="531" ht="24.95" customHeight="1" spans="1:18">
      <c r="A531" s="135" t="s">
        <v>4498</v>
      </c>
      <c r="B531" s="131" t="s">
        <v>4499</v>
      </c>
      <c r="C531" s="136" t="str">
        <f>VLOOKUP(A531,伤害计算器!$V$2:$Y$720,3,FALSE)</f>
        <v>レジギガス</v>
      </c>
      <c r="D531" s="136" t="str">
        <f>VLOOKUP(A531,伤害计算器!$V$2:$Y$720,4,FALSE)</f>
        <v>Regigigas</v>
      </c>
      <c r="E531" s="131" t="s">
        <v>4500</v>
      </c>
      <c r="F531" s="137"/>
      <c r="G531" s="137"/>
      <c r="H531" s="138">
        <v>110</v>
      </c>
      <c r="I531" s="139">
        <v>160</v>
      </c>
      <c r="J531" s="140">
        <v>110</v>
      </c>
      <c r="K531" s="141">
        <v>80</v>
      </c>
      <c r="L531" s="142">
        <v>110</v>
      </c>
      <c r="M531" s="143">
        <v>100</v>
      </c>
      <c r="N531" s="144">
        <v>670</v>
      </c>
      <c r="O531" s="145" t="s">
        <v>267</v>
      </c>
      <c r="Q531" s="147">
        <v>420</v>
      </c>
      <c r="R531" s="131"/>
    </row>
    <row r="532" ht="24.95" customHeight="1" spans="1:18">
      <c r="A532" s="135" t="s">
        <v>4501</v>
      </c>
      <c r="B532" s="131" t="s">
        <v>4502</v>
      </c>
      <c r="C532" s="136" t="str">
        <f>VLOOKUP(A532,伤害计算器!$V$2:$Y$720,3,FALSE)</f>
        <v>ギラティナ</v>
      </c>
      <c r="D532" s="136" t="str">
        <f>VLOOKUP(A532,伤害计算器!$V$2:$Y$720,4,FALSE)</f>
        <v>Giratina</v>
      </c>
      <c r="E532" s="131" t="s">
        <v>3679</v>
      </c>
      <c r="F532" s="137"/>
      <c r="G532" s="131" t="s">
        <v>3822</v>
      </c>
      <c r="H532" s="138">
        <v>150</v>
      </c>
      <c r="I532" s="139">
        <v>100</v>
      </c>
      <c r="J532" s="140">
        <v>120</v>
      </c>
      <c r="K532" s="141">
        <v>100</v>
      </c>
      <c r="L532" s="142">
        <v>120</v>
      </c>
      <c r="M532" s="143">
        <v>90</v>
      </c>
      <c r="N532" s="144">
        <v>680</v>
      </c>
      <c r="O532" s="145" t="s">
        <v>273</v>
      </c>
      <c r="P532" s="133" t="s">
        <v>274</v>
      </c>
      <c r="Q532" s="147">
        <v>650</v>
      </c>
      <c r="R532" s="131"/>
    </row>
    <row r="533" ht="24.95" customHeight="1" spans="1:18">
      <c r="A533" s="135" t="s">
        <v>4501</v>
      </c>
      <c r="B533" s="131" t="s">
        <v>4503</v>
      </c>
      <c r="C533" s="136" t="str">
        <f>VLOOKUP(A533,伤害计算器!$V$2:$Y$720,3,FALSE)</f>
        <v>ギラティナ</v>
      </c>
      <c r="D533" s="136" t="str">
        <f>VLOOKUP(A533,伤害计算器!$V$2:$Y$720,4,FALSE)</f>
        <v>Giratina</v>
      </c>
      <c r="E533" s="131" t="s">
        <v>582</v>
      </c>
      <c r="F533" s="137"/>
      <c r="G533" s="131" t="s">
        <v>582</v>
      </c>
      <c r="H533" s="138">
        <v>150</v>
      </c>
      <c r="I533" s="139">
        <v>120</v>
      </c>
      <c r="J533" s="140">
        <v>100</v>
      </c>
      <c r="K533" s="141">
        <v>120</v>
      </c>
      <c r="L533" s="142">
        <v>100</v>
      </c>
      <c r="M533" s="143">
        <v>90</v>
      </c>
      <c r="N533" s="144">
        <v>680</v>
      </c>
      <c r="O533" s="145" t="s">
        <v>273</v>
      </c>
      <c r="P533" s="133" t="s">
        <v>274</v>
      </c>
      <c r="Q533" s="147">
        <v>750</v>
      </c>
      <c r="R533" s="131"/>
    </row>
    <row r="534" ht="24.95" customHeight="1" spans="1:18">
      <c r="A534" s="135" t="s">
        <v>4504</v>
      </c>
      <c r="B534" s="131" t="s">
        <v>4505</v>
      </c>
      <c r="C534" s="136" t="str">
        <f>VLOOKUP(A534,伤害计算器!$V$2:$Y$720,3,FALSE)</f>
        <v>クレセリア</v>
      </c>
      <c r="D534" s="136" t="str">
        <f>VLOOKUP(A534,伤害计算器!$V$2:$Y$720,4,FALSE)</f>
        <v>Cresselia</v>
      </c>
      <c r="E534" s="131" t="s">
        <v>582</v>
      </c>
      <c r="F534" s="137"/>
      <c r="G534" s="137"/>
      <c r="H534" s="138">
        <v>120</v>
      </c>
      <c r="I534" s="139">
        <v>70</v>
      </c>
      <c r="J534" s="140">
        <v>120</v>
      </c>
      <c r="K534" s="141">
        <v>75</v>
      </c>
      <c r="L534" s="142">
        <v>130</v>
      </c>
      <c r="M534" s="143">
        <v>85</v>
      </c>
      <c r="N534" s="144">
        <v>600</v>
      </c>
      <c r="O534" s="145" t="s">
        <v>271</v>
      </c>
      <c r="Q534" s="147">
        <v>85.6</v>
      </c>
      <c r="R534" s="131"/>
    </row>
    <row r="535" ht="24.95" customHeight="1" spans="1:18">
      <c r="A535" s="135" t="s">
        <v>4506</v>
      </c>
      <c r="B535" s="131" t="s">
        <v>4507</v>
      </c>
      <c r="C535" s="136" t="str">
        <f>VLOOKUP(A535,伤害计算器!$V$2:$Y$720,3,FALSE)</f>
        <v>フィオネ</v>
      </c>
      <c r="D535" s="136" t="str">
        <f>VLOOKUP(A535,伤害计算器!$V$2:$Y$720,4,FALSE)</f>
        <v>Phione</v>
      </c>
      <c r="E535" s="131" t="s">
        <v>3532</v>
      </c>
      <c r="F535" s="137"/>
      <c r="G535" s="137"/>
      <c r="H535" s="138">
        <v>80</v>
      </c>
      <c r="I535" s="139">
        <v>80</v>
      </c>
      <c r="J535" s="140">
        <v>80</v>
      </c>
      <c r="K535" s="141">
        <v>80</v>
      </c>
      <c r="L535" s="142">
        <v>80</v>
      </c>
      <c r="M535" s="143">
        <v>80</v>
      </c>
      <c r="N535" s="144">
        <v>480</v>
      </c>
      <c r="O535" s="145" t="s">
        <v>251</v>
      </c>
      <c r="Q535" s="147">
        <v>3.1</v>
      </c>
      <c r="R535" s="131"/>
    </row>
    <row r="536" ht="24.95" customHeight="1" spans="1:18">
      <c r="A536" s="135" t="s">
        <v>4508</v>
      </c>
      <c r="B536" s="131" t="s">
        <v>4509</v>
      </c>
      <c r="C536" s="136" t="str">
        <f>VLOOKUP(A536,伤害计算器!$V$2:$Y$720,3,FALSE)</f>
        <v>マナフィ</v>
      </c>
      <c r="D536" s="136" t="str">
        <f>VLOOKUP(A536,伤害计算器!$V$2:$Y$720,4,FALSE)</f>
        <v>Manaphy</v>
      </c>
      <c r="E536" s="131" t="s">
        <v>3532</v>
      </c>
      <c r="F536" s="137"/>
      <c r="G536" s="137"/>
      <c r="H536" s="138">
        <v>100</v>
      </c>
      <c r="I536" s="139">
        <v>100</v>
      </c>
      <c r="J536" s="140">
        <v>100</v>
      </c>
      <c r="K536" s="141">
        <v>100</v>
      </c>
      <c r="L536" s="142">
        <v>100</v>
      </c>
      <c r="M536" s="143">
        <v>100</v>
      </c>
      <c r="N536" s="144">
        <v>600</v>
      </c>
      <c r="O536" s="145" t="s">
        <v>251</v>
      </c>
      <c r="Q536" s="147">
        <v>1.4</v>
      </c>
      <c r="R536" s="131"/>
    </row>
    <row r="537" ht="24.95" customHeight="1" spans="1:18">
      <c r="A537" s="135" t="s">
        <v>4510</v>
      </c>
      <c r="B537" s="131" t="s">
        <v>4511</v>
      </c>
      <c r="C537" s="136" t="str">
        <f>VLOOKUP(A537,伤害计算器!$V$2:$Y$720,3,FALSE)</f>
        <v>ダークライ</v>
      </c>
      <c r="D537" s="136" t="str">
        <f>VLOOKUP(A537,伤害计算器!$V$2:$Y$720,4,FALSE)</f>
        <v>Darkrai</v>
      </c>
      <c r="E537" s="131" t="s">
        <v>4512</v>
      </c>
      <c r="F537" s="137"/>
      <c r="G537" s="137"/>
      <c r="H537" s="138">
        <v>70</v>
      </c>
      <c r="I537" s="139">
        <v>90</v>
      </c>
      <c r="J537" s="140">
        <v>90</v>
      </c>
      <c r="K537" s="141">
        <v>135</v>
      </c>
      <c r="L537" s="142">
        <v>90</v>
      </c>
      <c r="M537" s="143">
        <v>125</v>
      </c>
      <c r="N537" s="144">
        <v>600</v>
      </c>
      <c r="O537" s="145" t="s">
        <v>275</v>
      </c>
      <c r="Q537" s="147">
        <v>50.5</v>
      </c>
      <c r="R537" s="131"/>
    </row>
    <row r="538" ht="24.95" customHeight="1" spans="1:18">
      <c r="A538" s="135" t="s">
        <v>4513</v>
      </c>
      <c r="B538" s="131" t="s">
        <v>4514</v>
      </c>
      <c r="C538" s="136" t="str">
        <f>VLOOKUP(A538,伤害计算器!$V$2:$Y$720,3,FALSE)</f>
        <v>シェイミ</v>
      </c>
      <c r="D538" s="136" t="str">
        <f>VLOOKUP(A538,伤害计算器!$V$2:$Y$720,4,FALSE)</f>
        <v>Shaymin</v>
      </c>
      <c r="E538" s="131" t="s">
        <v>3604</v>
      </c>
      <c r="F538" s="137"/>
      <c r="G538" s="137"/>
      <c r="H538" s="138">
        <v>100</v>
      </c>
      <c r="I538" s="139">
        <v>100</v>
      </c>
      <c r="J538" s="140">
        <v>100</v>
      </c>
      <c r="K538" s="141">
        <v>100</v>
      </c>
      <c r="L538" s="142">
        <v>100</v>
      </c>
      <c r="M538" s="143">
        <v>100</v>
      </c>
      <c r="N538" s="144">
        <v>600</v>
      </c>
      <c r="O538" s="145" t="s">
        <v>235</v>
      </c>
      <c r="Q538" s="147">
        <v>2.1</v>
      </c>
      <c r="R538" s="131"/>
    </row>
    <row r="539" ht="24.95" customHeight="1" spans="1:18">
      <c r="A539" s="135" t="s">
        <v>4513</v>
      </c>
      <c r="B539" s="131" t="s">
        <v>4515</v>
      </c>
      <c r="C539" s="136" t="str">
        <f>VLOOKUP(A539,伤害计算器!$V$2:$Y$720,3,FALSE)</f>
        <v>シェイミ</v>
      </c>
      <c r="D539" s="136" t="str">
        <f>VLOOKUP(A539,伤害计算器!$V$2:$Y$720,4,FALSE)</f>
        <v>Shaymin</v>
      </c>
      <c r="E539" s="131" t="s">
        <v>3605</v>
      </c>
      <c r="F539" s="137"/>
      <c r="G539" s="137"/>
      <c r="H539" s="138">
        <v>100</v>
      </c>
      <c r="I539" s="139">
        <v>103</v>
      </c>
      <c r="J539" s="140">
        <v>75</v>
      </c>
      <c r="K539" s="141">
        <v>120</v>
      </c>
      <c r="L539" s="142">
        <v>75</v>
      </c>
      <c r="M539" s="143">
        <v>127</v>
      </c>
      <c r="N539" s="144">
        <v>600</v>
      </c>
      <c r="O539" s="145" t="s">
        <v>235</v>
      </c>
      <c r="P539" s="133" t="s">
        <v>99</v>
      </c>
      <c r="Q539" s="147">
        <v>5.2</v>
      </c>
      <c r="R539" s="131"/>
    </row>
    <row r="540" ht="24.95" customHeight="1" spans="1:18">
      <c r="A540" s="135" t="s">
        <v>4516</v>
      </c>
      <c r="B540" s="131" t="s">
        <v>4517</v>
      </c>
      <c r="C540" s="136" t="str">
        <f>VLOOKUP(A540,伤害计算器!$V$2:$Y$720,3,FALSE)</f>
        <v>アルセウス</v>
      </c>
      <c r="D540" s="136" t="str">
        <f>VLOOKUP(A540,伤害计算器!$V$2:$Y$720,4,FALSE)</f>
        <v>Arceus</v>
      </c>
      <c r="E540" s="131" t="s">
        <v>4518</v>
      </c>
      <c r="F540" s="137"/>
      <c r="G540" s="137"/>
      <c r="H540" s="138">
        <v>120</v>
      </c>
      <c r="I540" s="139">
        <v>120</v>
      </c>
      <c r="J540" s="140">
        <v>120</v>
      </c>
      <c r="K540" s="141">
        <v>120</v>
      </c>
      <c r="L540" s="142">
        <v>120</v>
      </c>
      <c r="M540" s="143">
        <v>120</v>
      </c>
      <c r="N540" s="144">
        <v>720</v>
      </c>
      <c r="O540" s="145" t="s">
        <v>267</v>
      </c>
      <c r="Q540" s="147">
        <v>320</v>
      </c>
      <c r="R540" s="131"/>
    </row>
    <row r="541" ht="24.95" customHeight="1" spans="1:18">
      <c r="A541" s="135" t="s">
        <v>4519</v>
      </c>
      <c r="B541" s="131" t="s">
        <v>4520</v>
      </c>
      <c r="C541" s="136" t="str">
        <f>VLOOKUP(A541,伤害计算器!$V$2:$Y$720,3,FALSE)</f>
        <v>ビクティニ</v>
      </c>
      <c r="D541" s="136" t="str">
        <f>VLOOKUP(A541,伤害计算器!$V$2:$Y$720,4,FALSE)</f>
        <v>Victini</v>
      </c>
      <c r="E541" s="131" t="s">
        <v>68</v>
      </c>
      <c r="F541" s="137"/>
      <c r="G541" s="137"/>
      <c r="H541" s="138">
        <v>100</v>
      </c>
      <c r="I541" s="139">
        <v>100</v>
      </c>
      <c r="J541" s="140">
        <v>100</v>
      </c>
      <c r="K541" s="141">
        <v>100</v>
      </c>
      <c r="L541" s="142">
        <v>100</v>
      </c>
      <c r="M541" s="143">
        <v>100</v>
      </c>
      <c r="N541" s="144">
        <v>600</v>
      </c>
      <c r="O541" s="145" t="s">
        <v>271</v>
      </c>
      <c r="P541" s="133" t="s">
        <v>250</v>
      </c>
      <c r="Q541" s="147">
        <v>4</v>
      </c>
      <c r="R541" s="131"/>
    </row>
    <row r="542" ht="24.95" customHeight="1" spans="1:18">
      <c r="A542" s="135" t="s">
        <v>4521</v>
      </c>
      <c r="B542" s="131" t="s">
        <v>4522</v>
      </c>
      <c r="C542" s="136" t="str">
        <f>VLOOKUP(A542,伤害计算器!$V$2:$Y$720,3,FALSE)</f>
        <v>ツタージャ</v>
      </c>
      <c r="D542" s="136" t="str">
        <f>VLOOKUP(A542,伤害计算器!$V$2:$Y$720,4,FALSE)</f>
        <v>Snivy</v>
      </c>
      <c r="E542" s="131" t="s">
        <v>53</v>
      </c>
      <c r="F542" s="137"/>
      <c r="G542" s="131" t="s">
        <v>3852</v>
      </c>
      <c r="H542" s="138">
        <v>45</v>
      </c>
      <c r="I542" s="139">
        <v>45</v>
      </c>
      <c r="J542" s="140">
        <v>55</v>
      </c>
      <c r="K542" s="141">
        <v>45</v>
      </c>
      <c r="L542" s="142">
        <v>55</v>
      </c>
      <c r="M542" s="143">
        <v>63</v>
      </c>
      <c r="N542" s="144">
        <v>308</v>
      </c>
      <c r="O542" s="145" t="s">
        <v>235</v>
      </c>
      <c r="Q542" s="147">
        <v>8.1</v>
      </c>
      <c r="R542" s="131"/>
    </row>
    <row r="543" ht="24.95" customHeight="1" spans="1:18">
      <c r="A543" s="135" t="s">
        <v>4523</v>
      </c>
      <c r="B543" s="131" t="s">
        <v>4524</v>
      </c>
      <c r="C543" s="136" t="str">
        <f>VLOOKUP(A543,伤害计算器!$V$2:$Y$720,3,FALSE)</f>
        <v>ジャノビー</v>
      </c>
      <c r="D543" s="136" t="str">
        <f>VLOOKUP(A543,伤害计算器!$V$2:$Y$720,4,FALSE)</f>
        <v>Servine</v>
      </c>
      <c r="E543" s="131" t="s">
        <v>53</v>
      </c>
      <c r="F543" s="137"/>
      <c r="G543" s="131" t="s">
        <v>3852</v>
      </c>
      <c r="H543" s="138">
        <v>60</v>
      </c>
      <c r="I543" s="139">
        <v>60</v>
      </c>
      <c r="J543" s="140">
        <v>75</v>
      </c>
      <c r="K543" s="141">
        <v>60</v>
      </c>
      <c r="L543" s="142">
        <v>75</v>
      </c>
      <c r="M543" s="143">
        <v>83</v>
      </c>
      <c r="N543" s="144">
        <v>413</v>
      </c>
      <c r="O543" s="145" t="s">
        <v>235</v>
      </c>
      <c r="Q543" s="147">
        <v>16</v>
      </c>
      <c r="R543" s="131"/>
    </row>
    <row r="544" ht="24.95" customHeight="1" spans="1:18">
      <c r="A544" s="135" t="s">
        <v>4525</v>
      </c>
      <c r="B544" s="131" t="s">
        <v>4526</v>
      </c>
      <c r="C544" s="136" t="str">
        <f>VLOOKUP(A544,伤害计算器!$V$2:$Y$720,3,FALSE)</f>
        <v>ジャローダ</v>
      </c>
      <c r="D544" s="136" t="str">
        <f>VLOOKUP(A544,伤害计算器!$V$2:$Y$720,4,FALSE)</f>
        <v>Serperior</v>
      </c>
      <c r="E544" s="131" t="s">
        <v>53</v>
      </c>
      <c r="F544" s="137"/>
      <c r="G544" s="131" t="s">
        <v>3852</v>
      </c>
      <c r="H544" s="138">
        <v>75</v>
      </c>
      <c r="I544" s="139">
        <v>75</v>
      </c>
      <c r="J544" s="140">
        <v>95</v>
      </c>
      <c r="K544" s="141">
        <v>75</v>
      </c>
      <c r="L544" s="142">
        <v>95</v>
      </c>
      <c r="M544" s="143">
        <v>113</v>
      </c>
      <c r="N544" s="144">
        <v>528</v>
      </c>
      <c r="O544" s="145" t="s">
        <v>235</v>
      </c>
      <c r="Q544" s="147">
        <v>63</v>
      </c>
      <c r="R544" s="131"/>
    </row>
    <row r="545" ht="24.95" customHeight="1" spans="1:18">
      <c r="A545" s="135" t="s">
        <v>4527</v>
      </c>
      <c r="B545" s="131" t="s">
        <v>4528</v>
      </c>
      <c r="C545" s="136" t="str">
        <f>VLOOKUP(A545,伤害计算器!$V$2:$Y$720,3,FALSE)</f>
        <v>ポカブ</v>
      </c>
      <c r="D545" s="136" t="str">
        <f>VLOOKUP(A545,伤害计算器!$V$2:$Y$720,4,FALSE)</f>
        <v>Tepig</v>
      </c>
      <c r="E545" s="131" t="s">
        <v>54</v>
      </c>
      <c r="F545" s="137"/>
      <c r="G545" s="131" t="s">
        <v>70</v>
      </c>
      <c r="H545" s="138">
        <v>65</v>
      </c>
      <c r="I545" s="139">
        <v>63</v>
      </c>
      <c r="J545" s="140">
        <v>45</v>
      </c>
      <c r="K545" s="141">
        <v>45</v>
      </c>
      <c r="L545" s="142">
        <v>45</v>
      </c>
      <c r="M545" s="143">
        <v>45</v>
      </c>
      <c r="N545" s="144">
        <v>308</v>
      </c>
      <c r="O545" s="145" t="s">
        <v>250</v>
      </c>
      <c r="Q545" s="147">
        <v>9.9</v>
      </c>
      <c r="R545" s="131"/>
    </row>
    <row r="546" ht="24.95" customHeight="1" spans="1:18">
      <c r="A546" s="135" t="s">
        <v>4529</v>
      </c>
      <c r="B546" s="131" t="s">
        <v>4530</v>
      </c>
      <c r="C546" s="136" t="str">
        <f>VLOOKUP(A546,伤害计算器!$V$2:$Y$720,3,FALSE)</f>
        <v>チャオブー</v>
      </c>
      <c r="D546" s="136" t="str">
        <f>VLOOKUP(A546,伤害计算器!$V$2:$Y$720,4,FALSE)</f>
        <v>Pignite</v>
      </c>
      <c r="E546" s="131" t="s">
        <v>54</v>
      </c>
      <c r="F546" s="137"/>
      <c r="G546" s="131" t="s">
        <v>70</v>
      </c>
      <c r="H546" s="138">
        <v>90</v>
      </c>
      <c r="I546" s="139">
        <v>93</v>
      </c>
      <c r="J546" s="140">
        <v>55</v>
      </c>
      <c r="K546" s="141">
        <v>70</v>
      </c>
      <c r="L546" s="142">
        <v>55</v>
      </c>
      <c r="M546" s="143">
        <v>55</v>
      </c>
      <c r="N546" s="144">
        <v>418</v>
      </c>
      <c r="O546" s="145" t="s">
        <v>250</v>
      </c>
      <c r="P546" s="133" t="s">
        <v>269</v>
      </c>
      <c r="Q546" s="147">
        <v>55.5</v>
      </c>
      <c r="R546" s="131"/>
    </row>
    <row r="547" ht="24.95" customHeight="1" spans="1:18">
      <c r="A547" s="135" t="s">
        <v>4531</v>
      </c>
      <c r="B547" s="131" t="s">
        <v>4532</v>
      </c>
      <c r="C547" s="136" t="str">
        <f>VLOOKUP(A547,伤害计算器!$V$2:$Y$720,3,FALSE)</f>
        <v>エンブオー</v>
      </c>
      <c r="D547" s="136" t="str">
        <f>VLOOKUP(A547,伤害计算器!$V$2:$Y$720,4,FALSE)</f>
        <v>Emboar</v>
      </c>
      <c r="E547" s="131" t="s">
        <v>54</v>
      </c>
      <c r="F547" s="137"/>
      <c r="G547" s="131" t="s">
        <v>38</v>
      </c>
      <c r="H547" s="138">
        <v>110</v>
      </c>
      <c r="I547" s="139">
        <v>123</v>
      </c>
      <c r="J547" s="140">
        <v>65</v>
      </c>
      <c r="K547" s="141">
        <v>100</v>
      </c>
      <c r="L547" s="142">
        <v>65</v>
      </c>
      <c r="M547" s="143">
        <v>65</v>
      </c>
      <c r="N547" s="144">
        <v>528</v>
      </c>
      <c r="O547" s="145" t="s">
        <v>250</v>
      </c>
      <c r="P547" s="133" t="s">
        <v>269</v>
      </c>
      <c r="Q547" s="147">
        <v>150</v>
      </c>
      <c r="R547" s="131"/>
    </row>
    <row r="548" ht="24.95" customHeight="1" spans="1:18">
      <c r="A548" s="135" t="s">
        <v>4533</v>
      </c>
      <c r="B548" s="131" t="s">
        <v>4534</v>
      </c>
      <c r="C548" s="136" t="str">
        <f>VLOOKUP(A548,伤害计算器!$V$2:$Y$720,3,FALSE)</f>
        <v>ミジュマル</v>
      </c>
      <c r="D548" s="136" t="str">
        <f>VLOOKUP(A548,伤害计算器!$V$2:$Y$720,4,FALSE)</f>
        <v>Oshawott</v>
      </c>
      <c r="E548" s="131" t="s">
        <v>55</v>
      </c>
      <c r="F548" s="137"/>
      <c r="G548" s="131" t="s">
        <v>3544</v>
      </c>
      <c r="H548" s="138">
        <v>55</v>
      </c>
      <c r="I548" s="139">
        <v>55</v>
      </c>
      <c r="J548" s="140">
        <v>45</v>
      </c>
      <c r="K548" s="141">
        <v>63</v>
      </c>
      <c r="L548" s="142">
        <v>45</v>
      </c>
      <c r="M548" s="143">
        <v>45</v>
      </c>
      <c r="N548" s="144">
        <v>308</v>
      </c>
      <c r="O548" s="145" t="s">
        <v>251</v>
      </c>
      <c r="Q548" s="147">
        <v>5.9</v>
      </c>
      <c r="R548" s="131"/>
    </row>
    <row r="549" ht="24.95" customHeight="1" spans="1:18">
      <c r="A549" s="135" t="s">
        <v>4535</v>
      </c>
      <c r="B549" s="131" t="s">
        <v>4536</v>
      </c>
      <c r="C549" s="136" t="str">
        <f>VLOOKUP(A549,伤害计算器!$V$2:$Y$720,3,FALSE)</f>
        <v>フタチマル</v>
      </c>
      <c r="D549" s="136" t="str">
        <f>VLOOKUP(A549,伤害计算器!$V$2:$Y$720,4,FALSE)</f>
        <v>Dewott</v>
      </c>
      <c r="E549" s="131" t="s">
        <v>55</v>
      </c>
      <c r="F549" s="137"/>
      <c r="G549" s="131" t="s">
        <v>3544</v>
      </c>
      <c r="H549" s="138">
        <v>75</v>
      </c>
      <c r="I549" s="139">
        <v>75</v>
      </c>
      <c r="J549" s="140">
        <v>60</v>
      </c>
      <c r="K549" s="141">
        <v>83</v>
      </c>
      <c r="L549" s="142">
        <v>60</v>
      </c>
      <c r="M549" s="143">
        <v>60</v>
      </c>
      <c r="N549" s="144">
        <v>413</v>
      </c>
      <c r="O549" s="145" t="s">
        <v>251</v>
      </c>
      <c r="Q549" s="147">
        <v>24.5</v>
      </c>
      <c r="R549" s="131"/>
    </row>
    <row r="550" ht="24.95" customHeight="1" spans="1:18">
      <c r="A550" s="135" t="s">
        <v>4537</v>
      </c>
      <c r="B550" s="131" t="s">
        <v>4538</v>
      </c>
      <c r="C550" s="136" t="str">
        <f>VLOOKUP(A550,伤害计算器!$V$2:$Y$720,3,FALSE)</f>
        <v>ダイケンキ</v>
      </c>
      <c r="D550" s="136" t="str">
        <f>VLOOKUP(A550,伤害计算器!$V$2:$Y$720,4,FALSE)</f>
        <v>Samurott</v>
      </c>
      <c r="E550" s="131" t="s">
        <v>55</v>
      </c>
      <c r="F550" s="137"/>
      <c r="G550" s="131" t="s">
        <v>3544</v>
      </c>
      <c r="H550" s="138">
        <v>95</v>
      </c>
      <c r="I550" s="139">
        <v>100</v>
      </c>
      <c r="J550" s="140">
        <v>85</v>
      </c>
      <c r="K550" s="141">
        <v>108</v>
      </c>
      <c r="L550" s="142">
        <v>70</v>
      </c>
      <c r="M550" s="143">
        <v>70</v>
      </c>
      <c r="N550" s="144">
        <v>528</v>
      </c>
      <c r="O550" s="145" t="s">
        <v>251</v>
      </c>
      <c r="Q550" s="147">
        <v>94.6</v>
      </c>
      <c r="R550" s="131"/>
    </row>
    <row r="551" ht="24.95" customHeight="1" spans="1:18">
      <c r="A551" s="135" t="s">
        <v>4539</v>
      </c>
      <c r="B551" s="131" t="s">
        <v>4540</v>
      </c>
      <c r="C551" s="136" t="str">
        <f>VLOOKUP(A551,伤害计算器!$V$2:$Y$720,3,FALSE)</f>
        <v>ミネズミ</v>
      </c>
      <c r="D551" s="136" t="str">
        <f>VLOOKUP(A551,伤害计算器!$V$2:$Y$720,4,FALSE)</f>
        <v>Patrat</v>
      </c>
      <c r="E551" s="131" t="s">
        <v>3319</v>
      </c>
      <c r="F551" s="131" t="s">
        <v>3336</v>
      </c>
      <c r="G551" s="131" t="s">
        <v>37</v>
      </c>
      <c r="H551" s="138">
        <v>45</v>
      </c>
      <c r="I551" s="139">
        <v>55</v>
      </c>
      <c r="J551" s="140">
        <v>39</v>
      </c>
      <c r="K551" s="141">
        <v>35</v>
      </c>
      <c r="L551" s="142">
        <v>39</v>
      </c>
      <c r="M551" s="143">
        <v>42</v>
      </c>
      <c r="N551" s="144">
        <v>255</v>
      </c>
      <c r="O551" s="145" t="s">
        <v>267</v>
      </c>
      <c r="Q551" s="147">
        <v>11.6</v>
      </c>
      <c r="R551" s="131"/>
    </row>
    <row r="552" ht="24.95" customHeight="1" spans="1:18">
      <c r="A552" s="135" t="s">
        <v>4541</v>
      </c>
      <c r="B552" s="131" t="s">
        <v>4542</v>
      </c>
      <c r="C552" s="136" t="str">
        <f>VLOOKUP(A552,伤害计算器!$V$2:$Y$720,3,FALSE)</f>
        <v>ミルホッグ</v>
      </c>
      <c r="D552" s="136" t="str">
        <f>VLOOKUP(A552,伤害计算器!$V$2:$Y$720,4,FALSE)</f>
        <v>Watchog</v>
      </c>
      <c r="E552" s="131" t="s">
        <v>3624</v>
      </c>
      <c r="F552" s="131" t="s">
        <v>3336</v>
      </c>
      <c r="G552" s="131" t="s">
        <v>37</v>
      </c>
      <c r="H552" s="138">
        <v>60</v>
      </c>
      <c r="I552" s="139">
        <v>85</v>
      </c>
      <c r="J552" s="140">
        <v>69</v>
      </c>
      <c r="K552" s="141">
        <v>60</v>
      </c>
      <c r="L552" s="142">
        <v>69</v>
      </c>
      <c r="M552" s="143">
        <v>77</v>
      </c>
      <c r="N552" s="144">
        <v>420</v>
      </c>
      <c r="O552" s="145" t="s">
        <v>267</v>
      </c>
      <c r="Q552" s="147">
        <v>27</v>
      </c>
      <c r="R552" s="131"/>
    </row>
    <row r="553" ht="24.95" customHeight="1" spans="1:18">
      <c r="A553" s="135" t="s">
        <v>4543</v>
      </c>
      <c r="B553" s="131" t="s">
        <v>4544</v>
      </c>
      <c r="C553" s="136" t="str">
        <f>VLOOKUP(A553,伤害计算器!$V$2:$Y$720,3,FALSE)</f>
        <v>ヨーテリー</v>
      </c>
      <c r="D553" s="136" t="str">
        <f>VLOOKUP(A553,伤害计算器!$V$2:$Y$720,4,FALSE)</f>
        <v>Lillipup</v>
      </c>
      <c r="E553" s="131" t="s">
        <v>3453</v>
      </c>
      <c r="F553" s="131" t="s">
        <v>3441</v>
      </c>
      <c r="G553" s="131" t="s">
        <v>3319</v>
      </c>
      <c r="H553" s="138">
        <v>45</v>
      </c>
      <c r="I553" s="139">
        <v>60</v>
      </c>
      <c r="J553" s="140">
        <v>45</v>
      </c>
      <c r="K553" s="141">
        <v>25</v>
      </c>
      <c r="L553" s="142">
        <v>45</v>
      </c>
      <c r="M553" s="143">
        <v>55</v>
      </c>
      <c r="N553" s="144">
        <v>275</v>
      </c>
      <c r="O553" s="145" t="s">
        <v>267</v>
      </c>
      <c r="Q553" s="147">
        <v>4.1</v>
      </c>
      <c r="R553" s="131"/>
    </row>
    <row r="554" ht="24.95" customHeight="1" spans="1:18">
      <c r="A554" s="135" t="s">
        <v>4545</v>
      </c>
      <c r="B554" s="131" t="s">
        <v>4546</v>
      </c>
      <c r="C554" s="136" t="str">
        <f>VLOOKUP(A554,伤害计算器!$V$2:$Y$720,3,FALSE)</f>
        <v>ハーデリア</v>
      </c>
      <c r="D554" s="136" t="str">
        <f>VLOOKUP(A554,伤害计算器!$V$2:$Y$720,4,FALSE)</f>
        <v>Herdier</v>
      </c>
      <c r="E554" s="131" t="s">
        <v>3354</v>
      </c>
      <c r="F554" s="131" t="s">
        <v>3368</v>
      </c>
      <c r="G554" s="131" t="s">
        <v>3612</v>
      </c>
      <c r="H554" s="138">
        <v>65</v>
      </c>
      <c r="I554" s="139">
        <v>80</v>
      </c>
      <c r="J554" s="140">
        <v>65</v>
      </c>
      <c r="K554" s="141">
        <v>35</v>
      </c>
      <c r="L554" s="142">
        <v>65</v>
      </c>
      <c r="M554" s="143">
        <v>60</v>
      </c>
      <c r="N554" s="144">
        <v>370</v>
      </c>
      <c r="O554" s="145" t="s">
        <v>267</v>
      </c>
      <c r="Q554" s="147">
        <v>14.7</v>
      </c>
      <c r="R554" s="131"/>
    </row>
    <row r="555" ht="24.95" customHeight="1" spans="1:18">
      <c r="A555" s="135" t="s">
        <v>4547</v>
      </c>
      <c r="B555" s="131" t="s">
        <v>4548</v>
      </c>
      <c r="C555" s="136" t="str">
        <f>VLOOKUP(A555,伤害计算器!$V$2:$Y$720,3,FALSE)</f>
        <v>ムーランド</v>
      </c>
      <c r="D555" s="136" t="str">
        <f>VLOOKUP(A555,伤害计算器!$V$2:$Y$720,4,FALSE)</f>
        <v>Stoutland</v>
      </c>
      <c r="E555" s="131" t="s">
        <v>3354</v>
      </c>
      <c r="F555" s="131" t="s">
        <v>4549</v>
      </c>
      <c r="G555" s="131" t="s">
        <v>4036</v>
      </c>
      <c r="H555" s="138">
        <v>85</v>
      </c>
      <c r="I555" s="139">
        <v>110</v>
      </c>
      <c r="J555" s="140">
        <v>90</v>
      </c>
      <c r="K555" s="141">
        <v>45</v>
      </c>
      <c r="L555" s="142">
        <v>90</v>
      </c>
      <c r="M555" s="143">
        <v>80</v>
      </c>
      <c r="N555" s="144">
        <v>500</v>
      </c>
      <c r="O555" s="145" t="s">
        <v>267</v>
      </c>
      <c r="Q555" s="147">
        <v>61</v>
      </c>
      <c r="R555" s="131"/>
    </row>
    <row r="556" ht="24.95" customHeight="1" spans="1:18">
      <c r="A556" s="135" t="s">
        <v>4550</v>
      </c>
      <c r="B556" s="131" t="s">
        <v>4551</v>
      </c>
      <c r="C556" s="136" t="str">
        <f>VLOOKUP(A556,伤害计算器!$V$2:$Y$720,3,FALSE)</f>
        <v>チョロネコ</v>
      </c>
      <c r="D556" s="136" t="str">
        <f>VLOOKUP(A556,伤害计算器!$V$2:$Y$720,4,FALSE)</f>
        <v>Purrloin</v>
      </c>
      <c r="E556" s="131" t="s">
        <v>3444</v>
      </c>
      <c r="F556" s="131" t="s">
        <v>3589</v>
      </c>
      <c r="G556" s="131" t="s">
        <v>3812</v>
      </c>
      <c r="H556" s="138">
        <v>41</v>
      </c>
      <c r="I556" s="139">
        <v>50</v>
      </c>
      <c r="J556" s="140">
        <v>37</v>
      </c>
      <c r="K556" s="141">
        <v>50</v>
      </c>
      <c r="L556" s="142">
        <v>37</v>
      </c>
      <c r="M556" s="143">
        <v>66</v>
      </c>
      <c r="N556" s="144">
        <v>281</v>
      </c>
      <c r="O556" s="145" t="s">
        <v>275</v>
      </c>
      <c r="Q556" s="147">
        <v>10.1</v>
      </c>
      <c r="R556" s="131"/>
    </row>
    <row r="557" ht="24.95" customHeight="1" spans="1:18">
      <c r="A557" s="135" t="s">
        <v>4552</v>
      </c>
      <c r="B557" s="131" t="s">
        <v>4553</v>
      </c>
      <c r="C557" s="136" t="str">
        <f>VLOOKUP(A557,伤害计算器!$V$2:$Y$720,3,FALSE)</f>
        <v>レパルダス</v>
      </c>
      <c r="D557" s="136" t="str">
        <f>VLOOKUP(A557,伤害计算器!$V$2:$Y$720,4,FALSE)</f>
        <v>Liepard</v>
      </c>
      <c r="E557" s="131" t="s">
        <v>3444</v>
      </c>
      <c r="F557" s="131" t="s">
        <v>3589</v>
      </c>
      <c r="G557" s="131" t="s">
        <v>3812</v>
      </c>
      <c r="H557" s="138">
        <v>64</v>
      </c>
      <c r="I557" s="139">
        <v>88</v>
      </c>
      <c r="J557" s="140">
        <v>50</v>
      </c>
      <c r="K557" s="141">
        <v>88</v>
      </c>
      <c r="L557" s="142">
        <v>50</v>
      </c>
      <c r="M557" s="143">
        <v>106</v>
      </c>
      <c r="N557" s="144">
        <v>446</v>
      </c>
      <c r="O557" s="145" t="s">
        <v>275</v>
      </c>
      <c r="Q557" s="147">
        <v>37.5</v>
      </c>
      <c r="R557" s="131"/>
    </row>
    <row r="558" ht="24.95" customHeight="1" spans="1:18">
      <c r="A558" s="135" t="s">
        <v>4554</v>
      </c>
      <c r="B558" s="131" t="s">
        <v>4555</v>
      </c>
      <c r="C558" s="136" t="str">
        <f>VLOOKUP(A558,伤害计算器!$V$2:$Y$720,3,FALSE)</f>
        <v>ヤナップ</v>
      </c>
      <c r="D558" s="136" t="str">
        <f>VLOOKUP(A558,伤害计算器!$V$2:$Y$720,4,FALSE)</f>
        <v>Pansage</v>
      </c>
      <c r="E558" s="131" t="s">
        <v>3486</v>
      </c>
      <c r="F558" s="137"/>
      <c r="G558" s="131" t="s">
        <v>53</v>
      </c>
      <c r="H558" s="138">
        <v>50</v>
      </c>
      <c r="I558" s="139">
        <v>53</v>
      </c>
      <c r="J558" s="140">
        <v>48</v>
      </c>
      <c r="K558" s="141">
        <v>53</v>
      </c>
      <c r="L558" s="142">
        <v>48</v>
      </c>
      <c r="M558" s="143">
        <v>64</v>
      </c>
      <c r="N558" s="144">
        <v>316</v>
      </c>
      <c r="O558" s="145" t="s">
        <v>235</v>
      </c>
      <c r="Q558" s="147">
        <v>10.5</v>
      </c>
      <c r="R558" s="131"/>
    </row>
    <row r="559" ht="24.95" customHeight="1" spans="1:18">
      <c r="A559" s="135" t="s">
        <v>4556</v>
      </c>
      <c r="B559" s="131" t="s">
        <v>4557</v>
      </c>
      <c r="C559" s="136" t="str">
        <f>VLOOKUP(A559,伤害计算器!$V$2:$Y$720,3,FALSE)</f>
        <v>ヤナッキー</v>
      </c>
      <c r="D559" s="136" t="str">
        <f>VLOOKUP(A559,伤害计算器!$V$2:$Y$720,4,FALSE)</f>
        <v>Simisage</v>
      </c>
      <c r="E559" s="131" t="s">
        <v>3486</v>
      </c>
      <c r="F559" s="137"/>
      <c r="G559" s="131" t="s">
        <v>53</v>
      </c>
      <c r="H559" s="138">
        <v>75</v>
      </c>
      <c r="I559" s="139">
        <v>98</v>
      </c>
      <c r="J559" s="140">
        <v>63</v>
      </c>
      <c r="K559" s="141">
        <v>98</v>
      </c>
      <c r="L559" s="142">
        <v>63</v>
      </c>
      <c r="M559" s="143">
        <v>101</v>
      </c>
      <c r="N559" s="144">
        <v>498</v>
      </c>
      <c r="O559" s="145" t="s">
        <v>235</v>
      </c>
      <c r="Q559" s="147">
        <v>30.5</v>
      </c>
      <c r="R559" s="131"/>
    </row>
    <row r="560" ht="24.95" customHeight="1" spans="1:18">
      <c r="A560" s="135" t="s">
        <v>4558</v>
      </c>
      <c r="B560" s="131" t="s">
        <v>4559</v>
      </c>
      <c r="C560" s="136" t="str">
        <f>VLOOKUP(A560,伤害计算器!$V$2:$Y$720,3,FALSE)</f>
        <v>バオップ</v>
      </c>
      <c r="D560" s="136" t="str">
        <f>VLOOKUP(A560,伤害计算器!$V$2:$Y$720,4,FALSE)</f>
        <v>Pansear</v>
      </c>
      <c r="E560" s="131" t="s">
        <v>3486</v>
      </c>
      <c r="F560" s="137"/>
      <c r="G560" s="131" t="s">
        <v>54</v>
      </c>
      <c r="H560" s="138">
        <v>50</v>
      </c>
      <c r="I560" s="139">
        <v>53</v>
      </c>
      <c r="J560" s="140">
        <v>48</v>
      </c>
      <c r="K560" s="141">
        <v>53</v>
      </c>
      <c r="L560" s="142">
        <v>48</v>
      </c>
      <c r="M560" s="143">
        <v>64</v>
      </c>
      <c r="N560" s="144">
        <v>316</v>
      </c>
      <c r="O560" s="145" t="s">
        <v>250</v>
      </c>
      <c r="Q560" s="147">
        <v>11</v>
      </c>
      <c r="R560" s="131"/>
    </row>
    <row r="561" ht="24.95" customHeight="1" spans="1:18">
      <c r="A561" s="135" t="s">
        <v>4560</v>
      </c>
      <c r="B561" s="131" t="s">
        <v>4561</v>
      </c>
      <c r="C561" s="136" t="str">
        <f>VLOOKUP(A561,伤害计算器!$V$2:$Y$720,3,FALSE)</f>
        <v>バオッキー</v>
      </c>
      <c r="D561" s="136" t="str">
        <f>VLOOKUP(A561,伤害计算器!$V$2:$Y$720,4,FALSE)</f>
        <v>Simisear</v>
      </c>
      <c r="E561" s="131" t="s">
        <v>3486</v>
      </c>
      <c r="F561" s="137"/>
      <c r="G561" s="131" t="s">
        <v>54</v>
      </c>
      <c r="H561" s="138">
        <v>75</v>
      </c>
      <c r="I561" s="139">
        <v>98</v>
      </c>
      <c r="J561" s="140">
        <v>63</v>
      </c>
      <c r="K561" s="141">
        <v>98</v>
      </c>
      <c r="L561" s="142">
        <v>63</v>
      </c>
      <c r="M561" s="143">
        <v>101</v>
      </c>
      <c r="N561" s="144">
        <v>498</v>
      </c>
      <c r="O561" s="145" t="s">
        <v>250</v>
      </c>
      <c r="Q561" s="147">
        <v>28</v>
      </c>
      <c r="R561" s="131"/>
    </row>
    <row r="562" ht="24.95" customHeight="1" spans="1:18">
      <c r="A562" s="135" t="s">
        <v>4562</v>
      </c>
      <c r="B562" s="131" t="s">
        <v>4563</v>
      </c>
      <c r="C562" s="136" t="str">
        <f>VLOOKUP(A562,伤害计算器!$V$2:$Y$720,3,FALSE)</f>
        <v>ヒヤップ</v>
      </c>
      <c r="D562" s="136" t="str">
        <f>VLOOKUP(A562,伤害计算器!$V$2:$Y$720,4,FALSE)</f>
        <v>Panpour</v>
      </c>
      <c r="E562" s="131" t="s">
        <v>3486</v>
      </c>
      <c r="F562" s="137"/>
      <c r="G562" s="131" t="s">
        <v>55</v>
      </c>
      <c r="H562" s="138">
        <v>50</v>
      </c>
      <c r="I562" s="139">
        <v>53</v>
      </c>
      <c r="J562" s="140">
        <v>48</v>
      </c>
      <c r="K562" s="141">
        <v>53</v>
      </c>
      <c r="L562" s="142">
        <v>48</v>
      </c>
      <c r="M562" s="143">
        <v>64</v>
      </c>
      <c r="N562" s="144">
        <v>316</v>
      </c>
      <c r="O562" s="145" t="s">
        <v>251</v>
      </c>
      <c r="Q562" s="147">
        <v>13.5</v>
      </c>
      <c r="R562" s="131"/>
    </row>
    <row r="563" ht="24.95" customHeight="1" spans="1:18">
      <c r="A563" s="135" t="s">
        <v>4564</v>
      </c>
      <c r="B563" s="131" t="s">
        <v>4565</v>
      </c>
      <c r="C563" s="136" t="str">
        <f>VLOOKUP(A563,伤害计算器!$V$2:$Y$720,3,FALSE)</f>
        <v>ヒヤッキー</v>
      </c>
      <c r="D563" s="136" t="str">
        <f>VLOOKUP(A563,伤害计算器!$V$2:$Y$720,4,FALSE)</f>
        <v>Simipour</v>
      </c>
      <c r="E563" s="131" t="s">
        <v>3486</v>
      </c>
      <c r="F563" s="137"/>
      <c r="G563" s="131" t="s">
        <v>55</v>
      </c>
      <c r="H563" s="138">
        <v>75</v>
      </c>
      <c r="I563" s="139">
        <v>98</v>
      </c>
      <c r="J563" s="140">
        <v>63</v>
      </c>
      <c r="K563" s="141">
        <v>98</v>
      </c>
      <c r="L563" s="142">
        <v>63</v>
      </c>
      <c r="M563" s="143">
        <v>101</v>
      </c>
      <c r="N563" s="144">
        <v>498</v>
      </c>
      <c r="O563" s="145" t="s">
        <v>251</v>
      </c>
      <c r="Q563" s="147">
        <v>29</v>
      </c>
      <c r="R563" s="131"/>
    </row>
    <row r="564" ht="24.95" customHeight="1" spans="1:18">
      <c r="A564" s="135" t="s">
        <v>4566</v>
      </c>
      <c r="B564" s="131" t="s">
        <v>4567</v>
      </c>
      <c r="C564" s="136" t="str">
        <f>VLOOKUP(A564,伤害计算器!$V$2:$Y$720,3,FALSE)</f>
        <v>ムンナ</v>
      </c>
      <c r="D564" s="136" t="str">
        <f>VLOOKUP(A564,伤害计算器!$V$2:$Y$720,4,FALSE)</f>
        <v>Munna</v>
      </c>
      <c r="E564" s="131" t="s">
        <v>3566</v>
      </c>
      <c r="F564" s="131" t="s">
        <v>3471</v>
      </c>
      <c r="G564" s="131" t="s">
        <v>3822</v>
      </c>
      <c r="H564" s="138">
        <v>76</v>
      </c>
      <c r="I564" s="139">
        <v>25</v>
      </c>
      <c r="J564" s="140">
        <v>45</v>
      </c>
      <c r="K564" s="141">
        <v>67</v>
      </c>
      <c r="L564" s="142">
        <v>55</v>
      </c>
      <c r="M564" s="143">
        <v>24</v>
      </c>
      <c r="N564" s="144">
        <v>292</v>
      </c>
      <c r="O564" s="145" t="s">
        <v>271</v>
      </c>
      <c r="Q564" s="147">
        <v>23.3</v>
      </c>
      <c r="R564" s="131"/>
    </row>
    <row r="565" ht="24.95" customHeight="1" spans="1:18">
      <c r="A565" s="135" t="s">
        <v>4568</v>
      </c>
      <c r="B565" s="131" t="s">
        <v>4569</v>
      </c>
      <c r="C565" s="136" t="str">
        <f>VLOOKUP(A565,伤害计算器!$V$2:$Y$720,3,FALSE)</f>
        <v>ムシャーナ</v>
      </c>
      <c r="D565" s="136" t="str">
        <f>VLOOKUP(A565,伤害计算器!$V$2:$Y$720,4,FALSE)</f>
        <v>Musharna</v>
      </c>
      <c r="E565" s="131" t="s">
        <v>3566</v>
      </c>
      <c r="F565" s="131" t="s">
        <v>3471</v>
      </c>
      <c r="G565" s="131" t="s">
        <v>3822</v>
      </c>
      <c r="H565" s="138">
        <v>116</v>
      </c>
      <c r="I565" s="139">
        <v>55</v>
      </c>
      <c r="J565" s="140">
        <v>85</v>
      </c>
      <c r="K565" s="141">
        <v>107</v>
      </c>
      <c r="L565" s="142">
        <v>95</v>
      </c>
      <c r="M565" s="143">
        <v>29</v>
      </c>
      <c r="N565" s="144">
        <v>487</v>
      </c>
      <c r="O565" s="145" t="s">
        <v>271</v>
      </c>
      <c r="Q565" s="147">
        <v>60.5</v>
      </c>
      <c r="R565" s="131"/>
    </row>
    <row r="566" ht="24.95" customHeight="1" spans="1:18">
      <c r="A566" s="135" t="s">
        <v>4570</v>
      </c>
      <c r="B566" s="131" t="s">
        <v>4571</v>
      </c>
      <c r="C566" s="136" t="str">
        <f>VLOOKUP(A566,伤害计算器!$V$2:$Y$720,3,FALSE)</f>
        <v>マメパト</v>
      </c>
      <c r="D566" s="136" t="str">
        <f>VLOOKUP(A566,伤害计算器!$V$2:$Y$720,4,FALSE)</f>
        <v>Pidove</v>
      </c>
      <c r="E566" s="131" t="s">
        <v>3337</v>
      </c>
      <c r="F566" s="131" t="s">
        <v>3756</v>
      </c>
      <c r="G566" s="131" t="s">
        <v>3381</v>
      </c>
      <c r="H566" s="138">
        <v>50</v>
      </c>
      <c r="I566" s="139">
        <v>55</v>
      </c>
      <c r="J566" s="140">
        <v>50</v>
      </c>
      <c r="K566" s="141">
        <v>36</v>
      </c>
      <c r="L566" s="142">
        <v>30</v>
      </c>
      <c r="M566" s="143">
        <v>43</v>
      </c>
      <c r="N566" s="144">
        <v>264</v>
      </c>
      <c r="O566" s="145" t="s">
        <v>267</v>
      </c>
      <c r="P566" s="133" t="s">
        <v>99</v>
      </c>
      <c r="Q566" s="147">
        <v>2.1</v>
      </c>
      <c r="R566" s="131"/>
    </row>
    <row r="567" ht="24.95" customHeight="1" spans="1:18">
      <c r="A567" s="135" t="s">
        <v>4572</v>
      </c>
      <c r="B567" s="131" t="s">
        <v>4573</v>
      </c>
      <c r="C567" s="136" t="str">
        <f>VLOOKUP(A567,伤害计算器!$V$2:$Y$720,3,FALSE)</f>
        <v>ハトーボー</v>
      </c>
      <c r="D567" s="136" t="str">
        <f>VLOOKUP(A567,伤害计算器!$V$2:$Y$720,4,FALSE)</f>
        <v>Tranquill</v>
      </c>
      <c r="E567" s="131" t="s">
        <v>3337</v>
      </c>
      <c r="F567" s="131" t="s">
        <v>3756</v>
      </c>
      <c r="G567" s="131" t="s">
        <v>3381</v>
      </c>
      <c r="H567" s="138">
        <v>62</v>
      </c>
      <c r="I567" s="139">
        <v>77</v>
      </c>
      <c r="J567" s="140">
        <v>62</v>
      </c>
      <c r="K567" s="141">
        <v>50</v>
      </c>
      <c r="L567" s="142">
        <v>42</v>
      </c>
      <c r="M567" s="143">
        <v>65</v>
      </c>
      <c r="N567" s="144">
        <v>358</v>
      </c>
      <c r="O567" s="145" t="s">
        <v>267</v>
      </c>
      <c r="P567" s="133" t="s">
        <v>99</v>
      </c>
      <c r="Q567" s="147">
        <v>15</v>
      </c>
      <c r="R567" s="131"/>
    </row>
    <row r="568" ht="24.95" customHeight="1" spans="1:18">
      <c r="A568" s="135" t="s">
        <v>4574</v>
      </c>
      <c r="B568" s="131" t="s">
        <v>4575</v>
      </c>
      <c r="C568" s="136" t="str">
        <f>VLOOKUP(A568,伤害计算器!$V$2:$Y$720,3,FALSE)</f>
        <v>ケンホロウ</v>
      </c>
      <c r="D568" s="136" t="str">
        <f>VLOOKUP(A568,伤害计算器!$V$2:$Y$720,4,FALSE)</f>
        <v>Unfezant</v>
      </c>
      <c r="E568" s="131" t="s">
        <v>3337</v>
      </c>
      <c r="F568" s="131" t="s">
        <v>3756</v>
      </c>
      <c r="G568" s="131" t="s">
        <v>3381</v>
      </c>
      <c r="H568" s="138">
        <v>80</v>
      </c>
      <c r="I568" s="139">
        <v>115</v>
      </c>
      <c r="J568" s="140">
        <v>80</v>
      </c>
      <c r="K568" s="141">
        <v>65</v>
      </c>
      <c r="L568" s="142">
        <v>55</v>
      </c>
      <c r="M568" s="143">
        <v>93</v>
      </c>
      <c r="N568" s="144">
        <v>488</v>
      </c>
      <c r="O568" s="145" t="s">
        <v>267</v>
      </c>
      <c r="P568" s="133" t="s">
        <v>99</v>
      </c>
      <c r="Q568" s="147">
        <v>29</v>
      </c>
      <c r="R568" s="131"/>
    </row>
    <row r="569" ht="24.95" customHeight="1" spans="1:18">
      <c r="A569" s="135" t="s">
        <v>4576</v>
      </c>
      <c r="B569" s="131" t="s">
        <v>4577</v>
      </c>
      <c r="C569" s="136" t="str">
        <f>VLOOKUP(A569,伤害计算器!$V$2:$Y$720,3,FALSE)</f>
        <v>シママ</v>
      </c>
      <c r="D569" s="136" t="str">
        <f>VLOOKUP(A569,伤害计算器!$V$2:$Y$720,4,FALSE)</f>
        <v>Blitzle</v>
      </c>
      <c r="E569" s="131" t="s">
        <v>562</v>
      </c>
      <c r="F569" s="131" t="s">
        <v>4578</v>
      </c>
      <c r="G569" s="131" t="s">
        <v>4579</v>
      </c>
      <c r="H569" s="138">
        <v>45</v>
      </c>
      <c r="I569" s="139">
        <v>60</v>
      </c>
      <c r="J569" s="140">
        <v>32</v>
      </c>
      <c r="K569" s="141">
        <v>50</v>
      </c>
      <c r="L569" s="142">
        <v>32</v>
      </c>
      <c r="M569" s="143">
        <v>76</v>
      </c>
      <c r="N569" s="144">
        <v>295</v>
      </c>
      <c r="O569" s="145" t="s">
        <v>268</v>
      </c>
      <c r="Q569" s="147">
        <v>29.8</v>
      </c>
      <c r="R569" s="131"/>
    </row>
    <row r="570" ht="24.95" customHeight="1" spans="1:18">
      <c r="A570" s="135" t="s">
        <v>4580</v>
      </c>
      <c r="B570" s="131" t="s">
        <v>4581</v>
      </c>
      <c r="C570" s="136" t="str">
        <f>VLOOKUP(A570,伤害计算器!$V$2:$Y$720,3,FALSE)</f>
        <v>ゼブライカ</v>
      </c>
      <c r="D570" s="136" t="str">
        <f>VLOOKUP(A570,伤害计算器!$V$2:$Y$720,4,FALSE)</f>
        <v>Zebstrika</v>
      </c>
      <c r="E570" s="131" t="s">
        <v>562</v>
      </c>
      <c r="F570" s="131" t="s">
        <v>572</v>
      </c>
      <c r="G570" s="131" t="s">
        <v>552</v>
      </c>
      <c r="H570" s="138">
        <v>75</v>
      </c>
      <c r="I570" s="139">
        <v>100</v>
      </c>
      <c r="J570" s="140">
        <v>63</v>
      </c>
      <c r="K570" s="141">
        <v>80</v>
      </c>
      <c r="L570" s="142">
        <v>63</v>
      </c>
      <c r="M570" s="143">
        <v>116</v>
      </c>
      <c r="N570" s="144">
        <v>497</v>
      </c>
      <c r="O570" s="145" t="s">
        <v>268</v>
      </c>
      <c r="Q570" s="147">
        <v>79.5</v>
      </c>
      <c r="R570" s="131"/>
    </row>
    <row r="571" ht="24.95" customHeight="1" spans="1:18">
      <c r="A571" s="135" t="s">
        <v>4582</v>
      </c>
      <c r="B571" s="131" t="s">
        <v>4583</v>
      </c>
      <c r="C571" s="136" t="str">
        <f>VLOOKUP(A571,伤害计算器!$V$2:$Y$720,3,FALSE)</f>
        <v>ダンゴロ</v>
      </c>
      <c r="D571" s="136" t="str">
        <f>VLOOKUP(A571,伤害计算器!$V$2:$Y$720,4,FALSE)</f>
        <v>Roggenrola</v>
      </c>
      <c r="E571" s="131" t="s">
        <v>3500</v>
      </c>
      <c r="F571" s="137"/>
      <c r="G571" s="131" t="s">
        <v>3438</v>
      </c>
      <c r="H571" s="138">
        <v>55</v>
      </c>
      <c r="I571" s="139">
        <v>75</v>
      </c>
      <c r="J571" s="140">
        <v>85</v>
      </c>
      <c r="K571" s="141">
        <v>25</v>
      </c>
      <c r="L571" s="142">
        <v>25</v>
      </c>
      <c r="M571" s="143">
        <v>15</v>
      </c>
      <c r="N571" s="144">
        <v>280</v>
      </c>
      <c r="O571" s="145" t="s">
        <v>252</v>
      </c>
      <c r="Q571" s="147">
        <v>18</v>
      </c>
      <c r="R571" s="131"/>
    </row>
    <row r="572" ht="24.95" customHeight="1" spans="1:18">
      <c r="A572" s="135" t="s">
        <v>4584</v>
      </c>
      <c r="B572" s="131" t="s">
        <v>4585</v>
      </c>
      <c r="C572" s="136" t="str">
        <f>VLOOKUP(A572,伤害计算器!$V$2:$Y$720,3,FALSE)</f>
        <v>ガントル</v>
      </c>
      <c r="D572" s="136" t="str">
        <f>VLOOKUP(A572,伤害计算器!$V$2:$Y$720,4,FALSE)</f>
        <v>Boldore</v>
      </c>
      <c r="E572" s="131" t="s">
        <v>3500</v>
      </c>
      <c r="F572" s="137"/>
      <c r="G572" s="131" t="s">
        <v>40</v>
      </c>
      <c r="H572" s="138">
        <v>70</v>
      </c>
      <c r="I572" s="139">
        <v>105</v>
      </c>
      <c r="J572" s="140">
        <v>105</v>
      </c>
      <c r="K572" s="141">
        <v>50</v>
      </c>
      <c r="L572" s="142">
        <v>40</v>
      </c>
      <c r="M572" s="143">
        <v>20</v>
      </c>
      <c r="N572" s="144">
        <v>390</v>
      </c>
      <c r="O572" s="145" t="s">
        <v>252</v>
      </c>
      <c r="Q572" s="147">
        <v>102</v>
      </c>
      <c r="R572" s="131"/>
    </row>
    <row r="573" ht="24.95" customHeight="1" spans="1:18">
      <c r="A573" s="135" t="s">
        <v>4586</v>
      </c>
      <c r="B573" s="131" t="s">
        <v>4587</v>
      </c>
      <c r="C573" s="136" t="str">
        <f>VLOOKUP(A573,伤害计算器!$V$2:$Y$720,3,FALSE)</f>
        <v>ギガイアス</v>
      </c>
      <c r="D573" s="136" t="str">
        <f>VLOOKUP(A573,伤害计算器!$V$2:$Y$720,4,FALSE)</f>
        <v>Gigalith</v>
      </c>
      <c r="E573" s="131" t="s">
        <v>3500</v>
      </c>
      <c r="F573" s="137"/>
      <c r="G573" s="131" t="s">
        <v>40</v>
      </c>
      <c r="H573" s="138">
        <v>85</v>
      </c>
      <c r="I573" s="139">
        <v>135</v>
      </c>
      <c r="J573" s="140">
        <v>130</v>
      </c>
      <c r="K573" s="141">
        <v>60</v>
      </c>
      <c r="L573" s="142">
        <v>80</v>
      </c>
      <c r="M573" s="143">
        <v>25</v>
      </c>
      <c r="N573" s="144">
        <v>515</v>
      </c>
      <c r="O573" s="145" t="s">
        <v>252</v>
      </c>
      <c r="Q573" s="147">
        <v>260</v>
      </c>
      <c r="R573" s="131"/>
    </row>
    <row r="574" ht="24.95" customHeight="1" spans="1:18">
      <c r="A574" s="135" t="s">
        <v>4588</v>
      </c>
      <c r="B574" s="131" t="s">
        <v>4589</v>
      </c>
      <c r="C574" s="136" t="str">
        <f>VLOOKUP(A574,伤害计算器!$V$2:$Y$720,3,FALSE)</f>
        <v>コロモリ</v>
      </c>
      <c r="D574" s="136" t="str">
        <f>VLOOKUP(A574,伤害计算器!$V$2:$Y$720,4,FALSE)</f>
        <v>Woobat</v>
      </c>
      <c r="E574" s="131" t="s">
        <v>3395</v>
      </c>
      <c r="F574" s="131" t="s">
        <v>4365</v>
      </c>
      <c r="G574" s="131" t="s">
        <v>4114</v>
      </c>
      <c r="H574" s="138">
        <v>55</v>
      </c>
      <c r="I574" s="139">
        <v>45</v>
      </c>
      <c r="J574" s="140">
        <v>43</v>
      </c>
      <c r="K574" s="141">
        <v>55</v>
      </c>
      <c r="L574" s="142">
        <v>43</v>
      </c>
      <c r="M574" s="143">
        <v>72</v>
      </c>
      <c r="N574" s="144">
        <v>313</v>
      </c>
      <c r="O574" s="145" t="s">
        <v>271</v>
      </c>
      <c r="P574" s="133" t="s">
        <v>99</v>
      </c>
      <c r="Q574" s="147">
        <v>2.1</v>
      </c>
      <c r="R574" s="131"/>
    </row>
    <row r="575" ht="24.95" customHeight="1" spans="1:18">
      <c r="A575" s="135" t="s">
        <v>4590</v>
      </c>
      <c r="B575" s="131" t="s">
        <v>4591</v>
      </c>
      <c r="C575" s="136" t="str">
        <f>VLOOKUP(A575,伤害计算器!$V$2:$Y$720,3,FALSE)</f>
        <v>ココロモリ</v>
      </c>
      <c r="D575" s="136" t="str">
        <f>VLOOKUP(A575,伤害计算器!$V$2:$Y$720,4,FALSE)</f>
        <v>Swoobat</v>
      </c>
      <c r="E575" s="131" t="s">
        <v>3395</v>
      </c>
      <c r="F575" s="131" t="s">
        <v>4365</v>
      </c>
      <c r="G575" s="131" t="s">
        <v>4114</v>
      </c>
      <c r="H575" s="138">
        <v>67</v>
      </c>
      <c r="I575" s="139">
        <v>57</v>
      </c>
      <c r="J575" s="140">
        <v>55</v>
      </c>
      <c r="K575" s="141">
        <v>77</v>
      </c>
      <c r="L575" s="142">
        <v>55</v>
      </c>
      <c r="M575" s="143">
        <v>114</v>
      </c>
      <c r="N575" s="144">
        <v>425</v>
      </c>
      <c r="O575" s="145" t="s">
        <v>271</v>
      </c>
      <c r="P575" s="133" t="s">
        <v>99</v>
      </c>
      <c r="Q575" s="147">
        <v>10.5</v>
      </c>
      <c r="R575" s="131"/>
    </row>
    <row r="576" ht="24.95" customHeight="1" spans="1:18">
      <c r="A576" s="135" t="s">
        <v>4592</v>
      </c>
      <c r="B576" s="131" t="s">
        <v>4593</v>
      </c>
      <c r="C576" s="136" t="str">
        <f>VLOOKUP(A576,伤害计算器!$V$2:$Y$720,3,FALSE)</f>
        <v>モグリュー</v>
      </c>
      <c r="D576" s="136" t="str">
        <f>VLOOKUP(A576,伤害计算器!$V$2:$Y$720,4,FALSE)</f>
        <v>Drilbur</v>
      </c>
      <c r="E576" s="131" t="s">
        <v>3368</v>
      </c>
      <c r="F576" s="131" t="s">
        <v>3438</v>
      </c>
      <c r="G576" s="131" t="s">
        <v>4594</v>
      </c>
      <c r="H576" s="138">
        <v>60</v>
      </c>
      <c r="I576" s="139">
        <v>85</v>
      </c>
      <c r="J576" s="140">
        <v>40</v>
      </c>
      <c r="K576" s="141">
        <v>30</v>
      </c>
      <c r="L576" s="142">
        <v>45</v>
      </c>
      <c r="M576" s="143">
        <v>68</v>
      </c>
      <c r="N576" s="144">
        <v>328</v>
      </c>
      <c r="O576" s="145" t="s">
        <v>237</v>
      </c>
      <c r="Q576" s="147">
        <v>8.5</v>
      </c>
      <c r="R576" s="131"/>
    </row>
    <row r="577" ht="24.95" customHeight="1" spans="1:18">
      <c r="A577" s="135" t="s">
        <v>4595</v>
      </c>
      <c r="B577" s="131" t="s">
        <v>4596</v>
      </c>
      <c r="C577" s="136" t="str">
        <f>VLOOKUP(A577,伤害计算器!$V$2:$Y$720,3,FALSE)</f>
        <v>ドリュウズ</v>
      </c>
      <c r="D577" s="136" t="str">
        <f>VLOOKUP(A577,伤害计算器!$V$2:$Y$720,4,FALSE)</f>
        <v>Excadrill</v>
      </c>
      <c r="E577" s="131" t="s">
        <v>3368</v>
      </c>
      <c r="F577" s="131" t="s">
        <v>40</v>
      </c>
      <c r="G577" s="131" t="s">
        <v>83</v>
      </c>
      <c r="H577" s="138">
        <v>110</v>
      </c>
      <c r="I577" s="139">
        <v>135</v>
      </c>
      <c r="J577" s="140">
        <v>60</v>
      </c>
      <c r="K577" s="141">
        <v>50</v>
      </c>
      <c r="L577" s="142">
        <v>65</v>
      </c>
      <c r="M577" s="143">
        <v>88</v>
      </c>
      <c r="N577" s="144">
        <v>508</v>
      </c>
      <c r="O577" s="145" t="s">
        <v>237</v>
      </c>
      <c r="P577" s="133" t="s">
        <v>276</v>
      </c>
      <c r="Q577" s="147">
        <v>40.4</v>
      </c>
      <c r="R577" s="131"/>
    </row>
    <row r="578" ht="24.95" customHeight="1" spans="1:18">
      <c r="A578" s="135" t="s">
        <v>4597</v>
      </c>
      <c r="B578" s="131" t="s">
        <v>4598</v>
      </c>
      <c r="C578" s="136" t="str">
        <f>VLOOKUP(A578,伤害计算器!$V$2:$Y$720,3,FALSE)</f>
        <v>タブンネ</v>
      </c>
      <c r="D578" s="136" t="str">
        <f>VLOOKUP(A578,伤害计算器!$V$2:$Y$720,4,FALSE)</f>
        <v>Audino</v>
      </c>
      <c r="E578" s="131" t="s">
        <v>3606</v>
      </c>
      <c r="F578" s="131" t="s">
        <v>3515</v>
      </c>
      <c r="G578" s="131" t="s">
        <v>4361</v>
      </c>
      <c r="H578" s="138">
        <v>103</v>
      </c>
      <c r="I578" s="139">
        <v>60</v>
      </c>
      <c r="J578" s="140">
        <v>86</v>
      </c>
      <c r="K578" s="141">
        <v>60</v>
      </c>
      <c r="L578" s="142">
        <v>86</v>
      </c>
      <c r="M578" s="143">
        <v>50</v>
      </c>
      <c r="N578" s="144">
        <v>445</v>
      </c>
      <c r="O578" s="145" t="s">
        <v>267</v>
      </c>
      <c r="Q578" s="147">
        <v>31</v>
      </c>
      <c r="R578" s="131"/>
    </row>
    <row r="579" ht="24.95" customHeight="1" spans="1:18">
      <c r="A579" s="135" t="s">
        <v>4597</v>
      </c>
      <c r="B579" s="147" t="s">
        <v>4599</v>
      </c>
      <c r="C579" s="136" t="str">
        <f>VLOOKUP(A579,伤害计算器!$V$2:$Y$720,3,FALSE)</f>
        <v>タブンネ</v>
      </c>
      <c r="D579" s="136" t="str">
        <f>VLOOKUP(A579,伤害计算器!$V$2:$Y$720,4,FALSE)</f>
        <v>Audino</v>
      </c>
      <c r="E579" s="131" t="s">
        <v>3606</v>
      </c>
      <c r="F579" s="136"/>
      <c r="G579" s="136"/>
      <c r="H579" s="138">
        <v>103</v>
      </c>
      <c r="I579" s="139">
        <v>60</v>
      </c>
      <c r="J579" s="140">
        <v>126</v>
      </c>
      <c r="K579" s="141">
        <v>80</v>
      </c>
      <c r="L579" s="142">
        <v>126</v>
      </c>
      <c r="M579" s="143">
        <v>50</v>
      </c>
      <c r="N579" s="144">
        <v>545</v>
      </c>
      <c r="O579" s="145" t="s">
        <v>267</v>
      </c>
      <c r="P579" s="133" t="s">
        <v>98</v>
      </c>
      <c r="Q579" s="147">
        <v>32</v>
      </c>
      <c r="R579" s="131"/>
    </row>
    <row r="580" ht="24.95" customHeight="1" spans="1:18">
      <c r="A580" s="135" t="s">
        <v>4600</v>
      </c>
      <c r="B580" s="131" t="s">
        <v>4601</v>
      </c>
      <c r="C580" s="136" t="str">
        <f>VLOOKUP(A580,伤害计算器!$V$2:$Y$720,3,FALSE)</f>
        <v>ドッコラー</v>
      </c>
      <c r="D580" s="136" t="str">
        <f>VLOOKUP(A580,伤害计算器!$V$2:$Y$720,4,FALSE)</f>
        <v>Timburr</v>
      </c>
      <c r="E580" s="131" t="s">
        <v>57</v>
      </c>
      <c r="F580" s="131" t="s">
        <v>41</v>
      </c>
      <c r="G580" s="131" t="s">
        <v>39</v>
      </c>
      <c r="H580" s="138">
        <v>75</v>
      </c>
      <c r="I580" s="139">
        <v>80</v>
      </c>
      <c r="J580" s="140">
        <v>55</v>
      </c>
      <c r="K580" s="141">
        <v>25</v>
      </c>
      <c r="L580" s="142">
        <v>35</v>
      </c>
      <c r="M580" s="143">
        <v>35</v>
      </c>
      <c r="N580" s="144">
        <v>305</v>
      </c>
      <c r="O580" s="145" t="s">
        <v>269</v>
      </c>
      <c r="Q580" s="147">
        <v>32</v>
      </c>
      <c r="R580" s="131"/>
    </row>
    <row r="581" ht="24.95" customHeight="1" spans="1:18">
      <c r="A581" s="135" t="s">
        <v>4602</v>
      </c>
      <c r="B581" s="131" t="s">
        <v>4603</v>
      </c>
      <c r="C581" s="136" t="str">
        <f>VLOOKUP(A581,伤害计算器!$V$2:$Y$720,3,FALSE)</f>
        <v>ドテッコツ</v>
      </c>
      <c r="D581" s="136" t="str">
        <f>VLOOKUP(A581,伤害计算器!$V$2:$Y$720,4,FALSE)</f>
        <v>Gurdurr</v>
      </c>
      <c r="E581" s="131" t="s">
        <v>57</v>
      </c>
      <c r="F581" s="131" t="s">
        <v>41</v>
      </c>
      <c r="G581" s="131" t="s">
        <v>39</v>
      </c>
      <c r="H581" s="138">
        <v>85</v>
      </c>
      <c r="I581" s="139">
        <v>105</v>
      </c>
      <c r="J581" s="140">
        <v>85</v>
      </c>
      <c r="K581" s="141">
        <v>40</v>
      </c>
      <c r="L581" s="142">
        <v>50</v>
      </c>
      <c r="M581" s="143">
        <v>40</v>
      </c>
      <c r="N581" s="144">
        <v>405</v>
      </c>
      <c r="O581" s="145" t="s">
        <v>269</v>
      </c>
      <c r="Q581" s="147">
        <v>12.5</v>
      </c>
      <c r="R581" s="131"/>
    </row>
    <row r="582" ht="24.95" customHeight="1" spans="1:18">
      <c r="A582" s="135" t="s">
        <v>4604</v>
      </c>
      <c r="B582" s="131" t="s">
        <v>4605</v>
      </c>
      <c r="C582" s="136" t="str">
        <f>VLOOKUP(A582,伤害计算器!$V$2:$Y$720,3,FALSE)</f>
        <v>ローブシン</v>
      </c>
      <c r="D582" s="136" t="str">
        <f>VLOOKUP(A582,伤害计算器!$V$2:$Y$720,4,FALSE)</f>
        <v>Conkeldurr</v>
      </c>
      <c r="E582" s="131" t="s">
        <v>57</v>
      </c>
      <c r="F582" s="131" t="s">
        <v>41</v>
      </c>
      <c r="G582" s="131" t="s">
        <v>39</v>
      </c>
      <c r="H582" s="138">
        <v>105</v>
      </c>
      <c r="I582" s="139">
        <v>140</v>
      </c>
      <c r="J582" s="140">
        <v>95</v>
      </c>
      <c r="K582" s="141">
        <v>55</v>
      </c>
      <c r="L582" s="142">
        <v>65</v>
      </c>
      <c r="M582" s="143">
        <v>45</v>
      </c>
      <c r="N582" s="144">
        <v>505</v>
      </c>
      <c r="O582" s="145" t="s">
        <v>269</v>
      </c>
      <c r="Q582" s="147">
        <v>40</v>
      </c>
      <c r="R582" s="131"/>
    </row>
    <row r="583" ht="24.95" customHeight="1" spans="1:18">
      <c r="A583" s="135" t="s">
        <v>4606</v>
      </c>
      <c r="B583" s="131" t="s">
        <v>4607</v>
      </c>
      <c r="C583" s="136" t="str">
        <f>VLOOKUP(A583,伤害计算器!$V$2:$Y$720,3,FALSE)</f>
        <v>オタマロ</v>
      </c>
      <c r="D583" s="136" t="str">
        <f>VLOOKUP(A583,伤害计算器!$V$2:$Y$720,4,FALSE)</f>
        <v>Tympole</v>
      </c>
      <c r="E583" s="131" t="s">
        <v>3448</v>
      </c>
      <c r="F583" s="131" t="s">
        <v>3659</v>
      </c>
      <c r="G583" s="131" t="s">
        <v>3658</v>
      </c>
      <c r="H583" s="138">
        <v>50</v>
      </c>
      <c r="I583" s="139">
        <v>50</v>
      </c>
      <c r="J583" s="140">
        <v>40</v>
      </c>
      <c r="K583" s="141">
        <v>50</v>
      </c>
      <c r="L583" s="142">
        <v>40</v>
      </c>
      <c r="M583" s="143">
        <v>64</v>
      </c>
      <c r="N583" s="144">
        <v>294</v>
      </c>
      <c r="O583" s="145" t="s">
        <v>251</v>
      </c>
      <c r="Q583" s="147">
        <v>87</v>
      </c>
      <c r="R583" s="131"/>
    </row>
    <row r="584" ht="24.95" customHeight="1" spans="1:18">
      <c r="A584" s="135" t="s">
        <v>4608</v>
      </c>
      <c r="B584" s="131" t="s">
        <v>4609</v>
      </c>
      <c r="C584" s="136" t="str">
        <f>VLOOKUP(A584,伤害计算器!$V$2:$Y$720,3,FALSE)</f>
        <v>ガマガル</v>
      </c>
      <c r="D584" s="136" t="str">
        <f>VLOOKUP(A584,伤害计算器!$V$2:$Y$720,4,FALSE)</f>
        <v>Palpitoad</v>
      </c>
      <c r="E584" s="131" t="s">
        <v>3448</v>
      </c>
      <c r="F584" s="131" t="s">
        <v>3532</v>
      </c>
      <c r="G584" s="131" t="s">
        <v>533</v>
      </c>
      <c r="H584" s="138">
        <v>75</v>
      </c>
      <c r="I584" s="139">
        <v>65</v>
      </c>
      <c r="J584" s="140">
        <v>55</v>
      </c>
      <c r="K584" s="141">
        <v>65</v>
      </c>
      <c r="L584" s="142">
        <v>55</v>
      </c>
      <c r="M584" s="143">
        <v>69</v>
      </c>
      <c r="N584" s="144">
        <v>384</v>
      </c>
      <c r="O584" s="145" t="s">
        <v>251</v>
      </c>
      <c r="P584" s="133" t="s">
        <v>237</v>
      </c>
      <c r="Q584" s="147">
        <v>4.5</v>
      </c>
      <c r="R584" s="131"/>
    </row>
    <row r="585" ht="24.95" customHeight="1" spans="1:18">
      <c r="A585" s="135" t="s">
        <v>4610</v>
      </c>
      <c r="B585" s="131" t="s">
        <v>4611</v>
      </c>
      <c r="C585" s="136" t="str">
        <f>VLOOKUP(A585,伤害计算器!$V$2:$Y$720,3,FALSE)</f>
        <v>ガマゲロゲ</v>
      </c>
      <c r="D585" s="136" t="str">
        <f>VLOOKUP(A585,伤害计算器!$V$2:$Y$720,4,FALSE)</f>
        <v>Seismitoad</v>
      </c>
      <c r="E585" s="131" t="s">
        <v>3448</v>
      </c>
      <c r="F585" s="131" t="s">
        <v>3539</v>
      </c>
      <c r="G585" s="131" t="s">
        <v>533</v>
      </c>
      <c r="H585" s="138">
        <v>105</v>
      </c>
      <c r="I585" s="139">
        <v>95</v>
      </c>
      <c r="J585" s="140">
        <v>75</v>
      </c>
      <c r="K585" s="141">
        <v>85</v>
      </c>
      <c r="L585" s="142">
        <v>75</v>
      </c>
      <c r="M585" s="143">
        <v>74</v>
      </c>
      <c r="N585" s="144">
        <v>509</v>
      </c>
      <c r="O585" s="145" t="s">
        <v>251</v>
      </c>
      <c r="P585" s="133" t="s">
        <v>237</v>
      </c>
      <c r="Q585" s="147">
        <v>17</v>
      </c>
      <c r="R585" s="131"/>
    </row>
    <row r="586" ht="24.95" customHeight="1" spans="1:18">
      <c r="A586" s="135" t="s">
        <v>4612</v>
      </c>
      <c r="B586" s="131" t="s">
        <v>4613</v>
      </c>
      <c r="C586" s="136" t="str">
        <f>VLOOKUP(A586,伤害计算器!$V$2:$Y$720,3,FALSE)</f>
        <v>ナゲキ</v>
      </c>
      <c r="D586" s="136" t="str">
        <f>VLOOKUP(A586,伤害计算器!$V$2:$Y$720,4,FALSE)</f>
        <v>Throh</v>
      </c>
      <c r="E586" s="131" t="s">
        <v>57</v>
      </c>
      <c r="F586" s="131" t="s">
        <v>3563</v>
      </c>
      <c r="G586" s="131" t="s">
        <v>4594</v>
      </c>
      <c r="H586" s="138">
        <v>120</v>
      </c>
      <c r="I586" s="139">
        <v>100</v>
      </c>
      <c r="J586" s="140">
        <v>85</v>
      </c>
      <c r="K586" s="141">
        <v>30</v>
      </c>
      <c r="L586" s="142">
        <v>85</v>
      </c>
      <c r="M586" s="143">
        <v>45</v>
      </c>
      <c r="N586" s="144">
        <v>465</v>
      </c>
      <c r="O586" s="145" t="s">
        <v>269</v>
      </c>
      <c r="Q586" s="147">
        <v>62</v>
      </c>
      <c r="R586" s="131"/>
    </row>
    <row r="587" ht="24.95" customHeight="1" spans="1:18">
      <c r="A587" s="135" t="s">
        <v>4614</v>
      </c>
      <c r="B587" s="131" t="s">
        <v>4615</v>
      </c>
      <c r="C587" s="136" t="str">
        <f>VLOOKUP(A587,伤害计算器!$V$2:$Y$720,3,FALSE)</f>
        <v>ダゲキ</v>
      </c>
      <c r="D587" s="136" t="str">
        <f>VLOOKUP(A587,伤害计算器!$V$2:$Y$720,4,FALSE)</f>
        <v>Sawk</v>
      </c>
      <c r="E587" s="131" t="s">
        <v>3500</v>
      </c>
      <c r="F587" s="131" t="s">
        <v>3409</v>
      </c>
      <c r="G587" s="131" t="s">
        <v>83</v>
      </c>
      <c r="H587" s="138">
        <v>75</v>
      </c>
      <c r="I587" s="139">
        <v>125</v>
      </c>
      <c r="J587" s="140">
        <v>75</v>
      </c>
      <c r="K587" s="141">
        <v>30</v>
      </c>
      <c r="L587" s="142">
        <v>75</v>
      </c>
      <c r="M587" s="143">
        <v>85</v>
      </c>
      <c r="N587" s="144">
        <v>465</v>
      </c>
      <c r="O587" s="145" t="s">
        <v>269</v>
      </c>
      <c r="Q587" s="147">
        <v>55.5</v>
      </c>
      <c r="R587" s="131"/>
    </row>
    <row r="588" ht="24.95" customHeight="1" spans="1:18">
      <c r="A588" s="135" t="s">
        <v>4616</v>
      </c>
      <c r="B588" s="131" t="s">
        <v>4617</v>
      </c>
      <c r="C588" s="136" t="str">
        <f>VLOOKUP(A588,伤害计算器!$V$2:$Y$720,3,FALSE)</f>
        <v>クルミル</v>
      </c>
      <c r="D588" s="136" t="str">
        <f>VLOOKUP(A588,伤害计算器!$V$2:$Y$720,4,FALSE)</f>
        <v>Sewaddle</v>
      </c>
      <c r="E588" s="131" t="s">
        <v>3333</v>
      </c>
      <c r="F588" s="131" t="s">
        <v>3296</v>
      </c>
      <c r="G588" s="131" t="s">
        <v>3546</v>
      </c>
      <c r="H588" s="138">
        <v>45</v>
      </c>
      <c r="I588" s="139">
        <v>53</v>
      </c>
      <c r="J588" s="140">
        <v>70</v>
      </c>
      <c r="K588" s="141">
        <v>40</v>
      </c>
      <c r="L588" s="142">
        <v>60</v>
      </c>
      <c r="M588" s="143">
        <v>42</v>
      </c>
      <c r="N588" s="144">
        <v>310</v>
      </c>
      <c r="O588" s="145" t="s">
        <v>272</v>
      </c>
      <c r="P588" s="133" t="s">
        <v>235</v>
      </c>
      <c r="Q588" s="147">
        <v>51</v>
      </c>
      <c r="R588" s="131"/>
    </row>
    <row r="589" ht="24.95" customHeight="1" spans="1:18">
      <c r="A589" s="135" t="s">
        <v>4618</v>
      </c>
      <c r="B589" s="131" t="s">
        <v>4619</v>
      </c>
      <c r="C589" s="136" t="str">
        <f>VLOOKUP(A589,伤害计算器!$V$2:$Y$720,3,FALSE)</f>
        <v>クルマユ</v>
      </c>
      <c r="D589" s="136" t="str">
        <f>VLOOKUP(A589,伤害计算器!$V$2:$Y$720,4,FALSE)</f>
        <v>Swadloon</v>
      </c>
      <c r="E589" s="131" t="s">
        <v>3609</v>
      </c>
      <c r="F589" s="131" t="s">
        <v>3296</v>
      </c>
      <c r="G589" s="131" t="s">
        <v>3546</v>
      </c>
      <c r="H589" s="138">
        <v>55</v>
      </c>
      <c r="I589" s="139">
        <v>63</v>
      </c>
      <c r="J589" s="140">
        <v>90</v>
      </c>
      <c r="K589" s="141">
        <v>50</v>
      </c>
      <c r="L589" s="142">
        <v>80</v>
      </c>
      <c r="M589" s="143">
        <v>42</v>
      </c>
      <c r="N589" s="144">
        <v>380</v>
      </c>
      <c r="O589" s="145" t="s">
        <v>272</v>
      </c>
      <c r="P589" s="133" t="s">
        <v>235</v>
      </c>
      <c r="Q589" s="147">
        <v>2.5</v>
      </c>
      <c r="R589" s="131"/>
    </row>
    <row r="590" ht="24.95" customHeight="1" spans="1:18">
      <c r="A590" s="135" t="s">
        <v>4620</v>
      </c>
      <c r="B590" s="131" t="s">
        <v>4621</v>
      </c>
      <c r="C590" s="136" t="str">
        <f>VLOOKUP(A590,伤害计算器!$V$2:$Y$720,3,FALSE)</f>
        <v>ハハコモリ</v>
      </c>
      <c r="D590" s="136" t="str">
        <f>VLOOKUP(A590,伤害计算器!$V$2:$Y$720,4,FALSE)</f>
        <v>Leavanny</v>
      </c>
      <c r="E590" s="131" t="s">
        <v>3333</v>
      </c>
      <c r="F590" s="131" t="s">
        <v>3296</v>
      </c>
      <c r="G590" s="131" t="s">
        <v>3546</v>
      </c>
      <c r="H590" s="138">
        <v>75</v>
      </c>
      <c r="I590" s="139">
        <v>103</v>
      </c>
      <c r="J590" s="140">
        <v>80</v>
      </c>
      <c r="K590" s="141">
        <v>70</v>
      </c>
      <c r="L590" s="142">
        <v>80</v>
      </c>
      <c r="M590" s="143">
        <v>92</v>
      </c>
      <c r="N590" s="144">
        <v>500</v>
      </c>
      <c r="O590" s="145" t="s">
        <v>272</v>
      </c>
      <c r="P590" s="133" t="s">
        <v>235</v>
      </c>
      <c r="Q590" s="147">
        <v>7.3</v>
      </c>
      <c r="R590" s="131"/>
    </row>
    <row r="591" ht="24.95" customHeight="1" spans="1:18">
      <c r="A591" s="135" t="s">
        <v>4622</v>
      </c>
      <c r="B591" s="131" t="s">
        <v>4623</v>
      </c>
      <c r="C591" s="136" t="str">
        <f>VLOOKUP(A591,伤害计算器!$V$2:$Y$720,3,FALSE)</f>
        <v>フシデ</v>
      </c>
      <c r="D591" s="136" t="str">
        <f>VLOOKUP(A591,伤害计算器!$V$2:$Y$720,4,FALSE)</f>
        <v>Venipede</v>
      </c>
      <c r="E591" s="131" t="s">
        <v>3373</v>
      </c>
      <c r="F591" s="131" t="s">
        <v>3333</v>
      </c>
      <c r="G591" s="131" t="s">
        <v>3800</v>
      </c>
      <c r="H591" s="138">
        <v>30</v>
      </c>
      <c r="I591" s="139">
        <v>45</v>
      </c>
      <c r="J591" s="140">
        <v>59</v>
      </c>
      <c r="K591" s="141">
        <v>30</v>
      </c>
      <c r="L591" s="142">
        <v>39</v>
      </c>
      <c r="M591" s="143">
        <v>57</v>
      </c>
      <c r="N591" s="144">
        <v>260</v>
      </c>
      <c r="O591" s="145" t="s">
        <v>272</v>
      </c>
      <c r="P591" s="133" t="s">
        <v>270</v>
      </c>
      <c r="Q591" s="147">
        <v>20.5</v>
      </c>
      <c r="R591" s="131"/>
    </row>
    <row r="592" ht="24.95" customHeight="1" spans="1:18">
      <c r="A592" s="135" t="s">
        <v>4624</v>
      </c>
      <c r="B592" s="131" t="s">
        <v>4625</v>
      </c>
      <c r="C592" s="136" t="str">
        <f>VLOOKUP(A592,伤害计算器!$V$2:$Y$720,3,FALSE)</f>
        <v>ホイーガ</v>
      </c>
      <c r="D592" s="136" t="str">
        <f>VLOOKUP(A592,伤害计算器!$V$2:$Y$720,4,FALSE)</f>
        <v>Whirlipede</v>
      </c>
      <c r="E592" s="131" t="s">
        <v>3373</v>
      </c>
      <c r="F592" s="131" t="s">
        <v>3333</v>
      </c>
      <c r="G592" s="131" t="s">
        <v>3800</v>
      </c>
      <c r="H592" s="138">
        <v>40</v>
      </c>
      <c r="I592" s="139">
        <v>55</v>
      </c>
      <c r="J592" s="140">
        <v>99</v>
      </c>
      <c r="K592" s="141">
        <v>40</v>
      </c>
      <c r="L592" s="142">
        <v>79</v>
      </c>
      <c r="M592" s="143">
        <v>47</v>
      </c>
      <c r="N592" s="144">
        <v>360</v>
      </c>
      <c r="O592" s="145" t="s">
        <v>272</v>
      </c>
      <c r="P592" s="133" t="s">
        <v>270</v>
      </c>
      <c r="Q592" s="147">
        <v>5.3</v>
      </c>
      <c r="R592" s="131"/>
    </row>
    <row r="593" ht="24.95" customHeight="1" spans="1:18">
      <c r="A593" s="135" t="s">
        <v>4626</v>
      </c>
      <c r="B593" s="131" t="s">
        <v>4627</v>
      </c>
      <c r="C593" s="136" t="str">
        <f>VLOOKUP(A593,伤害计算器!$V$2:$Y$720,3,FALSE)</f>
        <v>ペンドラー</v>
      </c>
      <c r="D593" s="136" t="str">
        <f>VLOOKUP(A593,伤害计算器!$V$2:$Y$720,4,FALSE)</f>
        <v>Scolipede</v>
      </c>
      <c r="E593" s="131" t="s">
        <v>3373</v>
      </c>
      <c r="F593" s="131" t="s">
        <v>3333</v>
      </c>
      <c r="G593" s="131" t="s">
        <v>3800</v>
      </c>
      <c r="H593" s="138">
        <v>60</v>
      </c>
      <c r="I593" s="139">
        <v>100</v>
      </c>
      <c r="J593" s="140">
        <v>89</v>
      </c>
      <c r="K593" s="141">
        <v>55</v>
      </c>
      <c r="L593" s="142">
        <v>69</v>
      </c>
      <c r="M593" s="143">
        <v>112</v>
      </c>
      <c r="N593" s="144">
        <v>485</v>
      </c>
      <c r="O593" s="145" t="s">
        <v>272</v>
      </c>
      <c r="P593" s="133" t="s">
        <v>270</v>
      </c>
      <c r="Q593" s="147">
        <v>58.5</v>
      </c>
      <c r="R593" s="131"/>
    </row>
    <row r="594" ht="24.95" customHeight="1" spans="1:18">
      <c r="A594" s="135" t="s">
        <v>4628</v>
      </c>
      <c r="B594" s="131" t="s">
        <v>4629</v>
      </c>
      <c r="C594" s="136" t="str">
        <f>VLOOKUP(A594,伤害计算器!$V$2:$Y$720,3,FALSE)</f>
        <v>モンメン</v>
      </c>
      <c r="D594" s="136" t="str">
        <f>VLOOKUP(A594,伤害计算器!$V$2:$Y$720,4,FALSE)</f>
        <v>Cottonee</v>
      </c>
      <c r="E594" s="131" t="s">
        <v>3812</v>
      </c>
      <c r="F594" s="131" t="s">
        <v>3410</v>
      </c>
      <c r="G594" s="131" t="s">
        <v>3296</v>
      </c>
      <c r="H594" s="138">
        <v>40</v>
      </c>
      <c r="I594" s="139">
        <v>27</v>
      </c>
      <c r="J594" s="140">
        <v>60</v>
      </c>
      <c r="K594" s="141">
        <v>37</v>
      </c>
      <c r="L594" s="142">
        <v>50</v>
      </c>
      <c r="M594" s="143">
        <v>66</v>
      </c>
      <c r="N594" s="144">
        <v>280</v>
      </c>
      <c r="O594" s="145" t="s">
        <v>235</v>
      </c>
      <c r="P594" s="133" t="s">
        <v>98</v>
      </c>
      <c r="Q594" s="147">
        <v>200.5</v>
      </c>
      <c r="R594" s="131"/>
    </row>
    <row r="595" ht="24.95" customHeight="1" spans="1:18">
      <c r="A595" s="135" t="s">
        <v>4630</v>
      </c>
      <c r="B595" s="131" t="s">
        <v>4631</v>
      </c>
      <c r="C595" s="136" t="str">
        <f>VLOOKUP(A595,伤害计算器!$V$2:$Y$720,3,FALSE)</f>
        <v>エルフーン</v>
      </c>
      <c r="D595" s="136" t="str">
        <f>VLOOKUP(A595,伤害计算器!$V$2:$Y$720,4,FALSE)</f>
        <v>Whimsicott</v>
      </c>
      <c r="E595" s="131" t="s">
        <v>3812</v>
      </c>
      <c r="F595" s="131" t="s">
        <v>3410</v>
      </c>
      <c r="G595" s="131" t="s">
        <v>3296</v>
      </c>
      <c r="H595" s="138">
        <v>60</v>
      </c>
      <c r="I595" s="139">
        <v>67</v>
      </c>
      <c r="J595" s="140">
        <v>85</v>
      </c>
      <c r="K595" s="141">
        <v>77</v>
      </c>
      <c r="L595" s="142">
        <v>75</v>
      </c>
      <c r="M595" s="143">
        <v>116</v>
      </c>
      <c r="N595" s="144">
        <v>480</v>
      </c>
      <c r="O595" s="145" t="s">
        <v>235</v>
      </c>
      <c r="P595" s="133" t="s">
        <v>98</v>
      </c>
      <c r="Q595" s="147">
        <v>0.6</v>
      </c>
      <c r="R595" s="131"/>
    </row>
    <row r="596" ht="24.95" customHeight="1" spans="1:18">
      <c r="A596" s="135" t="s">
        <v>4632</v>
      </c>
      <c r="B596" s="131" t="s">
        <v>4633</v>
      </c>
      <c r="C596" s="136" t="str">
        <f>VLOOKUP(A596,伤害计算器!$V$2:$Y$720,3,FALSE)</f>
        <v>チュリネ</v>
      </c>
      <c r="D596" s="136" t="str">
        <f>VLOOKUP(A596,伤害计算器!$V$2:$Y$720,4,FALSE)</f>
        <v>Petilil</v>
      </c>
      <c r="E596" s="131" t="s">
        <v>3296</v>
      </c>
      <c r="F596" s="131" t="s">
        <v>4373</v>
      </c>
      <c r="G596" s="131" t="s">
        <v>4634</v>
      </c>
      <c r="H596" s="138">
        <v>45</v>
      </c>
      <c r="I596" s="139">
        <v>35</v>
      </c>
      <c r="J596" s="140">
        <v>50</v>
      </c>
      <c r="K596" s="141">
        <v>70</v>
      </c>
      <c r="L596" s="142">
        <v>50</v>
      </c>
      <c r="M596" s="143">
        <v>30</v>
      </c>
      <c r="N596" s="144">
        <v>280</v>
      </c>
      <c r="O596" s="145" t="s">
        <v>235</v>
      </c>
      <c r="Q596" s="147">
        <v>6.6</v>
      </c>
      <c r="R596" s="131"/>
    </row>
    <row r="597" ht="24.95" customHeight="1" spans="1:18">
      <c r="A597" s="135" t="s">
        <v>4635</v>
      </c>
      <c r="B597" s="131" t="s">
        <v>4636</v>
      </c>
      <c r="C597" s="136" t="str">
        <f>VLOOKUP(A597,伤害计算器!$V$2:$Y$720,3,FALSE)</f>
        <v>ドレディア</v>
      </c>
      <c r="D597" s="136" t="str">
        <f>VLOOKUP(A597,伤害计算器!$V$2:$Y$720,4,FALSE)</f>
        <v>Lilligant</v>
      </c>
      <c r="E597" s="131" t="s">
        <v>3296</v>
      </c>
      <c r="F597" s="131" t="s">
        <v>4373</v>
      </c>
      <c r="G597" s="131" t="s">
        <v>4634</v>
      </c>
      <c r="H597" s="138">
        <v>70</v>
      </c>
      <c r="I597" s="139">
        <v>60</v>
      </c>
      <c r="J597" s="140">
        <v>75</v>
      </c>
      <c r="K597" s="141">
        <v>110</v>
      </c>
      <c r="L597" s="142">
        <v>75</v>
      </c>
      <c r="M597" s="143">
        <v>90</v>
      </c>
      <c r="N597" s="144">
        <v>480</v>
      </c>
      <c r="O597" s="145" t="s">
        <v>235</v>
      </c>
      <c r="Q597" s="147">
        <v>6.6</v>
      </c>
      <c r="R597" s="131"/>
    </row>
    <row r="598" ht="24.95" customHeight="1" spans="1:18">
      <c r="A598" s="135" t="s">
        <v>4637</v>
      </c>
      <c r="B598" s="131" t="s">
        <v>4638</v>
      </c>
      <c r="C598" s="136" t="str">
        <f>VLOOKUP(A598,伤害计算器!$V$2:$Y$720,3,FALSE)</f>
        <v>バスラオ</v>
      </c>
      <c r="D598" s="136" t="str">
        <f>VLOOKUP(A598,伤害计算器!$V$2:$Y$720,4,FALSE)</f>
        <v>Basculin</v>
      </c>
      <c r="E598" s="131" t="s">
        <v>38</v>
      </c>
      <c r="F598" s="131" t="s">
        <v>63</v>
      </c>
      <c r="G598" s="131" t="s">
        <v>83</v>
      </c>
      <c r="H598" s="138">
        <v>70</v>
      </c>
      <c r="I598" s="139">
        <v>92</v>
      </c>
      <c r="J598" s="140">
        <v>65</v>
      </c>
      <c r="K598" s="141">
        <v>80</v>
      </c>
      <c r="L598" s="142">
        <v>55</v>
      </c>
      <c r="M598" s="143">
        <v>98</v>
      </c>
      <c r="N598" s="144">
        <v>460</v>
      </c>
      <c r="O598" s="145" t="s">
        <v>251</v>
      </c>
      <c r="Q598" s="147">
        <v>16.3</v>
      </c>
      <c r="R598" s="131"/>
    </row>
    <row r="599" ht="24.95" customHeight="1" spans="1:18">
      <c r="A599" s="135" t="s">
        <v>4637</v>
      </c>
      <c r="B599" s="131" t="s">
        <v>4639</v>
      </c>
      <c r="C599" s="136" t="str">
        <f>VLOOKUP(A599,伤害计算器!$V$2:$Y$720,3,FALSE)</f>
        <v>バスラオ</v>
      </c>
      <c r="D599" s="136" t="str">
        <f>VLOOKUP(A599,伤害计算器!$V$2:$Y$720,4,FALSE)</f>
        <v>Basculin</v>
      </c>
      <c r="E599" s="131" t="s">
        <v>3499</v>
      </c>
      <c r="F599" s="131" t="s">
        <v>63</v>
      </c>
      <c r="G599" s="131" t="s">
        <v>83</v>
      </c>
      <c r="H599" s="138">
        <v>70</v>
      </c>
      <c r="I599" s="139">
        <v>92</v>
      </c>
      <c r="J599" s="140">
        <v>65</v>
      </c>
      <c r="K599" s="141">
        <v>80</v>
      </c>
      <c r="L599" s="142">
        <v>55</v>
      </c>
      <c r="M599" s="143">
        <v>98</v>
      </c>
      <c r="N599" s="144">
        <v>460</v>
      </c>
      <c r="O599" s="145" t="s">
        <v>251</v>
      </c>
      <c r="Q599" s="147">
        <v>18</v>
      </c>
      <c r="R599" s="131"/>
    </row>
    <row r="600" ht="24.95" customHeight="1" spans="1:18">
      <c r="A600" s="135" t="s">
        <v>4640</v>
      </c>
      <c r="B600" s="131" t="s">
        <v>4641</v>
      </c>
      <c r="C600" s="136" t="str">
        <f>VLOOKUP(A600,伤害计算器!$V$2:$Y$720,3,FALSE)</f>
        <v>メグロコ</v>
      </c>
      <c r="D600" s="136" t="str">
        <f>VLOOKUP(A600,伤害计算器!$V$2:$Y$720,4,FALSE)</f>
        <v>Sandile</v>
      </c>
      <c r="E600" s="131" t="s">
        <v>3354</v>
      </c>
      <c r="F600" s="131" t="s">
        <v>3640</v>
      </c>
      <c r="G600" s="131" t="s">
        <v>3454</v>
      </c>
      <c r="H600" s="138">
        <v>50</v>
      </c>
      <c r="I600" s="139">
        <v>72</v>
      </c>
      <c r="J600" s="140">
        <v>35</v>
      </c>
      <c r="K600" s="141">
        <v>35</v>
      </c>
      <c r="L600" s="142">
        <v>35</v>
      </c>
      <c r="M600" s="143">
        <v>65</v>
      </c>
      <c r="N600" s="144">
        <v>292</v>
      </c>
      <c r="O600" s="145" t="s">
        <v>237</v>
      </c>
      <c r="P600" s="133" t="s">
        <v>275</v>
      </c>
      <c r="Q600" s="147">
        <v>15.2</v>
      </c>
      <c r="R600" s="131"/>
    </row>
    <row r="601" ht="24.95" customHeight="1" spans="1:18">
      <c r="A601" s="135" t="s">
        <v>4642</v>
      </c>
      <c r="B601" s="131" t="s">
        <v>4643</v>
      </c>
      <c r="C601" s="136" t="str">
        <f>VLOOKUP(A601,伤害计算器!$V$2:$Y$720,3,FALSE)</f>
        <v>ワルビル</v>
      </c>
      <c r="D601" s="136" t="str">
        <f>VLOOKUP(A601,伤害计算器!$V$2:$Y$720,4,FALSE)</f>
        <v>Krokorok</v>
      </c>
      <c r="E601" s="131" t="s">
        <v>3354</v>
      </c>
      <c r="F601" s="131" t="s">
        <v>3640</v>
      </c>
      <c r="G601" s="131" t="s">
        <v>3454</v>
      </c>
      <c r="H601" s="138">
        <v>60</v>
      </c>
      <c r="I601" s="139">
        <v>82</v>
      </c>
      <c r="J601" s="140">
        <v>45</v>
      </c>
      <c r="K601" s="141">
        <v>45</v>
      </c>
      <c r="L601" s="142">
        <v>45</v>
      </c>
      <c r="M601" s="143">
        <v>74</v>
      </c>
      <c r="N601" s="144">
        <v>351</v>
      </c>
      <c r="O601" s="145" t="s">
        <v>237</v>
      </c>
      <c r="P601" s="133" t="s">
        <v>275</v>
      </c>
      <c r="Q601" s="147">
        <v>33.4</v>
      </c>
      <c r="R601" s="131"/>
    </row>
    <row r="602" ht="24.95" customHeight="1" spans="1:18">
      <c r="A602" s="135" t="s">
        <v>4644</v>
      </c>
      <c r="B602" s="131" t="s">
        <v>4645</v>
      </c>
      <c r="C602" s="136" t="str">
        <f>VLOOKUP(A602,伤害计算器!$V$2:$Y$720,3,FALSE)</f>
        <v>ワルビアル</v>
      </c>
      <c r="D602" s="136" t="str">
        <f>VLOOKUP(A602,伤害计算器!$V$2:$Y$720,4,FALSE)</f>
        <v>Krookodile</v>
      </c>
      <c r="E602" s="131" t="s">
        <v>3354</v>
      </c>
      <c r="F602" s="131" t="s">
        <v>3640</v>
      </c>
      <c r="G602" s="131" t="s">
        <v>3454</v>
      </c>
      <c r="H602" s="138">
        <v>95</v>
      </c>
      <c r="I602" s="139">
        <v>117</v>
      </c>
      <c r="J602" s="140">
        <v>80</v>
      </c>
      <c r="K602" s="141">
        <v>65</v>
      </c>
      <c r="L602" s="142">
        <v>70</v>
      </c>
      <c r="M602" s="143">
        <v>92</v>
      </c>
      <c r="N602" s="144">
        <v>519</v>
      </c>
      <c r="O602" s="145" t="s">
        <v>237</v>
      </c>
      <c r="P602" s="133" t="s">
        <v>275</v>
      </c>
      <c r="Q602" s="147">
        <v>96.3</v>
      </c>
      <c r="R602" s="131"/>
    </row>
    <row r="603" ht="24.95" customHeight="1" spans="1:18">
      <c r="A603" s="135" t="s">
        <v>4646</v>
      </c>
      <c r="B603" s="131" t="s">
        <v>4647</v>
      </c>
      <c r="C603" s="136" t="str">
        <f>VLOOKUP(A603,伤害计算器!$V$2:$Y$720,3,FALSE)</f>
        <v>ダルマッカ</v>
      </c>
      <c r="D603" s="136" t="str">
        <f>VLOOKUP(A603,伤害计算器!$V$2:$Y$720,4,FALSE)</f>
        <v>Darumaka</v>
      </c>
      <c r="E603" s="131" t="s">
        <v>61</v>
      </c>
      <c r="F603" s="137"/>
      <c r="G603" s="131" t="s">
        <v>3563</v>
      </c>
      <c r="H603" s="138">
        <v>70</v>
      </c>
      <c r="I603" s="139">
        <v>90</v>
      </c>
      <c r="J603" s="140">
        <v>45</v>
      </c>
      <c r="K603" s="141">
        <v>15</v>
      </c>
      <c r="L603" s="142">
        <v>45</v>
      </c>
      <c r="M603" s="143">
        <v>50</v>
      </c>
      <c r="N603" s="144">
        <v>315</v>
      </c>
      <c r="O603" s="145" t="s">
        <v>250</v>
      </c>
      <c r="Q603" s="147">
        <v>37.5</v>
      </c>
      <c r="R603" s="131"/>
    </row>
    <row r="604" ht="24.95" customHeight="1" spans="1:18">
      <c r="A604" s="135" t="s">
        <v>4648</v>
      </c>
      <c r="B604" s="131" t="s">
        <v>4649</v>
      </c>
      <c r="C604" s="136" t="str">
        <f>VLOOKUP(A604,伤害计算器!$V$2:$Y$720,3,FALSE)</f>
        <v>ヒヒダルマ</v>
      </c>
      <c r="D604" s="136" t="str">
        <f>VLOOKUP(A604,伤害计算器!$V$2:$Y$720,4,FALSE)</f>
        <v>Darmanitan</v>
      </c>
      <c r="E604" s="131" t="s">
        <v>41</v>
      </c>
      <c r="F604" s="137"/>
      <c r="G604" s="131" t="s">
        <v>4650</v>
      </c>
      <c r="H604" s="138">
        <v>105</v>
      </c>
      <c r="I604" s="139">
        <v>140</v>
      </c>
      <c r="J604" s="140">
        <v>55</v>
      </c>
      <c r="K604" s="141">
        <v>30</v>
      </c>
      <c r="L604" s="142">
        <v>55</v>
      </c>
      <c r="M604" s="143">
        <v>95</v>
      </c>
      <c r="N604" s="144">
        <v>480</v>
      </c>
      <c r="O604" s="145" t="s">
        <v>250</v>
      </c>
      <c r="Q604" s="147">
        <v>92.9</v>
      </c>
      <c r="R604" s="131"/>
    </row>
    <row r="605" ht="24.95" customHeight="1" spans="1:18">
      <c r="A605" s="135" t="s">
        <v>4648</v>
      </c>
      <c r="B605" s="131" t="s">
        <v>4651</v>
      </c>
      <c r="C605" s="136" t="str">
        <f>VLOOKUP(A605,伤害计算器!$V$2:$Y$720,3,FALSE)</f>
        <v>ヒヒダルマ</v>
      </c>
      <c r="D605" s="136" t="str">
        <f>VLOOKUP(A605,伤害计算器!$V$2:$Y$720,4,FALSE)</f>
        <v>Darmanitan</v>
      </c>
      <c r="E605" s="131" t="s">
        <v>41</v>
      </c>
      <c r="F605" s="137"/>
      <c r="G605" s="131" t="s">
        <v>4650</v>
      </c>
      <c r="H605" s="138">
        <v>105</v>
      </c>
      <c r="I605" s="139">
        <v>30</v>
      </c>
      <c r="J605" s="140">
        <v>105</v>
      </c>
      <c r="K605" s="141">
        <v>140</v>
      </c>
      <c r="L605" s="142">
        <v>105</v>
      </c>
      <c r="M605" s="143">
        <v>55</v>
      </c>
      <c r="N605" s="144">
        <v>540</v>
      </c>
      <c r="O605" s="145" t="s">
        <v>250</v>
      </c>
      <c r="P605" s="133" t="s">
        <v>271</v>
      </c>
      <c r="Q605" s="133">
        <v>92.9</v>
      </c>
      <c r="R605" s="131"/>
    </row>
    <row r="606" ht="24.95" customHeight="1" spans="1:18">
      <c r="A606" s="135" t="s">
        <v>4652</v>
      </c>
      <c r="B606" s="131" t="s">
        <v>4653</v>
      </c>
      <c r="C606" s="136" t="str">
        <f>VLOOKUP(A606,伤害计算器!$V$2:$Y$720,3,FALSE)</f>
        <v>マラカッチ</v>
      </c>
      <c r="D606" s="136" t="str">
        <f>VLOOKUP(A606,伤害计算器!$V$2:$Y$720,4,FALSE)</f>
        <v>Maractus</v>
      </c>
      <c r="E606" s="131" t="s">
        <v>533</v>
      </c>
      <c r="F606" s="131" t="s">
        <v>4654</v>
      </c>
      <c r="G606" s="131" t="s">
        <v>4655</v>
      </c>
      <c r="H606" s="138">
        <v>75</v>
      </c>
      <c r="I606" s="139">
        <v>86</v>
      </c>
      <c r="J606" s="140">
        <v>67</v>
      </c>
      <c r="K606" s="141">
        <v>106</v>
      </c>
      <c r="L606" s="142">
        <v>67</v>
      </c>
      <c r="M606" s="143">
        <v>60</v>
      </c>
      <c r="N606" s="144">
        <v>461</v>
      </c>
      <c r="O606" s="145" t="s">
        <v>235</v>
      </c>
      <c r="Q606" s="147">
        <v>28</v>
      </c>
      <c r="R606" s="131"/>
    </row>
    <row r="607" ht="24.95" customHeight="1" spans="1:18">
      <c r="A607" s="135" t="s">
        <v>4656</v>
      </c>
      <c r="B607" s="131" t="s">
        <v>4657</v>
      </c>
      <c r="C607" s="136" t="str">
        <f>VLOOKUP(A607,伤害计算器!$V$2:$Y$720,3,FALSE)</f>
        <v>イシズマイ</v>
      </c>
      <c r="D607" s="136" t="str">
        <f>VLOOKUP(A607,伤害计算器!$V$2:$Y$720,4,FALSE)</f>
        <v>Dwebble</v>
      </c>
      <c r="E607" s="131" t="s">
        <v>3500</v>
      </c>
      <c r="F607" s="131" t="s">
        <v>3544</v>
      </c>
      <c r="G607" s="131" t="s">
        <v>3558</v>
      </c>
      <c r="H607" s="138">
        <v>50</v>
      </c>
      <c r="I607" s="139">
        <v>65</v>
      </c>
      <c r="J607" s="140">
        <v>85</v>
      </c>
      <c r="K607" s="141">
        <v>35</v>
      </c>
      <c r="L607" s="142">
        <v>35</v>
      </c>
      <c r="M607" s="143">
        <v>55</v>
      </c>
      <c r="N607" s="144">
        <v>325</v>
      </c>
      <c r="O607" s="145" t="s">
        <v>272</v>
      </c>
      <c r="P607" s="133" t="s">
        <v>252</v>
      </c>
      <c r="Q607" s="147">
        <v>14.5</v>
      </c>
      <c r="R607" s="131"/>
    </row>
    <row r="608" ht="24.95" customHeight="1" spans="1:18">
      <c r="A608" s="135" t="s">
        <v>4658</v>
      </c>
      <c r="B608" s="131" t="s">
        <v>4659</v>
      </c>
      <c r="C608" s="136" t="str">
        <f>VLOOKUP(A608,伤害计算器!$V$2:$Y$720,3,FALSE)</f>
        <v>イワパレス</v>
      </c>
      <c r="D608" s="136" t="str">
        <f>VLOOKUP(A608,伤害计算器!$V$2:$Y$720,4,FALSE)</f>
        <v>Crustle</v>
      </c>
      <c r="E608" s="131" t="s">
        <v>3500</v>
      </c>
      <c r="F608" s="131" t="s">
        <v>3544</v>
      </c>
      <c r="G608" s="131" t="s">
        <v>3558</v>
      </c>
      <c r="H608" s="138">
        <v>70</v>
      </c>
      <c r="I608" s="139">
        <v>95</v>
      </c>
      <c r="J608" s="140">
        <v>125</v>
      </c>
      <c r="K608" s="141">
        <v>65</v>
      </c>
      <c r="L608" s="142">
        <v>75</v>
      </c>
      <c r="M608" s="143">
        <v>45</v>
      </c>
      <c r="N608" s="144">
        <v>475</v>
      </c>
      <c r="O608" s="145" t="s">
        <v>272</v>
      </c>
      <c r="P608" s="133" t="s">
        <v>252</v>
      </c>
      <c r="Q608" s="147">
        <v>200</v>
      </c>
      <c r="R608" s="131"/>
    </row>
    <row r="609" ht="24.95" customHeight="1" spans="1:18">
      <c r="A609" s="135" t="s">
        <v>4660</v>
      </c>
      <c r="B609" s="131" t="s">
        <v>4661</v>
      </c>
      <c r="C609" s="136" t="str">
        <f>VLOOKUP(A609,伤害计算器!$V$2:$Y$720,3,FALSE)</f>
        <v>ズルッグ</v>
      </c>
      <c r="D609" s="136" t="str">
        <f>VLOOKUP(A609,伤害计算器!$V$2:$Y$720,4,FALSE)</f>
        <v>Scraggy</v>
      </c>
      <c r="E609" s="131" t="s">
        <v>3323</v>
      </c>
      <c r="F609" s="131" t="s">
        <v>3640</v>
      </c>
      <c r="G609" s="131" t="s">
        <v>3354</v>
      </c>
      <c r="H609" s="138">
        <v>50</v>
      </c>
      <c r="I609" s="139">
        <v>75</v>
      </c>
      <c r="J609" s="140">
        <v>70</v>
      </c>
      <c r="K609" s="141">
        <v>35</v>
      </c>
      <c r="L609" s="142">
        <v>70</v>
      </c>
      <c r="M609" s="143">
        <v>48</v>
      </c>
      <c r="N609" s="144">
        <v>348</v>
      </c>
      <c r="O609" s="145" t="s">
        <v>275</v>
      </c>
      <c r="P609" s="133" t="s">
        <v>269</v>
      </c>
      <c r="Q609" s="147">
        <v>11.8</v>
      </c>
      <c r="R609" s="131"/>
    </row>
    <row r="610" ht="24.95" customHeight="1" spans="1:18">
      <c r="A610" s="135" t="s">
        <v>4662</v>
      </c>
      <c r="B610" s="131" t="s">
        <v>4663</v>
      </c>
      <c r="C610" s="136" t="str">
        <f>VLOOKUP(A610,伤害计算器!$V$2:$Y$720,3,FALSE)</f>
        <v>ズルズキン</v>
      </c>
      <c r="D610" s="136" t="str">
        <f>VLOOKUP(A610,伤害计算器!$V$2:$Y$720,4,FALSE)</f>
        <v>Scrafty</v>
      </c>
      <c r="E610" s="131" t="s">
        <v>3323</v>
      </c>
      <c r="F610" s="131" t="s">
        <v>3640</v>
      </c>
      <c r="G610" s="131" t="s">
        <v>3354</v>
      </c>
      <c r="H610" s="138">
        <v>65</v>
      </c>
      <c r="I610" s="139">
        <v>90</v>
      </c>
      <c r="J610" s="140">
        <v>115</v>
      </c>
      <c r="K610" s="141">
        <v>45</v>
      </c>
      <c r="L610" s="142">
        <v>115</v>
      </c>
      <c r="M610" s="143">
        <v>58</v>
      </c>
      <c r="N610" s="144">
        <v>488</v>
      </c>
      <c r="O610" s="145" t="s">
        <v>275</v>
      </c>
      <c r="P610" s="133" t="s">
        <v>269</v>
      </c>
      <c r="Q610" s="147">
        <v>30</v>
      </c>
      <c r="R610" s="131"/>
    </row>
    <row r="611" ht="24.95" customHeight="1" spans="1:18">
      <c r="A611" s="135" t="s">
        <v>4664</v>
      </c>
      <c r="B611" s="131" t="s">
        <v>4665</v>
      </c>
      <c r="C611" s="136" t="str">
        <f>VLOOKUP(A611,伤害计算器!$V$2:$Y$720,3,FALSE)</f>
        <v>シンボラー</v>
      </c>
      <c r="D611" s="136" t="str">
        <f>VLOOKUP(A611,伤害计算器!$V$2:$Y$720,4,FALSE)</f>
        <v>Sigilyph</v>
      </c>
      <c r="E611" s="131" t="s">
        <v>3431</v>
      </c>
      <c r="F611" s="131" t="s">
        <v>3391</v>
      </c>
      <c r="G611" s="131" t="s">
        <v>64</v>
      </c>
      <c r="H611" s="138">
        <v>72</v>
      </c>
      <c r="I611" s="139">
        <v>58</v>
      </c>
      <c r="J611" s="140">
        <v>80</v>
      </c>
      <c r="K611" s="141">
        <v>103</v>
      </c>
      <c r="L611" s="142">
        <v>80</v>
      </c>
      <c r="M611" s="143">
        <v>97</v>
      </c>
      <c r="N611" s="144">
        <v>490</v>
      </c>
      <c r="O611" s="145" t="s">
        <v>271</v>
      </c>
      <c r="P611" s="133" t="s">
        <v>99</v>
      </c>
      <c r="Q611" s="147">
        <v>14</v>
      </c>
      <c r="R611" s="131"/>
    </row>
    <row r="612" ht="24.95" customHeight="1" spans="1:18">
      <c r="A612" s="135" t="s">
        <v>4666</v>
      </c>
      <c r="B612" s="131" t="s">
        <v>4667</v>
      </c>
      <c r="C612" s="136" t="str">
        <f>VLOOKUP(A612,伤害计算器!$V$2:$Y$720,3,FALSE)</f>
        <v>デスマス</v>
      </c>
      <c r="D612" s="136" t="str">
        <f>VLOOKUP(A612,伤害计算器!$V$2:$Y$720,4,FALSE)</f>
        <v>Yamask</v>
      </c>
      <c r="E612" s="131" t="s">
        <v>4668</v>
      </c>
      <c r="F612" s="137"/>
      <c r="G612" s="137"/>
      <c r="H612" s="138">
        <v>38</v>
      </c>
      <c r="I612" s="139">
        <v>30</v>
      </c>
      <c r="J612" s="140">
        <v>85</v>
      </c>
      <c r="K612" s="141">
        <v>55</v>
      </c>
      <c r="L612" s="142">
        <v>65</v>
      </c>
      <c r="M612" s="143">
        <v>30</v>
      </c>
      <c r="N612" s="144">
        <v>303</v>
      </c>
      <c r="O612" s="145" t="s">
        <v>273</v>
      </c>
      <c r="Q612" s="147">
        <v>1.5</v>
      </c>
      <c r="R612" s="131"/>
    </row>
    <row r="613" ht="24.95" customHeight="1" spans="1:18">
      <c r="A613" s="135" t="s">
        <v>4669</v>
      </c>
      <c r="B613" s="131" t="s">
        <v>4670</v>
      </c>
      <c r="C613" s="136" t="str">
        <f>VLOOKUP(A613,伤害计算器!$V$2:$Y$720,3,FALSE)</f>
        <v>デスカーン</v>
      </c>
      <c r="D613" s="136" t="str">
        <f>VLOOKUP(A613,伤害计算器!$V$2:$Y$720,4,FALSE)</f>
        <v>Cofagrigus</v>
      </c>
      <c r="E613" s="131" t="s">
        <v>4668</v>
      </c>
      <c r="F613" s="137"/>
      <c r="G613" s="137"/>
      <c r="H613" s="138">
        <v>58</v>
      </c>
      <c r="I613" s="139">
        <v>50</v>
      </c>
      <c r="J613" s="140">
        <v>145</v>
      </c>
      <c r="K613" s="141">
        <v>95</v>
      </c>
      <c r="L613" s="142">
        <v>105</v>
      </c>
      <c r="M613" s="143">
        <v>30</v>
      </c>
      <c r="N613" s="144">
        <v>483</v>
      </c>
      <c r="O613" s="145" t="s">
        <v>273</v>
      </c>
      <c r="Q613" s="147">
        <v>76.5</v>
      </c>
      <c r="R613" s="131"/>
    </row>
    <row r="614" ht="24.95" customHeight="1" spans="1:18">
      <c r="A614" s="135" t="s">
        <v>4671</v>
      </c>
      <c r="B614" s="131" t="s">
        <v>4672</v>
      </c>
      <c r="C614" s="136" t="str">
        <f>VLOOKUP(A614,伤害计算器!$V$2:$Y$720,3,FALSE)</f>
        <v>プロトーガ</v>
      </c>
      <c r="D614" s="136" t="str">
        <f>VLOOKUP(A614,伤害计算器!$V$2:$Y$720,4,FALSE)</f>
        <v>Tirtouga</v>
      </c>
      <c r="E614" s="131" t="s">
        <v>4117</v>
      </c>
      <c r="F614" s="131" t="s">
        <v>3500</v>
      </c>
      <c r="G614" s="131" t="s">
        <v>3448</v>
      </c>
      <c r="H614" s="138">
        <v>54</v>
      </c>
      <c r="I614" s="139">
        <v>78</v>
      </c>
      <c r="J614" s="140">
        <v>103</v>
      </c>
      <c r="K614" s="141">
        <v>53</v>
      </c>
      <c r="L614" s="142">
        <v>45</v>
      </c>
      <c r="M614" s="143">
        <v>22</v>
      </c>
      <c r="N614" s="144">
        <v>355</v>
      </c>
      <c r="O614" s="145" t="s">
        <v>251</v>
      </c>
      <c r="P614" s="133" t="s">
        <v>252</v>
      </c>
      <c r="Q614" s="147">
        <v>16.5</v>
      </c>
      <c r="R614" s="131"/>
    </row>
    <row r="615" ht="24.95" customHeight="1" spans="1:18">
      <c r="A615" s="135" t="s">
        <v>4673</v>
      </c>
      <c r="B615" s="131" t="s">
        <v>4674</v>
      </c>
      <c r="C615" s="136" t="str">
        <f>VLOOKUP(A615,伤害计算器!$V$2:$Y$720,3,FALSE)</f>
        <v>アバゴーラ</v>
      </c>
      <c r="D615" s="136" t="str">
        <f>VLOOKUP(A615,伤害计算器!$V$2:$Y$720,4,FALSE)</f>
        <v>Carracosta</v>
      </c>
      <c r="E615" s="131" t="s">
        <v>4117</v>
      </c>
      <c r="F615" s="131" t="s">
        <v>3500</v>
      </c>
      <c r="G615" s="131" t="s">
        <v>3448</v>
      </c>
      <c r="H615" s="138">
        <v>74</v>
      </c>
      <c r="I615" s="139">
        <v>108</v>
      </c>
      <c r="J615" s="140">
        <v>133</v>
      </c>
      <c r="K615" s="141">
        <v>83</v>
      </c>
      <c r="L615" s="142">
        <v>65</v>
      </c>
      <c r="M615" s="143">
        <v>32</v>
      </c>
      <c r="N615" s="144">
        <v>495</v>
      </c>
      <c r="O615" s="145" t="s">
        <v>251</v>
      </c>
      <c r="P615" s="133" t="s">
        <v>252</v>
      </c>
      <c r="Q615" s="147">
        <v>81</v>
      </c>
      <c r="R615" s="131"/>
    </row>
    <row r="616" ht="24.95" customHeight="1" spans="1:18">
      <c r="A616" s="135" t="s">
        <v>4675</v>
      </c>
      <c r="B616" s="131" t="s">
        <v>4676</v>
      </c>
      <c r="C616" s="136" t="str">
        <f>VLOOKUP(A616,伤害计算器!$V$2:$Y$720,3,FALSE)</f>
        <v>アーケン</v>
      </c>
      <c r="D616" s="136" t="str">
        <f>VLOOKUP(A616,伤害计算器!$V$2:$Y$720,4,FALSE)</f>
        <v>Archen</v>
      </c>
      <c r="E616" s="131" t="s">
        <v>58</v>
      </c>
      <c r="F616" s="137"/>
      <c r="G616" s="137"/>
      <c r="H616" s="138">
        <v>55</v>
      </c>
      <c r="I616" s="139">
        <v>112</v>
      </c>
      <c r="J616" s="140">
        <v>45</v>
      </c>
      <c r="K616" s="141">
        <v>74</v>
      </c>
      <c r="L616" s="142">
        <v>45</v>
      </c>
      <c r="M616" s="143">
        <v>70</v>
      </c>
      <c r="N616" s="144">
        <v>401</v>
      </c>
      <c r="O616" s="145" t="s">
        <v>252</v>
      </c>
      <c r="P616" s="133" t="s">
        <v>99</v>
      </c>
      <c r="Q616" s="147">
        <v>9.5</v>
      </c>
      <c r="R616" s="131"/>
    </row>
    <row r="617" ht="24.95" customHeight="1" spans="1:18">
      <c r="A617" s="135" t="s">
        <v>4677</v>
      </c>
      <c r="B617" s="131" t="s">
        <v>4678</v>
      </c>
      <c r="C617" s="136" t="str">
        <f>VLOOKUP(A617,伤害计算器!$V$2:$Y$720,3,FALSE)</f>
        <v>アーケオス</v>
      </c>
      <c r="D617" s="136" t="str">
        <f>VLOOKUP(A617,伤害计算器!$V$2:$Y$720,4,FALSE)</f>
        <v>Archeops</v>
      </c>
      <c r="E617" s="131" t="s">
        <v>58</v>
      </c>
      <c r="F617" s="137"/>
      <c r="G617" s="137"/>
      <c r="H617" s="138">
        <v>75</v>
      </c>
      <c r="I617" s="139">
        <v>140</v>
      </c>
      <c r="J617" s="140">
        <v>65</v>
      </c>
      <c r="K617" s="141">
        <v>112</v>
      </c>
      <c r="L617" s="142">
        <v>65</v>
      </c>
      <c r="M617" s="143">
        <v>110</v>
      </c>
      <c r="N617" s="144">
        <v>567</v>
      </c>
      <c r="O617" s="145" t="s">
        <v>252</v>
      </c>
      <c r="P617" s="133" t="s">
        <v>99</v>
      </c>
      <c r="Q617" s="147">
        <v>32</v>
      </c>
      <c r="R617" s="131"/>
    </row>
    <row r="618" ht="24.95" customHeight="1" spans="1:18">
      <c r="A618" s="135" t="s">
        <v>4679</v>
      </c>
      <c r="B618" s="131" t="s">
        <v>4680</v>
      </c>
      <c r="C618" s="136" t="str">
        <f>VLOOKUP(A618,伤害计算器!$V$2:$Y$720,3,FALSE)</f>
        <v>ヤブクロン</v>
      </c>
      <c r="D618" s="136" t="str">
        <f>VLOOKUP(A618,伤害计算器!$V$2:$Y$720,4,FALSE)</f>
        <v>Trubbish</v>
      </c>
      <c r="E618" s="131" t="s">
        <v>3417</v>
      </c>
      <c r="F618" s="131" t="s">
        <v>4099</v>
      </c>
      <c r="G618" s="131" t="s">
        <v>4681</v>
      </c>
      <c r="H618" s="138">
        <v>50</v>
      </c>
      <c r="I618" s="139">
        <v>50</v>
      </c>
      <c r="J618" s="140">
        <v>62</v>
      </c>
      <c r="K618" s="141">
        <v>40</v>
      </c>
      <c r="L618" s="142">
        <v>62</v>
      </c>
      <c r="M618" s="143">
        <v>65</v>
      </c>
      <c r="N618" s="144">
        <v>329</v>
      </c>
      <c r="O618" s="145" t="s">
        <v>270</v>
      </c>
      <c r="Q618" s="147">
        <v>31</v>
      </c>
      <c r="R618" s="131"/>
    </row>
    <row r="619" ht="24.95" customHeight="1" spans="1:18">
      <c r="A619" s="135" t="s">
        <v>4682</v>
      </c>
      <c r="B619" s="131" t="s">
        <v>4683</v>
      </c>
      <c r="C619" s="136" t="str">
        <f>VLOOKUP(A619,伤害计算器!$V$2:$Y$720,3,FALSE)</f>
        <v>ダストダス</v>
      </c>
      <c r="D619" s="136" t="str">
        <f>VLOOKUP(A619,伤害计算器!$V$2:$Y$720,4,FALSE)</f>
        <v>Garbodor</v>
      </c>
      <c r="E619" s="131" t="s">
        <v>3417</v>
      </c>
      <c r="F619" s="131" t="s">
        <v>3558</v>
      </c>
      <c r="G619" s="131" t="s">
        <v>3574</v>
      </c>
      <c r="H619" s="138">
        <v>80</v>
      </c>
      <c r="I619" s="139">
        <v>95</v>
      </c>
      <c r="J619" s="140">
        <v>82</v>
      </c>
      <c r="K619" s="141">
        <v>60</v>
      </c>
      <c r="L619" s="142">
        <v>82</v>
      </c>
      <c r="M619" s="143">
        <v>75</v>
      </c>
      <c r="N619" s="144">
        <v>474</v>
      </c>
      <c r="O619" s="145" t="s">
        <v>270</v>
      </c>
      <c r="Q619" s="147">
        <v>107.3</v>
      </c>
      <c r="R619" s="131"/>
    </row>
    <row r="620" ht="24.95" customHeight="1" spans="1:18">
      <c r="A620" s="135" t="s">
        <v>4684</v>
      </c>
      <c r="B620" s="131" t="s">
        <v>4685</v>
      </c>
      <c r="C620" s="136" t="str">
        <f>VLOOKUP(A620,伤害计算器!$V$2:$Y$720,3,FALSE)</f>
        <v>ゾロア</v>
      </c>
      <c r="D620" s="136" t="str">
        <f>VLOOKUP(A620,伤害计算器!$V$2:$Y$720,4,FALSE)</f>
        <v>Zorua</v>
      </c>
      <c r="E620" s="131" t="s">
        <v>4686</v>
      </c>
      <c r="F620" s="137"/>
      <c r="G620" s="137"/>
      <c r="H620" s="138">
        <v>40</v>
      </c>
      <c r="I620" s="139">
        <v>65</v>
      </c>
      <c r="J620" s="140">
        <v>40</v>
      </c>
      <c r="K620" s="141">
        <v>80</v>
      </c>
      <c r="L620" s="142">
        <v>40</v>
      </c>
      <c r="M620" s="143">
        <v>65</v>
      </c>
      <c r="N620" s="144">
        <v>330</v>
      </c>
      <c r="O620" s="145" t="s">
        <v>275</v>
      </c>
      <c r="Q620" s="147">
        <v>12.5</v>
      </c>
      <c r="R620" s="131"/>
    </row>
    <row r="621" ht="24.95" customHeight="1" spans="1:18">
      <c r="A621" s="135" t="s">
        <v>4687</v>
      </c>
      <c r="B621" s="131" t="s">
        <v>4688</v>
      </c>
      <c r="C621" s="136" t="str">
        <f>VLOOKUP(A621,伤害计算器!$V$2:$Y$720,3,FALSE)</f>
        <v>ゾロアーク</v>
      </c>
      <c r="D621" s="136" t="str">
        <f>VLOOKUP(A621,伤害计算器!$V$2:$Y$720,4,FALSE)</f>
        <v>Zoroark</v>
      </c>
      <c r="E621" s="131" t="s">
        <v>4686</v>
      </c>
      <c r="F621" s="137"/>
      <c r="G621" s="137"/>
      <c r="H621" s="138">
        <v>60</v>
      </c>
      <c r="I621" s="139">
        <v>105</v>
      </c>
      <c r="J621" s="140">
        <v>60</v>
      </c>
      <c r="K621" s="141">
        <v>120</v>
      </c>
      <c r="L621" s="142">
        <v>60</v>
      </c>
      <c r="M621" s="143">
        <v>105</v>
      </c>
      <c r="N621" s="144">
        <v>510</v>
      </c>
      <c r="O621" s="145" t="s">
        <v>275</v>
      </c>
      <c r="Q621" s="147">
        <v>81.1</v>
      </c>
      <c r="R621" s="131"/>
    </row>
    <row r="622" ht="24.95" customHeight="1" spans="1:18">
      <c r="A622" s="135" t="s">
        <v>4689</v>
      </c>
      <c r="B622" s="131" t="s">
        <v>4690</v>
      </c>
      <c r="C622" s="136" t="str">
        <f>VLOOKUP(A622,伤害计算器!$V$2:$Y$720,3,FALSE)</f>
        <v>チラーミィ</v>
      </c>
      <c r="D622" s="136" t="str">
        <f>VLOOKUP(A622,伤害计算器!$V$2:$Y$720,4,FALSE)</f>
        <v>Minccino</v>
      </c>
      <c r="E622" s="131" t="s">
        <v>3390</v>
      </c>
      <c r="F622" s="131" t="s">
        <v>36</v>
      </c>
      <c r="G622" s="131" t="s">
        <v>3545</v>
      </c>
      <c r="H622" s="138">
        <v>55</v>
      </c>
      <c r="I622" s="139">
        <v>50</v>
      </c>
      <c r="J622" s="140">
        <v>40</v>
      </c>
      <c r="K622" s="141">
        <v>40</v>
      </c>
      <c r="L622" s="142">
        <v>40</v>
      </c>
      <c r="M622" s="143">
        <v>75</v>
      </c>
      <c r="N622" s="144">
        <v>300</v>
      </c>
      <c r="O622" s="145" t="s">
        <v>267</v>
      </c>
      <c r="Q622" s="147">
        <v>5.8</v>
      </c>
      <c r="R622" s="131"/>
    </row>
    <row r="623" ht="24.95" customHeight="1" spans="1:18">
      <c r="A623" s="135" t="s">
        <v>4691</v>
      </c>
      <c r="B623" s="131" t="s">
        <v>4692</v>
      </c>
      <c r="C623" s="136" t="str">
        <f>VLOOKUP(A623,伤害计算器!$V$2:$Y$720,3,FALSE)</f>
        <v>チラチーノ</v>
      </c>
      <c r="D623" s="136" t="str">
        <f>VLOOKUP(A623,伤害计算器!$V$2:$Y$720,4,FALSE)</f>
        <v>Cinccino</v>
      </c>
      <c r="E623" s="131" t="s">
        <v>3390</v>
      </c>
      <c r="F623" s="131" t="s">
        <v>36</v>
      </c>
      <c r="G623" s="131" t="s">
        <v>3545</v>
      </c>
      <c r="H623" s="138">
        <v>75</v>
      </c>
      <c r="I623" s="139">
        <v>95</v>
      </c>
      <c r="J623" s="140">
        <v>60</v>
      </c>
      <c r="K623" s="141">
        <v>65</v>
      </c>
      <c r="L623" s="142">
        <v>60</v>
      </c>
      <c r="M623" s="143">
        <v>115</v>
      </c>
      <c r="N623" s="144">
        <v>470</v>
      </c>
      <c r="O623" s="145" t="s">
        <v>267</v>
      </c>
      <c r="Q623" s="147">
        <v>7.5</v>
      </c>
      <c r="R623" s="131"/>
    </row>
    <row r="624" ht="24.95" customHeight="1" spans="1:18">
      <c r="A624" s="135" t="s">
        <v>4693</v>
      </c>
      <c r="B624" s="131" t="s">
        <v>4694</v>
      </c>
      <c r="C624" s="136" t="str">
        <f>VLOOKUP(A624,伤害计算器!$V$2:$Y$720,3,FALSE)</f>
        <v>ゴチム</v>
      </c>
      <c r="D624" s="136" t="str">
        <f>VLOOKUP(A624,伤害计算器!$V$2:$Y$720,4,FALSE)</f>
        <v>Gothita</v>
      </c>
      <c r="E624" s="131" t="s">
        <v>3406</v>
      </c>
      <c r="F624" s="131" t="s">
        <v>3403</v>
      </c>
      <c r="G624" s="131" t="s">
        <v>3821</v>
      </c>
      <c r="H624" s="138">
        <v>45</v>
      </c>
      <c r="I624" s="139">
        <v>30</v>
      </c>
      <c r="J624" s="140">
        <v>50</v>
      </c>
      <c r="K624" s="141">
        <v>55</v>
      </c>
      <c r="L624" s="142">
        <v>65</v>
      </c>
      <c r="M624" s="143">
        <v>45</v>
      </c>
      <c r="N624" s="144">
        <v>290</v>
      </c>
      <c r="O624" s="145" t="s">
        <v>271</v>
      </c>
      <c r="Q624" s="147">
        <v>5.8</v>
      </c>
      <c r="R624" s="131"/>
    </row>
    <row r="625" ht="24.95" customHeight="1" spans="1:18">
      <c r="A625" s="135" t="s">
        <v>4695</v>
      </c>
      <c r="B625" s="131" t="s">
        <v>4696</v>
      </c>
      <c r="C625" s="136" t="str">
        <f>VLOOKUP(A625,伤害计算器!$V$2:$Y$720,3,FALSE)</f>
        <v>ゴチミル</v>
      </c>
      <c r="D625" s="136" t="str">
        <f>VLOOKUP(A625,伤害计算器!$V$2:$Y$720,4,FALSE)</f>
        <v>Gothorita</v>
      </c>
      <c r="E625" s="131" t="s">
        <v>3406</v>
      </c>
      <c r="F625" s="131" t="s">
        <v>3403</v>
      </c>
      <c r="G625" s="131" t="s">
        <v>3821</v>
      </c>
      <c r="H625" s="138">
        <v>60</v>
      </c>
      <c r="I625" s="139">
        <v>45</v>
      </c>
      <c r="J625" s="140">
        <v>70</v>
      </c>
      <c r="K625" s="141">
        <v>75</v>
      </c>
      <c r="L625" s="142">
        <v>85</v>
      </c>
      <c r="M625" s="143">
        <v>55</v>
      </c>
      <c r="N625" s="144">
        <v>390</v>
      </c>
      <c r="O625" s="145" t="s">
        <v>271</v>
      </c>
      <c r="Q625" s="147">
        <v>18</v>
      </c>
      <c r="R625" s="131"/>
    </row>
    <row r="626" ht="24.95" customHeight="1" spans="1:18">
      <c r="A626" s="135" t="s">
        <v>4697</v>
      </c>
      <c r="B626" s="131" t="s">
        <v>4698</v>
      </c>
      <c r="C626" s="136" t="str">
        <f>VLOOKUP(A626,伤害计算器!$V$2:$Y$720,3,FALSE)</f>
        <v>ゴチルゼル</v>
      </c>
      <c r="D626" s="136" t="str">
        <f>VLOOKUP(A626,伤害计算器!$V$2:$Y$720,4,FALSE)</f>
        <v>Gothitelle</v>
      </c>
      <c r="E626" s="131" t="s">
        <v>3406</v>
      </c>
      <c r="F626" s="131" t="s">
        <v>3403</v>
      </c>
      <c r="G626" s="131" t="s">
        <v>3821</v>
      </c>
      <c r="H626" s="138">
        <v>70</v>
      </c>
      <c r="I626" s="139">
        <v>55</v>
      </c>
      <c r="J626" s="140">
        <v>95</v>
      </c>
      <c r="K626" s="141">
        <v>95</v>
      </c>
      <c r="L626" s="142">
        <v>110</v>
      </c>
      <c r="M626" s="143">
        <v>65</v>
      </c>
      <c r="N626" s="144">
        <v>490</v>
      </c>
      <c r="O626" s="145" t="s">
        <v>271</v>
      </c>
      <c r="Q626" s="147">
        <v>44</v>
      </c>
      <c r="R626" s="131"/>
    </row>
    <row r="627" ht="24.95" customHeight="1" spans="1:18">
      <c r="A627" s="135" t="s">
        <v>4699</v>
      </c>
      <c r="B627" s="131" t="s">
        <v>4700</v>
      </c>
      <c r="C627" s="136" t="str">
        <f>VLOOKUP(A627,伤害计算器!$V$2:$Y$720,3,FALSE)</f>
        <v>ユニラン</v>
      </c>
      <c r="D627" s="136" t="str">
        <f>VLOOKUP(A627,伤害计算器!$V$2:$Y$720,4,FALSE)</f>
        <v>Solosis</v>
      </c>
      <c r="E627" s="131" t="s">
        <v>3546</v>
      </c>
      <c r="F627" s="131" t="s">
        <v>3391</v>
      </c>
      <c r="G627" s="131" t="s">
        <v>3515</v>
      </c>
      <c r="H627" s="138">
        <v>45</v>
      </c>
      <c r="I627" s="139">
        <v>30</v>
      </c>
      <c r="J627" s="140">
        <v>40</v>
      </c>
      <c r="K627" s="141">
        <v>105</v>
      </c>
      <c r="L627" s="142">
        <v>50</v>
      </c>
      <c r="M627" s="143">
        <v>20</v>
      </c>
      <c r="N627" s="144">
        <v>290</v>
      </c>
      <c r="O627" s="145" t="s">
        <v>271</v>
      </c>
      <c r="Q627" s="147">
        <v>1</v>
      </c>
      <c r="R627" s="131"/>
    </row>
    <row r="628" ht="24.95" customHeight="1" spans="1:18">
      <c r="A628" s="135" t="s">
        <v>4701</v>
      </c>
      <c r="B628" s="131" t="s">
        <v>4702</v>
      </c>
      <c r="C628" s="136" t="str">
        <f>VLOOKUP(A628,伤害计算器!$V$2:$Y$720,3,FALSE)</f>
        <v>ダブラン</v>
      </c>
      <c r="D628" s="136" t="str">
        <f>VLOOKUP(A628,伤害计算器!$V$2:$Y$720,4,FALSE)</f>
        <v>Duosion</v>
      </c>
      <c r="E628" s="131" t="s">
        <v>3546</v>
      </c>
      <c r="F628" s="131" t="s">
        <v>3391</v>
      </c>
      <c r="G628" s="131" t="s">
        <v>3515</v>
      </c>
      <c r="H628" s="138">
        <v>65</v>
      </c>
      <c r="I628" s="139">
        <v>40</v>
      </c>
      <c r="J628" s="140">
        <v>50</v>
      </c>
      <c r="K628" s="141">
        <v>125</v>
      </c>
      <c r="L628" s="142">
        <v>60</v>
      </c>
      <c r="M628" s="143">
        <v>30</v>
      </c>
      <c r="N628" s="144">
        <v>370</v>
      </c>
      <c r="O628" s="145" t="s">
        <v>271</v>
      </c>
      <c r="Q628" s="147">
        <v>8</v>
      </c>
      <c r="R628" s="131"/>
    </row>
    <row r="629" ht="24.95" customHeight="1" spans="1:18">
      <c r="A629" s="135" t="s">
        <v>4703</v>
      </c>
      <c r="B629" s="131" t="s">
        <v>4704</v>
      </c>
      <c r="C629" s="136" t="str">
        <f>VLOOKUP(A629,伤害计算器!$V$2:$Y$720,3,FALSE)</f>
        <v>ランクルス</v>
      </c>
      <c r="D629" s="136" t="str">
        <f>VLOOKUP(A629,伤害计算器!$V$2:$Y$720,4,FALSE)</f>
        <v>Reuniclus</v>
      </c>
      <c r="E629" s="131" t="s">
        <v>3546</v>
      </c>
      <c r="F629" s="131" t="s">
        <v>3391</v>
      </c>
      <c r="G629" s="131" t="s">
        <v>3515</v>
      </c>
      <c r="H629" s="138">
        <v>110</v>
      </c>
      <c r="I629" s="139">
        <v>65</v>
      </c>
      <c r="J629" s="140">
        <v>75</v>
      </c>
      <c r="K629" s="141">
        <v>125</v>
      </c>
      <c r="L629" s="142">
        <v>85</v>
      </c>
      <c r="M629" s="143">
        <v>30</v>
      </c>
      <c r="N629" s="144">
        <v>490</v>
      </c>
      <c r="O629" s="145" t="s">
        <v>271</v>
      </c>
      <c r="Q629" s="147">
        <v>20.1</v>
      </c>
      <c r="R629" s="131"/>
    </row>
    <row r="630" ht="24.95" customHeight="1" spans="1:18">
      <c r="A630" s="135" t="s">
        <v>4705</v>
      </c>
      <c r="B630" s="131" t="s">
        <v>4706</v>
      </c>
      <c r="C630" s="136" t="str">
        <f>VLOOKUP(A630,伤害计算器!$V$2:$Y$720,3,FALSE)</f>
        <v>コアルヒー</v>
      </c>
      <c r="D630" s="136" t="str">
        <f>VLOOKUP(A630,伤害计算器!$V$2:$Y$720,4,FALSE)</f>
        <v>Ducklett</v>
      </c>
      <c r="E630" s="131" t="s">
        <v>3336</v>
      </c>
      <c r="F630" s="131" t="s">
        <v>3337</v>
      </c>
      <c r="G630" s="131" t="s">
        <v>3532</v>
      </c>
      <c r="H630" s="138">
        <v>62</v>
      </c>
      <c r="I630" s="139">
        <v>44</v>
      </c>
      <c r="J630" s="140">
        <v>50</v>
      </c>
      <c r="K630" s="141">
        <v>44</v>
      </c>
      <c r="L630" s="142">
        <v>50</v>
      </c>
      <c r="M630" s="143">
        <v>55</v>
      </c>
      <c r="N630" s="144">
        <v>305</v>
      </c>
      <c r="O630" s="145" t="s">
        <v>251</v>
      </c>
      <c r="P630" s="133" t="s">
        <v>99</v>
      </c>
      <c r="Q630" s="147">
        <v>5.5</v>
      </c>
      <c r="R630" s="131"/>
    </row>
    <row r="631" ht="24.95" customHeight="1" spans="1:18">
      <c r="A631" s="135" t="s">
        <v>4707</v>
      </c>
      <c r="B631" s="131" t="s">
        <v>4708</v>
      </c>
      <c r="C631" s="136" t="str">
        <f>VLOOKUP(A631,伤害计算器!$V$2:$Y$720,3,FALSE)</f>
        <v>スワンナ</v>
      </c>
      <c r="D631" s="136" t="str">
        <f>VLOOKUP(A631,伤害计算器!$V$2:$Y$720,4,FALSE)</f>
        <v>Swanna</v>
      </c>
      <c r="E631" s="131" t="s">
        <v>3336</v>
      </c>
      <c r="F631" s="131" t="s">
        <v>3337</v>
      </c>
      <c r="G631" s="131" t="s">
        <v>3532</v>
      </c>
      <c r="H631" s="138">
        <v>75</v>
      </c>
      <c r="I631" s="139">
        <v>87</v>
      </c>
      <c r="J631" s="140">
        <v>63</v>
      </c>
      <c r="K631" s="141">
        <v>87</v>
      </c>
      <c r="L631" s="142">
        <v>63</v>
      </c>
      <c r="M631" s="143">
        <v>98</v>
      </c>
      <c r="N631" s="144">
        <v>473</v>
      </c>
      <c r="O631" s="145" t="s">
        <v>251</v>
      </c>
      <c r="P631" s="133" t="s">
        <v>99</v>
      </c>
      <c r="Q631" s="147">
        <v>24.2</v>
      </c>
      <c r="R631" s="131"/>
    </row>
    <row r="632" ht="24.95" customHeight="1" spans="1:18">
      <c r="A632" s="135" t="s">
        <v>4709</v>
      </c>
      <c r="B632" s="131" t="s">
        <v>4710</v>
      </c>
      <c r="C632" s="136" t="str">
        <f>VLOOKUP(A632,伤害计算器!$V$2:$Y$720,3,FALSE)</f>
        <v>バニプッチ</v>
      </c>
      <c r="D632" s="136" t="str">
        <f>VLOOKUP(A632,伤害计算器!$V$2:$Y$720,4,FALSE)</f>
        <v>Vanillite</v>
      </c>
      <c r="E632" s="131" t="s">
        <v>3533</v>
      </c>
      <c r="F632" s="137"/>
      <c r="G632" s="131" t="s">
        <v>3558</v>
      </c>
      <c r="H632" s="138">
        <v>36</v>
      </c>
      <c r="I632" s="139">
        <v>50</v>
      </c>
      <c r="J632" s="140">
        <v>50</v>
      </c>
      <c r="K632" s="141">
        <v>65</v>
      </c>
      <c r="L632" s="142">
        <v>60</v>
      </c>
      <c r="M632" s="143">
        <v>44</v>
      </c>
      <c r="N632" s="144">
        <v>305</v>
      </c>
      <c r="O632" s="145" t="s">
        <v>100</v>
      </c>
      <c r="Q632" s="147">
        <v>5.7</v>
      </c>
      <c r="R632" s="131"/>
    </row>
    <row r="633" ht="24.95" customHeight="1" spans="1:18">
      <c r="A633" s="135" t="s">
        <v>4711</v>
      </c>
      <c r="B633" s="131" t="s">
        <v>4712</v>
      </c>
      <c r="C633" s="136" t="str">
        <f>VLOOKUP(A633,伤害计算器!$V$2:$Y$720,3,FALSE)</f>
        <v>バニリッチ</v>
      </c>
      <c r="D633" s="136" t="str">
        <f>VLOOKUP(A633,伤害计算器!$V$2:$Y$720,4,FALSE)</f>
        <v>Vanillish</v>
      </c>
      <c r="E633" s="131" t="s">
        <v>3533</v>
      </c>
      <c r="F633" s="137"/>
      <c r="G633" s="131" t="s">
        <v>3558</v>
      </c>
      <c r="H633" s="138">
        <v>51</v>
      </c>
      <c r="I633" s="139">
        <v>65</v>
      </c>
      <c r="J633" s="140">
        <v>65</v>
      </c>
      <c r="K633" s="141">
        <v>80</v>
      </c>
      <c r="L633" s="142">
        <v>75</v>
      </c>
      <c r="M633" s="143">
        <v>59</v>
      </c>
      <c r="N633" s="144">
        <v>395</v>
      </c>
      <c r="O633" s="145" t="s">
        <v>100</v>
      </c>
      <c r="Q633" s="147">
        <v>41</v>
      </c>
      <c r="R633" s="131"/>
    </row>
    <row r="634" ht="24.95" customHeight="1" spans="1:18">
      <c r="A634" s="135" t="s">
        <v>4713</v>
      </c>
      <c r="B634" s="131" t="s">
        <v>4714</v>
      </c>
      <c r="C634" s="136" t="str">
        <f>VLOOKUP(A634,伤害计算器!$V$2:$Y$720,3,FALSE)</f>
        <v>バイバニラ</v>
      </c>
      <c r="D634" s="136" t="str">
        <f>VLOOKUP(A634,伤害计算器!$V$2:$Y$720,4,FALSE)</f>
        <v>Vanilluxe</v>
      </c>
      <c r="E634" s="131" t="s">
        <v>3533</v>
      </c>
      <c r="F634" s="137"/>
      <c r="G634" s="131" t="s">
        <v>3558</v>
      </c>
      <c r="H634" s="138">
        <v>71</v>
      </c>
      <c r="I634" s="139">
        <v>95</v>
      </c>
      <c r="J634" s="140">
        <v>85</v>
      </c>
      <c r="K634" s="141">
        <v>110</v>
      </c>
      <c r="L634" s="142">
        <v>95</v>
      </c>
      <c r="M634" s="143">
        <v>79</v>
      </c>
      <c r="N634" s="144">
        <v>535</v>
      </c>
      <c r="O634" s="145" t="s">
        <v>100</v>
      </c>
      <c r="Q634" s="147">
        <v>57.5</v>
      </c>
      <c r="R634" s="131"/>
    </row>
    <row r="635" ht="24.95" customHeight="1" spans="1:18">
      <c r="A635" s="135" t="s">
        <v>4715</v>
      </c>
      <c r="B635" s="131" t="s">
        <v>4716</v>
      </c>
      <c r="C635" s="136" t="str">
        <f>VLOOKUP(A635,伤害计算器!$V$2:$Y$720,3,FALSE)</f>
        <v>シキジカ</v>
      </c>
      <c r="D635" s="136" t="str">
        <f>VLOOKUP(A635,伤害计算器!$V$2:$Y$720,4,FALSE)</f>
        <v>Deerling</v>
      </c>
      <c r="E635" s="131" t="s">
        <v>3296</v>
      </c>
      <c r="F635" s="131" t="s">
        <v>552</v>
      </c>
      <c r="G635" s="131" t="s">
        <v>3605</v>
      </c>
      <c r="H635" s="138">
        <v>60</v>
      </c>
      <c r="I635" s="139">
        <v>60</v>
      </c>
      <c r="J635" s="140">
        <v>50</v>
      </c>
      <c r="K635" s="141">
        <v>40</v>
      </c>
      <c r="L635" s="142">
        <v>50</v>
      </c>
      <c r="M635" s="143">
        <v>75</v>
      </c>
      <c r="N635" s="144">
        <v>335</v>
      </c>
      <c r="O635" s="145" t="s">
        <v>267</v>
      </c>
      <c r="P635" s="133" t="s">
        <v>235</v>
      </c>
      <c r="Q635" s="147">
        <v>19.5</v>
      </c>
      <c r="R635" s="131"/>
    </row>
    <row r="636" ht="24.95" customHeight="1" spans="1:18">
      <c r="A636" s="135" t="s">
        <v>4717</v>
      </c>
      <c r="B636" s="131" t="s">
        <v>4718</v>
      </c>
      <c r="C636" s="136" t="str">
        <f>VLOOKUP(A636,伤害计算器!$V$2:$Y$720,3,FALSE)</f>
        <v>メブキジカ</v>
      </c>
      <c r="D636" s="136" t="str">
        <f>VLOOKUP(A636,伤害计算器!$V$2:$Y$720,4,FALSE)</f>
        <v>Sawsbuck</v>
      </c>
      <c r="E636" s="131" t="s">
        <v>3296</v>
      </c>
      <c r="F636" s="131" t="s">
        <v>552</v>
      </c>
      <c r="G636" s="131" t="s">
        <v>3605</v>
      </c>
      <c r="H636" s="138">
        <v>80</v>
      </c>
      <c r="I636" s="139">
        <v>100</v>
      </c>
      <c r="J636" s="140">
        <v>70</v>
      </c>
      <c r="K636" s="141">
        <v>60</v>
      </c>
      <c r="L636" s="142">
        <v>70</v>
      </c>
      <c r="M636" s="143">
        <v>95</v>
      </c>
      <c r="N636" s="144">
        <v>475</v>
      </c>
      <c r="O636" s="145" t="s">
        <v>267</v>
      </c>
      <c r="P636" s="133" t="s">
        <v>235</v>
      </c>
      <c r="Q636" s="147">
        <v>92.5</v>
      </c>
      <c r="R636" s="131"/>
    </row>
    <row r="637" ht="24.95" customHeight="1" spans="1:18">
      <c r="A637" s="135" t="s">
        <v>4719</v>
      </c>
      <c r="B637" s="131" t="s">
        <v>4720</v>
      </c>
      <c r="C637" s="136" t="str">
        <f>VLOOKUP(A637,伤害计算器!$V$2:$Y$720,3,FALSE)</f>
        <v>エモンガ</v>
      </c>
      <c r="D637" s="136" t="str">
        <f>VLOOKUP(A637,伤害计算器!$V$2:$Y$720,4,FALSE)</f>
        <v>Emolga</v>
      </c>
      <c r="E637" s="131" t="s">
        <v>3361</v>
      </c>
      <c r="F637" s="137"/>
      <c r="G637" s="131" t="s">
        <v>572</v>
      </c>
      <c r="H637" s="138">
        <v>55</v>
      </c>
      <c r="I637" s="139">
        <v>75</v>
      </c>
      <c r="J637" s="140">
        <v>60</v>
      </c>
      <c r="K637" s="141">
        <v>75</v>
      </c>
      <c r="L637" s="142">
        <v>60</v>
      </c>
      <c r="M637" s="143">
        <v>103</v>
      </c>
      <c r="N637" s="144">
        <v>428</v>
      </c>
      <c r="O637" s="145" t="s">
        <v>268</v>
      </c>
      <c r="P637" s="133" t="s">
        <v>99</v>
      </c>
      <c r="Q637" s="147">
        <v>5</v>
      </c>
      <c r="R637" s="131"/>
    </row>
    <row r="638" ht="24.95" customHeight="1" spans="1:18">
      <c r="A638" s="135" t="s">
        <v>4721</v>
      </c>
      <c r="B638" s="131" t="s">
        <v>4722</v>
      </c>
      <c r="C638" s="136" t="str">
        <f>VLOOKUP(A638,伤害计算器!$V$2:$Y$720,3,FALSE)</f>
        <v>カブルモ</v>
      </c>
      <c r="D638" s="136" t="str">
        <f>VLOOKUP(A638,伤害计算器!$V$2:$Y$720,4,FALSE)</f>
        <v>Karrablast</v>
      </c>
      <c r="E638" s="131" t="s">
        <v>3333</v>
      </c>
      <c r="F638" s="131" t="s">
        <v>3324</v>
      </c>
      <c r="G638" s="131" t="s">
        <v>4723</v>
      </c>
      <c r="H638" s="138">
        <v>50</v>
      </c>
      <c r="I638" s="139">
        <v>75</v>
      </c>
      <c r="J638" s="140">
        <v>45</v>
      </c>
      <c r="K638" s="141">
        <v>40</v>
      </c>
      <c r="L638" s="142">
        <v>45</v>
      </c>
      <c r="M638" s="143">
        <v>60</v>
      </c>
      <c r="N638" s="144">
        <v>315</v>
      </c>
      <c r="O638" s="145" t="s">
        <v>272</v>
      </c>
      <c r="Q638" s="147">
        <v>5.9</v>
      </c>
      <c r="R638" s="131"/>
    </row>
    <row r="639" ht="24.95" customHeight="1" spans="1:18">
      <c r="A639" s="135" t="s">
        <v>4724</v>
      </c>
      <c r="B639" s="131" t="s">
        <v>4725</v>
      </c>
      <c r="C639" s="136" t="str">
        <f>VLOOKUP(A639,伤害计算器!$V$2:$Y$720,3,FALSE)</f>
        <v>シュバルゴ</v>
      </c>
      <c r="D639" s="136" t="str">
        <f>VLOOKUP(A639,伤害计算器!$V$2:$Y$720,4,FALSE)</f>
        <v>Escavalier</v>
      </c>
      <c r="E639" s="131" t="s">
        <v>3333</v>
      </c>
      <c r="F639" s="131" t="s">
        <v>3544</v>
      </c>
      <c r="G639" s="131" t="s">
        <v>3546</v>
      </c>
      <c r="H639" s="138">
        <v>70</v>
      </c>
      <c r="I639" s="139">
        <v>135</v>
      </c>
      <c r="J639" s="140">
        <v>105</v>
      </c>
      <c r="K639" s="141">
        <v>60</v>
      </c>
      <c r="L639" s="142">
        <v>105</v>
      </c>
      <c r="M639" s="143">
        <v>20</v>
      </c>
      <c r="N639" s="144">
        <v>495</v>
      </c>
      <c r="O639" s="145" t="s">
        <v>272</v>
      </c>
      <c r="P639" s="133" t="s">
        <v>276</v>
      </c>
      <c r="Q639" s="147">
        <v>33</v>
      </c>
      <c r="R639" s="131"/>
    </row>
    <row r="640" ht="24.95" customHeight="1" spans="1:18">
      <c r="A640" s="135" t="s">
        <v>4726</v>
      </c>
      <c r="B640" s="131" t="s">
        <v>4727</v>
      </c>
      <c r="C640" s="136" t="str">
        <f>VLOOKUP(A640,伤害计算器!$V$2:$Y$720,3,FALSE)</f>
        <v>タマゲタケ</v>
      </c>
      <c r="D640" s="136" t="str">
        <f>VLOOKUP(A640,伤害计算器!$V$2:$Y$720,4,FALSE)</f>
        <v>Foongus</v>
      </c>
      <c r="E640" s="131" t="s">
        <v>3420</v>
      </c>
      <c r="F640" s="137"/>
      <c r="G640" s="131" t="s">
        <v>3515</v>
      </c>
      <c r="H640" s="138">
        <v>69</v>
      </c>
      <c r="I640" s="139">
        <v>55</v>
      </c>
      <c r="J640" s="140">
        <v>45</v>
      </c>
      <c r="K640" s="141">
        <v>55</v>
      </c>
      <c r="L640" s="142">
        <v>55</v>
      </c>
      <c r="M640" s="143">
        <v>15</v>
      </c>
      <c r="N640" s="144">
        <v>294</v>
      </c>
      <c r="O640" s="145" t="s">
        <v>235</v>
      </c>
      <c r="P640" s="133" t="s">
        <v>270</v>
      </c>
      <c r="Q640" s="147">
        <v>1</v>
      </c>
      <c r="R640" s="131"/>
    </row>
    <row r="641" ht="24.95" customHeight="1" spans="1:18">
      <c r="A641" s="135" t="s">
        <v>4728</v>
      </c>
      <c r="B641" s="131" t="s">
        <v>4729</v>
      </c>
      <c r="C641" s="136" t="str">
        <f>VLOOKUP(A641,伤害计算器!$V$2:$Y$720,3,FALSE)</f>
        <v>モロバレル</v>
      </c>
      <c r="D641" s="136" t="str">
        <f>VLOOKUP(A641,伤害计算器!$V$2:$Y$720,4,FALSE)</f>
        <v>Amoonguss</v>
      </c>
      <c r="E641" s="131" t="s">
        <v>3420</v>
      </c>
      <c r="F641" s="137"/>
      <c r="G641" s="131" t="s">
        <v>3515</v>
      </c>
      <c r="H641" s="138">
        <v>114</v>
      </c>
      <c r="I641" s="139">
        <v>85</v>
      </c>
      <c r="J641" s="140">
        <v>70</v>
      </c>
      <c r="K641" s="141">
        <v>85</v>
      </c>
      <c r="L641" s="142">
        <v>80</v>
      </c>
      <c r="M641" s="143">
        <v>30</v>
      </c>
      <c r="N641" s="144">
        <v>464</v>
      </c>
      <c r="O641" s="145" t="s">
        <v>235</v>
      </c>
      <c r="P641" s="133" t="s">
        <v>270</v>
      </c>
      <c r="Q641" s="147">
        <v>10.5</v>
      </c>
      <c r="R641" s="131"/>
    </row>
    <row r="642" ht="24.95" customHeight="1" spans="1:18">
      <c r="A642" s="135" t="s">
        <v>4730</v>
      </c>
      <c r="B642" s="131" t="s">
        <v>4731</v>
      </c>
      <c r="C642" s="136" t="str">
        <f>VLOOKUP(A642,伤害计算器!$V$2:$Y$720,3,FALSE)</f>
        <v>プルリル</v>
      </c>
      <c r="D642" s="136" t="str">
        <f>VLOOKUP(A642,伤害计算器!$V$2:$Y$720,4,FALSE)</f>
        <v>Frillish</v>
      </c>
      <c r="E642" s="131" t="s">
        <v>533</v>
      </c>
      <c r="F642" s="131" t="s">
        <v>3551</v>
      </c>
      <c r="G642" s="131" t="s">
        <v>3424</v>
      </c>
      <c r="H642" s="138">
        <v>55</v>
      </c>
      <c r="I642" s="139">
        <v>40</v>
      </c>
      <c r="J642" s="140">
        <v>50</v>
      </c>
      <c r="K642" s="141">
        <v>65</v>
      </c>
      <c r="L642" s="142">
        <v>85</v>
      </c>
      <c r="M642" s="143">
        <v>40</v>
      </c>
      <c r="N642" s="144">
        <v>335</v>
      </c>
      <c r="O642" s="145" t="s">
        <v>251</v>
      </c>
      <c r="P642" s="133" t="s">
        <v>273</v>
      </c>
      <c r="Q642" s="147">
        <v>33</v>
      </c>
      <c r="R642" s="131"/>
    </row>
    <row r="643" ht="24.95" customHeight="1" spans="1:18">
      <c r="A643" s="135" t="s">
        <v>4732</v>
      </c>
      <c r="B643" s="131" t="s">
        <v>4733</v>
      </c>
      <c r="C643" s="136" t="str">
        <f>VLOOKUP(A643,伤害计算器!$V$2:$Y$720,3,FALSE)</f>
        <v>ブルンゲル</v>
      </c>
      <c r="D643" s="136" t="str">
        <f>VLOOKUP(A643,伤害计算器!$V$2:$Y$720,4,FALSE)</f>
        <v>Jellicent</v>
      </c>
      <c r="E643" s="131" t="s">
        <v>533</v>
      </c>
      <c r="F643" s="131" t="s">
        <v>3551</v>
      </c>
      <c r="G643" s="131" t="s">
        <v>3424</v>
      </c>
      <c r="H643" s="138">
        <v>100</v>
      </c>
      <c r="I643" s="139">
        <v>60</v>
      </c>
      <c r="J643" s="140">
        <v>70</v>
      </c>
      <c r="K643" s="141">
        <v>85</v>
      </c>
      <c r="L643" s="142">
        <v>105</v>
      </c>
      <c r="M643" s="143">
        <v>60</v>
      </c>
      <c r="N643" s="144">
        <v>480</v>
      </c>
      <c r="O643" s="145" t="s">
        <v>251</v>
      </c>
      <c r="P643" s="133" t="s">
        <v>273</v>
      </c>
      <c r="Q643" s="147">
        <v>135</v>
      </c>
      <c r="R643" s="131"/>
    </row>
    <row r="644" ht="24.95" customHeight="1" spans="1:18">
      <c r="A644" s="135" t="s">
        <v>4734</v>
      </c>
      <c r="B644" s="131" t="s">
        <v>4735</v>
      </c>
      <c r="C644" s="136" t="str">
        <f>VLOOKUP(A644,伤害计算器!$V$2:$Y$720,3,FALSE)</f>
        <v>ママンボウ</v>
      </c>
      <c r="D644" s="136" t="str">
        <f>VLOOKUP(A644,伤害计算器!$V$2:$Y$720,4,FALSE)</f>
        <v>Alomomola</v>
      </c>
      <c r="E644" s="131" t="s">
        <v>3606</v>
      </c>
      <c r="F644" s="131" t="s">
        <v>3659</v>
      </c>
      <c r="G644" s="131" t="s">
        <v>4736</v>
      </c>
      <c r="H644" s="138">
        <v>165</v>
      </c>
      <c r="I644" s="139">
        <v>75</v>
      </c>
      <c r="J644" s="140">
        <v>80</v>
      </c>
      <c r="K644" s="141">
        <v>40</v>
      </c>
      <c r="L644" s="142">
        <v>45</v>
      </c>
      <c r="M644" s="143">
        <v>65</v>
      </c>
      <c r="N644" s="144">
        <v>470</v>
      </c>
      <c r="O644" s="145" t="s">
        <v>251</v>
      </c>
      <c r="Q644" s="147">
        <v>31.6</v>
      </c>
      <c r="R644" s="131"/>
    </row>
    <row r="645" ht="24.95" customHeight="1" spans="1:18">
      <c r="A645" s="135" t="s">
        <v>4737</v>
      </c>
      <c r="B645" s="131" t="s">
        <v>4738</v>
      </c>
      <c r="C645" s="136" t="str">
        <f>VLOOKUP(A645,伤害计算器!$V$2:$Y$720,3,FALSE)</f>
        <v>バチュル</v>
      </c>
      <c r="D645" s="136" t="str">
        <f>VLOOKUP(A645,伤害计算器!$V$2:$Y$720,4,FALSE)</f>
        <v>Joltik</v>
      </c>
      <c r="E645" s="131" t="s">
        <v>67</v>
      </c>
      <c r="F645" s="131" t="s">
        <v>3355</v>
      </c>
      <c r="G645" s="131" t="s">
        <v>3333</v>
      </c>
      <c r="H645" s="138">
        <v>50</v>
      </c>
      <c r="I645" s="139">
        <v>47</v>
      </c>
      <c r="J645" s="140">
        <v>50</v>
      </c>
      <c r="K645" s="141">
        <v>57</v>
      </c>
      <c r="L645" s="142">
        <v>50</v>
      </c>
      <c r="M645" s="143">
        <v>65</v>
      </c>
      <c r="N645" s="144">
        <v>319</v>
      </c>
      <c r="O645" s="145" t="s">
        <v>272</v>
      </c>
      <c r="P645" s="133" t="s">
        <v>268</v>
      </c>
      <c r="Q645" s="147">
        <v>0.6</v>
      </c>
      <c r="R645" s="131"/>
    </row>
    <row r="646" ht="24.95" customHeight="1" spans="1:18">
      <c r="A646" s="135" t="s">
        <v>4739</v>
      </c>
      <c r="B646" s="131" t="s">
        <v>4740</v>
      </c>
      <c r="C646" s="136" t="str">
        <f>VLOOKUP(A646,伤害计算器!$V$2:$Y$720,3,FALSE)</f>
        <v>デンチュラ</v>
      </c>
      <c r="D646" s="136" t="str">
        <f>VLOOKUP(A646,伤害计算器!$V$2:$Y$720,4,FALSE)</f>
        <v>Galvantula</v>
      </c>
      <c r="E646" s="131" t="s">
        <v>67</v>
      </c>
      <c r="F646" s="131" t="s">
        <v>3355</v>
      </c>
      <c r="G646" s="131" t="s">
        <v>3333</v>
      </c>
      <c r="H646" s="138">
        <v>70</v>
      </c>
      <c r="I646" s="139">
        <v>77</v>
      </c>
      <c r="J646" s="140">
        <v>60</v>
      </c>
      <c r="K646" s="141">
        <v>97</v>
      </c>
      <c r="L646" s="142">
        <v>60</v>
      </c>
      <c r="M646" s="143">
        <v>108</v>
      </c>
      <c r="N646" s="144">
        <v>472</v>
      </c>
      <c r="O646" s="145" t="s">
        <v>272</v>
      </c>
      <c r="P646" s="133" t="s">
        <v>268</v>
      </c>
      <c r="Q646" s="147">
        <v>14.3</v>
      </c>
      <c r="R646" s="131"/>
    </row>
    <row r="647" ht="24.95" customHeight="1" spans="1:18">
      <c r="A647" s="135" t="s">
        <v>4741</v>
      </c>
      <c r="B647" s="131" t="s">
        <v>4742</v>
      </c>
      <c r="C647" s="136" t="str">
        <f>VLOOKUP(A647,伤害计算器!$V$2:$Y$720,3,FALSE)</f>
        <v>テッシード</v>
      </c>
      <c r="D647" s="136" t="str">
        <f>VLOOKUP(A647,伤害计算器!$V$2:$Y$720,4,FALSE)</f>
        <v>Ferroseed</v>
      </c>
      <c r="E647" s="131" t="s">
        <v>4743</v>
      </c>
      <c r="F647" s="137"/>
      <c r="G647" s="137"/>
      <c r="H647" s="138">
        <v>44</v>
      </c>
      <c r="I647" s="139">
        <v>50</v>
      </c>
      <c r="J647" s="140">
        <v>91</v>
      </c>
      <c r="K647" s="141">
        <v>24</v>
      </c>
      <c r="L647" s="142">
        <v>86</v>
      </c>
      <c r="M647" s="143">
        <v>10</v>
      </c>
      <c r="N647" s="144">
        <v>305</v>
      </c>
      <c r="O647" s="145" t="s">
        <v>235</v>
      </c>
      <c r="P647" s="133" t="s">
        <v>276</v>
      </c>
      <c r="Q647" s="147">
        <v>18.8</v>
      </c>
      <c r="R647" s="131"/>
    </row>
    <row r="648" ht="24.95" customHeight="1" spans="1:18">
      <c r="A648" s="135" t="s">
        <v>4744</v>
      </c>
      <c r="B648" s="131" t="s">
        <v>4745</v>
      </c>
      <c r="C648" s="136" t="str">
        <f>VLOOKUP(A648,伤害计算器!$V$2:$Y$720,3,FALSE)</f>
        <v>ナットレイ</v>
      </c>
      <c r="D648" s="136" t="str">
        <f>VLOOKUP(A648,伤害计算器!$V$2:$Y$720,4,FALSE)</f>
        <v>Ferrothorn</v>
      </c>
      <c r="E648" s="131" t="s">
        <v>4743</v>
      </c>
      <c r="F648" s="137"/>
      <c r="G648" s="131" t="s">
        <v>3655</v>
      </c>
      <c r="H648" s="138">
        <v>74</v>
      </c>
      <c r="I648" s="139">
        <v>94</v>
      </c>
      <c r="J648" s="140">
        <v>131</v>
      </c>
      <c r="K648" s="141">
        <v>54</v>
      </c>
      <c r="L648" s="142">
        <v>116</v>
      </c>
      <c r="M648" s="143">
        <v>20</v>
      </c>
      <c r="N648" s="144">
        <v>489</v>
      </c>
      <c r="O648" s="145" t="s">
        <v>235</v>
      </c>
      <c r="P648" s="133" t="s">
        <v>276</v>
      </c>
      <c r="Q648" s="147">
        <v>110</v>
      </c>
      <c r="R648" s="131"/>
    </row>
    <row r="649" ht="24.95" customHeight="1" spans="1:18">
      <c r="A649" s="135" t="s">
        <v>4746</v>
      </c>
      <c r="B649" s="131" t="s">
        <v>4747</v>
      </c>
      <c r="C649" s="136" t="str">
        <f>VLOOKUP(A649,伤害计算器!$V$2:$Y$720,3,FALSE)</f>
        <v>ギアル</v>
      </c>
      <c r="D649" s="136" t="str">
        <f>VLOOKUP(A649,伤害计算器!$V$2:$Y$720,4,FALSE)</f>
        <v>Klink</v>
      </c>
      <c r="E649" s="131" t="s">
        <v>3764</v>
      </c>
      <c r="F649" s="131" t="s">
        <v>4076</v>
      </c>
      <c r="G649" s="131" t="s">
        <v>4748</v>
      </c>
      <c r="H649" s="138">
        <v>40</v>
      </c>
      <c r="I649" s="139">
        <v>55</v>
      </c>
      <c r="J649" s="140">
        <v>70</v>
      </c>
      <c r="K649" s="141">
        <v>45</v>
      </c>
      <c r="L649" s="142">
        <v>60</v>
      </c>
      <c r="M649" s="143">
        <v>30</v>
      </c>
      <c r="N649" s="144">
        <v>300</v>
      </c>
      <c r="O649" s="145" t="s">
        <v>276</v>
      </c>
      <c r="Q649" s="147">
        <v>21</v>
      </c>
      <c r="R649" s="131"/>
    </row>
    <row r="650" ht="24.95" customHeight="1" spans="1:18">
      <c r="A650" s="135" t="s">
        <v>4749</v>
      </c>
      <c r="B650" s="131" t="s">
        <v>4750</v>
      </c>
      <c r="C650" s="136" t="str">
        <f>VLOOKUP(A650,伤害计算器!$V$2:$Y$720,3,FALSE)</f>
        <v>ギギアル</v>
      </c>
      <c r="D650" s="136" t="str">
        <f>VLOOKUP(A650,伤害计算器!$V$2:$Y$720,4,FALSE)</f>
        <v>Klang</v>
      </c>
      <c r="E650" s="131" t="s">
        <v>3764</v>
      </c>
      <c r="F650" s="131" t="s">
        <v>4079</v>
      </c>
      <c r="G650" s="131" t="s">
        <v>3493</v>
      </c>
      <c r="H650" s="138">
        <v>60</v>
      </c>
      <c r="I650" s="139">
        <v>80</v>
      </c>
      <c r="J650" s="140">
        <v>95</v>
      </c>
      <c r="K650" s="141">
        <v>70</v>
      </c>
      <c r="L650" s="142">
        <v>85</v>
      </c>
      <c r="M650" s="143">
        <v>50</v>
      </c>
      <c r="N650" s="144">
        <v>440</v>
      </c>
      <c r="O650" s="145" t="s">
        <v>276</v>
      </c>
      <c r="Q650" s="147">
        <v>51</v>
      </c>
      <c r="R650" s="131"/>
    </row>
    <row r="651" ht="24.95" customHeight="1" spans="1:18">
      <c r="A651" s="135" t="s">
        <v>4751</v>
      </c>
      <c r="B651" s="131" t="s">
        <v>4752</v>
      </c>
      <c r="C651" s="136" t="str">
        <f>VLOOKUP(A651,伤害计算器!$V$2:$Y$720,3,FALSE)</f>
        <v>ギギギアル</v>
      </c>
      <c r="D651" s="136" t="str">
        <f>VLOOKUP(A651,伤害计算器!$V$2:$Y$720,4,FALSE)</f>
        <v>Klinklang</v>
      </c>
      <c r="E651" s="131" t="s">
        <v>3764</v>
      </c>
      <c r="F651" s="131" t="s">
        <v>4079</v>
      </c>
      <c r="G651" s="131" t="s">
        <v>3493</v>
      </c>
      <c r="H651" s="138">
        <v>60</v>
      </c>
      <c r="I651" s="139">
        <v>100</v>
      </c>
      <c r="J651" s="140">
        <v>115</v>
      </c>
      <c r="K651" s="141">
        <v>70</v>
      </c>
      <c r="L651" s="142">
        <v>85</v>
      </c>
      <c r="M651" s="143">
        <v>90</v>
      </c>
      <c r="N651" s="144">
        <v>520</v>
      </c>
      <c r="O651" s="145" t="s">
        <v>276</v>
      </c>
      <c r="Q651" s="147">
        <v>81</v>
      </c>
      <c r="R651" s="131"/>
    </row>
    <row r="652" ht="24.95" customHeight="1" spans="1:18">
      <c r="A652" s="135" t="s">
        <v>4753</v>
      </c>
      <c r="B652" s="131" t="s">
        <v>4754</v>
      </c>
      <c r="C652" s="136" t="str">
        <f>VLOOKUP(A652,伤害计算器!$V$2:$Y$720,3,FALSE)</f>
        <v>シビシラス</v>
      </c>
      <c r="D652" s="136" t="str">
        <f>VLOOKUP(A652,伤害计算器!$V$2:$Y$720,4,FALSE)</f>
        <v>Tynamo</v>
      </c>
      <c r="E652" s="131" t="s">
        <v>582</v>
      </c>
      <c r="F652" s="137"/>
      <c r="G652" s="137"/>
      <c r="H652" s="138">
        <v>35</v>
      </c>
      <c r="I652" s="139">
        <v>55</v>
      </c>
      <c r="J652" s="140">
        <v>40</v>
      </c>
      <c r="K652" s="141">
        <v>45</v>
      </c>
      <c r="L652" s="142">
        <v>40</v>
      </c>
      <c r="M652" s="143">
        <v>60</v>
      </c>
      <c r="N652" s="144">
        <v>275</v>
      </c>
      <c r="O652" s="145" t="s">
        <v>268</v>
      </c>
      <c r="Q652" s="147">
        <v>0.3</v>
      </c>
      <c r="R652" s="131"/>
    </row>
    <row r="653" ht="24.95" customHeight="1" spans="1:18">
      <c r="A653" s="135" t="s">
        <v>4755</v>
      </c>
      <c r="B653" s="131" t="s">
        <v>4756</v>
      </c>
      <c r="C653" s="136" t="str">
        <f>VLOOKUP(A653,伤害计算器!$V$2:$Y$720,3,FALSE)</f>
        <v>シビビール</v>
      </c>
      <c r="D653" s="136" t="str">
        <f>VLOOKUP(A653,伤害计算器!$V$2:$Y$720,4,FALSE)</f>
        <v>Eelektrik</v>
      </c>
      <c r="E653" s="131" t="s">
        <v>582</v>
      </c>
      <c r="F653" s="137"/>
      <c r="G653" s="137"/>
      <c r="H653" s="138">
        <v>65</v>
      </c>
      <c r="I653" s="139">
        <v>85</v>
      </c>
      <c r="J653" s="140">
        <v>70</v>
      </c>
      <c r="K653" s="141">
        <v>75</v>
      </c>
      <c r="L653" s="142">
        <v>70</v>
      </c>
      <c r="M653" s="143">
        <v>40</v>
      </c>
      <c r="N653" s="144">
        <v>405</v>
      </c>
      <c r="O653" s="145" t="s">
        <v>268</v>
      </c>
      <c r="Q653" s="147">
        <v>22</v>
      </c>
      <c r="R653" s="131"/>
    </row>
    <row r="654" ht="24.95" customHeight="1" spans="1:18">
      <c r="A654" s="135" t="s">
        <v>4757</v>
      </c>
      <c r="B654" s="131" t="s">
        <v>4758</v>
      </c>
      <c r="C654" s="136" t="str">
        <f>VLOOKUP(A654,伤害计算器!$V$2:$Y$720,3,FALSE)</f>
        <v>シビルドン</v>
      </c>
      <c r="D654" s="136" t="str">
        <f>VLOOKUP(A654,伤害计算器!$V$2:$Y$720,4,FALSE)</f>
        <v>Eelektross</v>
      </c>
      <c r="E654" s="131" t="s">
        <v>582</v>
      </c>
      <c r="F654" s="137"/>
      <c r="G654" s="137"/>
      <c r="H654" s="138">
        <v>85</v>
      </c>
      <c r="I654" s="139">
        <v>115</v>
      </c>
      <c r="J654" s="140">
        <v>80</v>
      </c>
      <c r="K654" s="141">
        <v>105</v>
      </c>
      <c r="L654" s="142">
        <v>80</v>
      </c>
      <c r="M654" s="143">
        <v>50</v>
      </c>
      <c r="N654" s="144">
        <v>515</v>
      </c>
      <c r="O654" s="145" t="s">
        <v>268</v>
      </c>
      <c r="Q654" s="147">
        <v>80.5</v>
      </c>
      <c r="R654" s="131"/>
    </row>
    <row r="655" ht="24.95" customHeight="1" spans="1:18">
      <c r="A655" s="135" t="s">
        <v>4759</v>
      </c>
      <c r="B655" s="131" t="s">
        <v>4760</v>
      </c>
      <c r="C655" s="136" t="str">
        <f>VLOOKUP(A655,伤害计算器!$V$2:$Y$720,3,FALSE)</f>
        <v>リグレー</v>
      </c>
      <c r="D655" s="136" t="str">
        <f>VLOOKUP(A655,伤害计算器!$V$2:$Y$720,4,FALSE)</f>
        <v>Elgyem</v>
      </c>
      <c r="E655" s="131" t="s">
        <v>3822</v>
      </c>
      <c r="F655" s="131" t="s">
        <v>3471</v>
      </c>
      <c r="G655" s="131" t="s">
        <v>37</v>
      </c>
      <c r="H655" s="138">
        <v>55</v>
      </c>
      <c r="I655" s="139">
        <v>55</v>
      </c>
      <c r="J655" s="140">
        <v>55</v>
      </c>
      <c r="K655" s="141">
        <v>85</v>
      </c>
      <c r="L655" s="142">
        <v>55</v>
      </c>
      <c r="M655" s="143">
        <v>30</v>
      </c>
      <c r="N655" s="144">
        <v>335</v>
      </c>
      <c r="O655" s="145" t="s">
        <v>271</v>
      </c>
      <c r="Q655" s="147">
        <v>9</v>
      </c>
      <c r="R655" s="131"/>
    </row>
    <row r="656" ht="24.95" customHeight="1" spans="1:18">
      <c r="A656" s="135" t="s">
        <v>4761</v>
      </c>
      <c r="B656" s="131" t="s">
        <v>4762</v>
      </c>
      <c r="C656" s="136" t="str">
        <f>VLOOKUP(A656,伤害计算器!$V$2:$Y$720,3,FALSE)</f>
        <v>オーベム</v>
      </c>
      <c r="D656" s="136" t="str">
        <f>VLOOKUP(A656,伤害计算器!$V$2:$Y$720,4,FALSE)</f>
        <v>Beheeyem</v>
      </c>
      <c r="E656" s="131" t="s">
        <v>3822</v>
      </c>
      <c r="F656" s="131" t="s">
        <v>3471</v>
      </c>
      <c r="G656" s="131" t="s">
        <v>37</v>
      </c>
      <c r="H656" s="138">
        <v>75</v>
      </c>
      <c r="I656" s="139">
        <v>75</v>
      </c>
      <c r="J656" s="140">
        <v>75</v>
      </c>
      <c r="K656" s="141">
        <v>125</v>
      </c>
      <c r="L656" s="142">
        <v>95</v>
      </c>
      <c r="M656" s="143">
        <v>40</v>
      </c>
      <c r="N656" s="144">
        <v>485</v>
      </c>
      <c r="O656" s="145" t="s">
        <v>271</v>
      </c>
      <c r="Q656" s="147">
        <v>34.5</v>
      </c>
      <c r="R656" s="131"/>
    </row>
    <row r="657" ht="24.95" customHeight="1" spans="1:18">
      <c r="A657" s="135" t="s">
        <v>4763</v>
      </c>
      <c r="B657" s="131" t="s">
        <v>4764</v>
      </c>
      <c r="C657" s="136" t="str">
        <f>VLOOKUP(A657,伤害计算器!$V$2:$Y$720,3,FALSE)</f>
        <v>ヒトモシ</v>
      </c>
      <c r="D657" s="136" t="str">
        <f>VLOOKUP(A657,伤害计算器!$V$2:$Y$720,4,FALSE)</f>
        <v>Litwick</v>
      </c>
      <c r="E657" s="131" t="s">
        <v>542</v>
      </c>
      <c r="F657" s="131" t="s">
        <v>3508</v>
      </c>
      <c r="G657" s="131" t="s">
        <v>3410</v>
      </c>
      <c r="H657" s="138">
        <v>50</v>
      </c>
      <c r="I657" s="139">
        <v>30</v>
      </c>
      <c r="J657" s="140">
        <v>55</v>
      </c>
      <c r="K657" s="141">
        <v>65</v>
      </c>
      <c r="L657" s="142">
        <v>55</v>
      </c>
      <c r="M657" s="143">
        <v>20</v>
      </c>
      <c r="N657" s="144">
        <v>275</v>
      </c>
      <c r="O657" s="145" t="s">
        <v>273</v>
      </c>
      <c r="P657" s="133" t="s">
        <v>250</v>
      </c>
      <c r="Q657" s="147">
        <v>3.1</v>
      </c>
      <c r="R657" s="131"/>
    </row>
    <row r="658" ht="24.95" customHeight="1" spans="1:18">
      <c r="A658" s="135" t="s">
        <v>4765</v>
      </c>
      <c r="B658" s="131" t="s">
        <v>4766</v>
      </c>
      <c r="C658" s="136" t="str">
        <f>VLOOKUP(A658,伤害计算器!$V$2:$Y$720,3,FALSE)</f>
        <v>ランプラー</v>
      </c>
      <c r="D658" s="136" t="str">
        <f>VLOOKUP(A658,伤害计算器!$V$2:$Y$720,4,FALSE)</f>
        <v>Lampent</v>
      </c>
      <c r="E658" s="131" t="s">
        <v>542</v>
      </c>
      <c r="F658" s="131" t="s">
        <v>3508</v>
      </c>
      <c r="G658" s="131" t="s">
        <v>3410</v>
      </c>
      <c r="H658" s="138">
        <v>60</v>
      </c>
      <c r="I658" s="139">
        <v>40</v>
      </c>
      <c r="J658" s="140">
        <v>60</v>
      </c>
      <c r="K658" s="141">
        <v>95</v>
      </c>
      <c r="L658" s="142">
        <v>60</v>
      </c>
      <c r="M658" s="143">
        <v>55</v>
      </c>
      <c r="N658" s="144">
        <v>370</v>
      </c>
      <c r="O658" s="145" t="s">
        <v>273</v>
      </c>
      <c r="P658" s="133" t="s">
        <v>250</v>
      </c>
      <c r="Q658" s="147">
        <v>13</v>
      </c>
      <c r="R658" s="131"/>
    </row>
    <row r="659" ht="24.95" customHeight="1" spans="1:18">
      <c r="A659" s="135" t="s">
        <v>4767</v>
      </c>
      <c r="B659" s="131" t="s">
        <v>4768</v>
      </c>
      <c r="C659" s="136" t="str">
        <f>VLOOKUP(A659,伤害计算器!$V$2:$Y$720,3,FALSE)</f>
        <v>シャンデラ</v>
      </c>
      <c r="D659" s="136" t="str">
        <f>VLOOKUP(A659,伤害计算器!$V$2:$Y$720,4,FALSE)</f>
        <v>Chandelure</v>
      </c>
      <c r="E659" s="131" t="s">
        <v>542</v>
      </c>
      <c r="F659" s="131" t="s">
        <v>3508</v>
      </c>
      <c r="G659" s="131" t="s">
        <v>3410</v>
      </c>
      <c r="H659" s="138">
        <v>60</v>
      </c>
      <c r="I659" s="139">
        <v>55</v>
      </c>
      <c r="J659" s="140">
        <v>90</v>
      </c>
      <c r="K659" s="141">
        <v>145</v>
      </c>
      <c r="L659" s="142">
        <v>90</v>
      </c>
      <c r="M659" s="143">
        <v>80</v>
      </c>
      <c r="N659" s="144">
        <v>520</v>
      </c>
      <c r="O659" s="145" t="s">
        <v>273</v>
      </c>
      <c r="P659" s="133" t="s">
        <v>250</v>
      </c>
      <c r="Q659" s="147">
        <v>34.3</v>
      </c>
      <c r="R659" s="131"/>
    </row>
    <row r="660" ht="24.95" customHeight="1" spans="1:18">
      <c r="A660" s="135" t="s">
        <v>4769</v>
      </c>
      <c r="B660" s="131" t="s">
        <v>4770</v>
      </c>
      <c r="C660" s="136" t="str">
        <f>VLOOKUP(A660,伤害计算器!$V$2:$Y$720,3,FALSE)</f>
        <v>キバゴ</v>
      </c>
      <c r="D660" s="136" t="str">
        <f>VLOOKUP(A660,伤害计算器!$V$2:$Y$720,4,FALSE)</f>
        <v>Axew</v>
      </c>
      <c r="E660" s="131" t="s">
        <v>3381</v>
      </c>
      <c r="F660" s="131" t="s">
        <v>83</v>
      </c>
      <c r="G660" s="131" t="s">
        <v>3355</v>
      </c>
      <c r="H660" s="138">
        <v>46</v>
      </c>
      <c r="I660" s="139">
        <v>87</v>
      </c>
      <c r="J660" s="140">
        <v>60</v>
      </c>
      <c r="K660" s="141">
        <v>30</v>
      </c>
      <c r="L660" s="142">
        <v>40</v>
      </c>
      <c r="M660" s="143">
        <v>57</v>
      </c>
      <c r="N660" s="144">
        <v>320</v>
      </c>
      <c r="O660" s="145" t="s">
        <v>274</v>
      </c>
      <c r="Q660" s="147">
        <v>18</v>
      </c>
      <c r="R660" s="131"/>
    </row>
    <row r="661" ht="24.95" customHeight="1" spans="1:18">
      <c r="A661" s="135" t="s">
        <v>4771</v>
      </c>
      <c r="B661" s="131" t="s">
        <v>4772</v>
      </c>
      <c r="C661" s="136" t="str">
        <f>VLOOKUP(A661,伤害计算器!$V$2:$Y$720,3,FALSE)</f>
        <v>オノンド</v>
      </c>
      <c r="D661" s="136" t="str">
        <f>VLOOKUP(A661,伤害计算器!$V$2:$Y$720,4,FALSE)</f>
        <v>Fraxure</v>
      </c>
      <c r="E661" s="131" t="s">
        <v>3381</v>
      </c>
      <c r="F661" s="131" t="s">
        <v>83</v>
      </c>
      <c r="G661" s="131" t="s">
        <v>3355</v>
      </c>
      <c r="H661" s="138">
        <v>66</v>
      </c>
      <c r="I661" s="139">
        <v>117</v>
      </c>
      <c r="J661" s="140">
        <v>70</v>
      </c>
      <c r="K661" s="141">
        <v>40</v>
      </c>
      <c r="L661" s="142">
        <v>50</v>
      </c>
      <c r="M661" s="143">
        <v>67</v>
      </c>
      <c r="N661" s="144">
        <v>410</v>
      </c>
      <c r="O661" s="145" t="s">
        <v>274</v>
      </c>
      <c r="Q661" s="147">
        <v>36</v>
      </c>
      <c r="R661" s="131"/>
    </row>
    <row r="662" ht="24.95" customHeight="1" spans="1:18">
      <c r="A662" s="135" t="s">
        <v>4773</v>
      </c>
      <c r="B662" s="131" t="s">
        <v>4774</v>
      </c>
      <c r="C662" s="136" t="str">
        <f>VLOOKUP(A662,伤害计算器!$V$2:$Y$720,3,FALSE)</f>
        <v>オノノクス</v>
      </c>
      <c r="D662" s="136" t="str">
        <f>VLOOKUP(A662,伤害计算器!$V$2:$Y$720,4,FALSE)</f>
        <v>Haxorus</v>
      </c>
      <c r="E662" s="131" t="s">
        <v>3381</v>
      </c>
      <c r="F662" s="131" t="s">
        <v>83</v>
      </c>
      <c r="G662" s="131" t="s">
        <v>3355</v>
      </c>
      <c r="H662" s="138">
        <v>76</v>
      </c>
      <c r="I662" s="139">
        <v>147</v>
      </c>
      <c r="J662" s="140">
        <v>90</v>
      </c>
      <c r="K662" s="141">
        <v>60</v>
      </c>
      <c r="L662" s="142">
        <v>70</v>
      </c>
      <c r="M662" s="143">
        <v>97</v>
      </c>
      <c r="N662" s="144">
        <v>540</v>
      </c>
      <c r="O662" s="145" t="s">
        <v>274</v>
      </c>
      <c r="Q662" s="147">
        <v>105.5</v>
      </c>
      <c r="R662" s="131"/>
    </row>
    <row r="663" ht="24.95" customHeight="1" spans="1:18">
      <c r="A663" s="135" t="s">
        <v>4775</v>
      </c>
      <c r="B663" s="131" t="s">
        <v>4776</v>
      </c>
      <c r="C663" s="136" t="str">
        <f>VLOOKUP(A663,伤害计算器!$V$2:$Y$720,3,FALSE)</f>
        <v>クマシュン</v>
      </c>
      <c r="D663" s="136" t="str">
        <f>VLOOKUP(A663,伤害计算器!$V$2:$Y$720,4,FALSE)</f>
        <v>Cubchoo</v>
      </c>
      <c r="E663" s="131" t="s">
        <v>81</v>
      </c>
      <c r="F663" s="137"/>
      <c r="G663" s="131" t="s">
        <v>3645</v>
      </c>
      <c r="H663" s="138">
        <v>55</v>
      </c>
      <c r="I663" s="139">
        <v>70</v>
      </c>
      <c r="J663" s="140">
        <v>40</v>
      </c>
      <c r="K663" s="141">
        <v>60</v>
      </c>
      <c r="L663" s="142">
        <v>40</v>
      </c>
      <c r="M663" s="143">
        <v>40</v>
      </c>
      <c r="N663" s="144">
        <v>305</v>
      </c>
      <c r="O663" s="145" t="s">
        <v>100</v>
      </c>
      <c r="Q663" s="147">
        <v>8.5</v>
      </c>
      <c r="R663" s="131"/>
    </row>
    <row r="664" ht="24.95" customHeight="1" spans="1:18">
      <c r="A664" s="135" t="s">
        <v>4777</v>
      </c>
      <c r="B664" s="131" t="s">
        <v>4778</v>
      </c>
      <c r="C664" s="136" t="str">
        <f>VLOOKUP(A664,伤害计算器!$V$2:$Y$720,3,FALSE)</f>
        <v>ツンベアー</v>
      </c>
      <c r="D664" s="136" t="str">
        <f>VLOOKUP(A664,伤害计算器!$V$2:$Y$720,4,FALSE)</f>
        <v>Beartic</v>
      </c>
      <c r="E664" s="131" t="s">
        <v>81</v>
      </c>
      <c r="F664" s="137"/>
      <c r="G664" s="131" t="s">
        <v>3448</v>
      </c>
      <c r="H664" s="138">
        <v>95</v>
      </c>
      <c r="I664" s="139">
        <v>110</v>
      </c>
      <c r="J664" s="140">
        <v>80</v>
      </c>
      <c r="K664" s="141">
        <v>70</v>
      </c>
      <c r="L664" s="142">
        <v>80</v>
      </c>
      <c r="M664" s="143">
        <v>50</v>
      </c>
      <c r="N664" s="144">
        <v>485</v>
      </c>
      <c r="O664" s="145" t="s">
        <v>100</v>
      </c>
      <c r="Q664" s="147">
        <v>260</v>
      </c>
      <c r="R664" s="131"/>
    </row>
    <row r="665" ht="24.95" customHeight="1" spans="1:18">
      <c r="A665" s="135" t="s">
        <v>4779</v>
      </c>
      <c r="B665" s="131" t="s">
        <v>4780</v>
      </c>
      <c r="C665" s="136" t="str">
        <f>VLOOKUP(A665,伤害计算器!$V$2:$Y$720,3,FALSE)</f>
        <v>フリージオ</v>
      </c>
      <c r="D665" s="136" t="str">
        <f>VLOOKUP(A665,伤害计算器!$V$2:$Y$720,4,FALSE)</f>
        <v>Cryogonal</v>
      </c>
      <c r="E665" s="131" t="s">
        <v>582</v>
      </c>
      <c r="F665" s="137"/>
      <c r="G665" s="137"/>
      <c r="H665" s="138">
        <v>70</v>
      </c>
      <c r="I665" s="139">
        <v>50</v>
      </c>
      <c r="J665" s="140">
        <v>30</v>
      </c>
      <c r="K665" s="141">
        <v>95</v>
      </c>
      <c r="L665" s="142">
        <v>135</v>
      </c>
      <c r="M665" s="143">
        <v>105</v>
      </c>
      <c r="N665" s="144">
        <v>485</v>
      </c>
      <c r="O665" s="145" t="s">
        <v>100</v>
      </c>
      <c r="Q665" s="147">
        <v>148</v>
      </c>
      <c r="R665" s="131"/>
    </row>
    <row r="666" ht="24.95" customHeight="1" spans="1:18">
      <c r="A666" s="135" t="s">
        <v>4781</v>
      </c>
      <c r="B666" s="131" t="s">
        <v>4782</v>
      </c>
      <c r="C666" s="136" t="str">
        <f>VLOOKUP(A666,伤害计算器!$V$2:$Y$720,3,FALSE)</f>
        <v>チョボマキ</v>
      </c>
      <c r="D666" s="136" t="str">
        <f>VLOOKUP(A666,伤害计算器!$V$2:$Y$720,4,FALSE)</f>
        <v>Shelmet</v>
      </c>
      <c r="E666" s="131" t="s">
        <v>3532</v>
      </c>
      <c r="F666" s="131" t="s">
        <v>3544</v>
      </c>
      <c r="G666" s="131" t="s">
        <v>3546</v>
      </c>
      <c r="H666" s="138">
        <v>50</v>
      </c>
      <c r="I666" s="139">
        <v>40</v>
      </c>
      <c r="J666" s="140">
        <v>85</v>
      </c>
      <c r="K666" s="141">
        <v>40</v>
      </c>
      <c r="L666" s="142">
        <v>65</v>
      </c>
      <c r="M666" s="143">
        <v>25</v>
      </c>
      <c r="N666" s="144">
        <v>305</v>
      </c>
      <c r="O666" s="145" t="s">
        <v>272</v>
      </c>
      <c r="Q666" s="147">
        <v>7.7</v>
      </c>
      <c r="R666" s="131"/>
    </row>
    <row r="667" ht="24.95" customHeight="1" spans="1:18">
      <c r="A667" s="135" t="s">
        <v>4783</v>
      </c>
      <c r="B667" s="131" t="s">
        <v>4784</v>
      </c>
      <c r="C667" s="136" t="str">
        <f>VLOOKUP(A667,伤害计算器!$V$2:$Y$720,3,FALSE)</f>
        <v>アギルダー</v>
      </c>
      <c r="D667" s="136" t="str">
        <f>VLOOKUP(A667,伤害计算器!$V$2:$Y$720,4,FALSE)</f>
        <v>Accelgor</v>
      </c>
      <c r="E667" s="131" t="s">
        <v>3532</v>
      </c>
      <c r="F667" s="131" t="s">
        <v>4099</v>
      </c>
      <c r="G667" s="131" t="s">
        <v>3941</v>
      </c>
      <c r="H667" s="138">
        <v>80</v>
      </c>
      <c r="I667" s="139">
        <v>70</v>
      </c>
      <c r="J667" s="140">
        <v>40</v>
      </c>
      <c r="K667" s="141">
        <v>100</v>
      </c>
      <c r="L667" s="142">
        <v>60</v>
      </c>
      <c r="M667" s="143">
        <v>145</v>
      </c>
      <c r="N667" s="144">
        <v>495</v>
      </c>
      <c r="O667" s="145" t="s">
        <v>272</v>
      </c>
      <c r="Q667" s="147">
        <v>25.3</v>
      </c>
      <c r="R667" s="131"/>
    </row>
    <row r="668" ht="24.95" customHeight="1" spans="1:18">
      <c r="A668" s="135" t="s">
        <v>4785</v>
      </c>
      <c r="B668" s="131" t="s">
        <v>4786</v>
      </c>
      <c r="C668" s="136" t="str">
        <f>VLOOKUP(A668,伤害计算器!$V$2:$Y$720,3,FALSE)</f>
        <v>マッギョ</v>
      </c>
      <c r="D668" s="136" t="str">
        <f>VLOOKUP(A668,伤害计算器!$V$2:$Y$720,4,FALSE)</f>
        <v>Stunfisk</v>
      </c>
      <c r="E668" s="131" t="s">
        <v>3361</v>
      </c>
      <c r="F668" s="131" t="s">
        <v>3444</v>
      </c>
      <c r="G668" s="131" t="s">
        <v>80</v>
      </c>
      <c r="H668" s="138">
        <v>109</v>
      </c>
      <c r="I668" s="139">
        <v>66</v>
      </c>
      <c r="J668" s="140">
        <v>84</v>
      </c>
      <c r="K668" s="141">
        <v>81</v>
      </c>
      <c r="L668" s="142">
        <v>99</v>
      </c>
      <c r="M668" s="143">
        <v>32</v>
      </c>
      <c r="N668" s="144">
        <v>471</v>
      </c>
      <c r="O668" s="145" t="s">
        <v>237</v>
      </c>
      <c r="P668" s="133" t="s">
        <v>268</v>
      </c>
      <c r="Q668" s="147">
        <v>11</v>
      </c>
      <c r="R668" s="131"/>
    </row>
    <row r="669" ht="24.95" customHeight="1" spans="1:18">
      <c r="A669" s="135" t="s">
        <v>4787</v>
      </c>
      <c r="B669" s="131" t="s">
        <v>4788</v>
      </c>
      <c r="C669" s="136" t="str">
        <f>VLOOKUP(A669,伤害计算器!$V$2:$Y$720,3,FALSE)</f>
        <v>コジョフー</v>
      </c>
      <c r="D669" s="136" t="str">
        <f>VLOOKUP(A669,伤害计算器!$V$2:$Y$720,4,FALSE)</f>
        <v>Mienfoo</v>
      </c>
      <c r="E669" s="131" t="s">
        <v>3409</v>
      </c>
      <c r="F669" s="131" t="s">
        <v>4736</v>
      </c>
      <c r="G669" s="131" t="s">
        <v>4789</v>
      </c>
      <c r="H669" s="138">
        <v>45</v>
      </c>
      <c r="I669" s="139">
        <v>85</v>
      </c>
      <c r="J669" s="140">
        <v>50</v>
      </c>
      <c r="K669" s="141">
        <v>55</v>
      </c>
      <c r="L669" s="142">
        <v>50</v>
      </c>
      <c r="M669" s="143">
        <v>65</v>
      </c>
      <c r="N669" s="144">
        <v>350</v>
      </c>
      <c r="O669" s="145" t="s">
        <v>269</v>
      </c>
      <c r="Q669" s="147">
        <v>20</v>
      </c>
      <c r="R669" s="131"/>
    </row>
    <row r="670" ht="24.95" customHeight="1" spans="1:18">
      <c r="A670" s="135" t="s">
        <v>4790</v>
      </c>
      <c r="B670" s="131" t="s">
        <v>4791</v>
      </c>
      <c r="C670" s="136" t="str">
        <f>VLOOKUP(A670,伤害计算器!$V$2:$Y$720,3,FALSE)</f>
        <v>コジョンド</v>
      </c>
      <c r="D670" s="136" t="str">
        <f>VLOOKUP(A670,伤害计算器!$V$2:$Y$720,4,FALSE)</f>
        <v>Mienshao</v>
      </c>
      <c r="E670" s="131" t="s">
        <v>3409</v>
      </c>
      <c r="F670" s="131" t="s">
        <v>3515</v>
      </c>
      <c r="G670" s="131" t="s">
        <v>38</v>
      </c>
      <c r="H670" s="138">
        <v>65</v>
      </c>
      <c r="I670" s="139">
        <v>125</v>
      </c>
      <c r="J670" s="140">
        <v>60</v>
      </c>
      <c r="K670" s="141">
        <v>95</v>
      </c>
      <c r="L670" s="142">
        <v>60</v>
      </c>
      <c r="M670" s="143">
        <v>105</v>
      </c>
      <c r="N670" s="144">
        <v>510</v>
      </c>
      <c r="O670" s="145" t="s">
        <v>269</v>
      </c>
      <c r="Q670" s="147">
        <v>35.5</v>
      </c>
      <c r="R670" s="131"/>
    </row>
    <row r="671" ht="24.95" customHeight="1" spans="1:18">
      <c r="A671" s="135" t="s">
        <v>4792</v>
      </c>
      <c r="B671" s="131" t="s">
        <v>4793</v>
      </c>
      <c r="C671" s="136" t="str">
        <f>VLOOKUP(A671,伤害计算器!$V$2:$Y$720,3,FALSE)</f>
        <v>クリムガン</v>
      </c>
      <c r="D671" s="136" t="str">
        <f>VLOOKUP(A671,伤害计算器!$V$2:$Y$720,4,FALSE)</f>
        <v>Druddigon</v>
      </c>
      <c r="E671" s="131" t="s">
        <v>4102</v>
      </c>
      <c r="F671" s="131" t="s">
        <v>41</v>
      </c>
      <c r="G671" s="131" t="s">
        <v>83</v>
      </c>
      <c r="H671" s="138">
        <v>77</v>
      </c>
      <c r="I671" s="139">
        <v>120</v>
      </c>
      <c r="J671" s="140">
        <v>90</v>
      </c>
      <c r="K671" s="141">
        <v>60</v>
      </c>
      <c r="L671" s="142">
        <v>90</v>
      </c>
      <c r="M671" s="143">
        <v>48</v>
      </c>
      <c r="N671" s="144">
        <v>485</v>
      </c>
      <c r="O671" s="145" t="s">
        <v>274</v>
      </c>
      <c r="Q671" s="147">
        <v>139</v>
      </c>
      <c r="R671" s="131"/>
    </row>
    <row r="672" ht="24.95" customHeight="1" spans="1:18">
      <c r="A672" s="135" t="s">
        <v>4794</v>
      </c>
      <c r="B672" s="131" t="s">
        <v>4795</v>
      </c>
      <c r="C672" s="136" t="str">
        <f>VLOOKUP(A672,伤害计算器!$V$2:$Y$720,3,FALSE)</f>
        <v>ゴビット</v>
      </c>
      <c r="D672" s="136" t="str">
        <f>VLOOKUP(A672,伤害计算器!$V$2:$Y$720,4,FALSE)</f>
        <v>Golett</v>
      </c>
      <c r="E672" s="131" t="s">
        <v>39</v>
      </c>
      <c r="F672" s="131" t="s">
        <v>4365</v>
      </c>
      <c r="G672" s="131" t="s">
        <v>69</v>
      </c>
      <c r="H672" s="138">
        <v>59</v>
      </c>
      <c r="I672" s="139">
        <v>74</v>
      </c>
      <c r="J672" s="140">
        <v>50</v>
      </c>
      <c r="K672" s="141">
        <v>35</v>
      </c>
      <c r="L672" s="142">
        <v>50</v>
      </c>
      <c r="M672" s="143">
        <v>35</v>
      </c>
      <c r="N672" s="144">
        <v>303</v>
      </c>
      <c r="O672" s="145" t="s">
        <v>237</v>
      </c>
      <c r="P672" s="133" t="s">
        <v>273</v>
      </c>
      <c r="Q672" s="147">
        <v>92</v>
      </c>
      <c r="R672" s="131"/>
    </row>
    <row r="673" ht="24.95" customHeight="1" spans="1:18">
      <c r="A673" s="135" t="s">
        <v>4796</v>
      </c>
      <c r="B673" s="131" t="s">
        <v>4797</v>
      </c>
      <c r="C673" s="136" t="str">
        <f>VLOOKUP(A673,伤害计算器!$V$2:$Y$720,3,FALSE)</f>
        <v>ゴルーグ</v>
      </c>
      <c r="D673" s="136" t="str">
        <f>VLOOKUP(A673,伤害计算器!$V$2:$Y$720,4,FALSE)</f>
        <v>Golurk</v>
      </c>
      <c r="E673" s="131" t="s">
        <v>39</v>
      </c>
      <c r="F673" s="131" t="s">
        <v>4365</v>
      </c>
      <c r="G673" s="131" t="s">
        <v>69</v>
      </c>
      <c r="H673" s="138">
        <v>89</v>
      </c>
      <c r="I673" s="139">
        <v>124</v>
      </c>
      <c r="J673" s="140">
        <v>80</v>
      </c>
      <c r="K673" s="141">
        <v>55</v>
      </c>
      <c r="L673" s="142">
        <v>80</v>
      </c>
      <c r="M673" s="143">
        <v>55</v>
      </c>
      <c r="N673" s="144">
        <v>483</v>
      </c>
      <c r="O673" s="145" t="s">
        <v>237</v>
      </c>
      <c r="P673" s="133" t="s">
        <v>273</v>
      </c>
      <c r="Q673" s="147">
        <v>330</v>
      </c>
      <c r="R673" s="131"/>
    </row>
    <row r="674" ht="24.95" customHeight="1" spans="1:18">
      <c r="A674" s="135" t="s">
        <v>4798</v>
      </c>
      <c r="B674" s="131" t="s">
        <v>4799</v>
      </c>
      <c r="C674" s="136" t="str">
        <f>VLOOKUP(A674,伤害计算器!$V$2:$Y$720,3,FALSE)</f>
        <v>コマタナ</v>
      </c>
      <c r="D674" s="136" t="str">
        <f>VLOOKUP(A674,伤害计算器!$V$2:$Y$720,4,FALSE)</f>
        <v>Pawniard</v>
      </c>
      <c r="E674" s="131" t="s">
        <v>3455</v>
      </c>
      <c r="F674" s="131" t="s">
        <v>3409</v>
      </c>
      <c r="G674" s="131" t="s">
        <v>3679</v>
      </c>
      <c r="H674" s="138">
        <v>45</v>
      </c>
      <c r="I674" s="139">
        <v>85</v>
      </c>
      <c r="J674" s="140">
        <v>70</v>
      </c>
      <c r="K674" s="141">
        <v>40</v>
      </c>
      <c r="L674" s="142">
        <v>40</v>
      </c>
      <c r="M674" s="143">
        <v>60</v>
      </c>
      <c r="N674" s="144">
        <v>340</v>
      </c>
      <c r="O674" s="145" t="s">
        <v>275</v>
      </c>
      <c r="P674" s="133" t="s">
        <v>276</v>
      </c>
      <c r="Q674" s="147">
        <v>10.2</v>
      </c>
      <c r="R674" s="131"/>
    </row>
    <row r="675" ht="24.95" customHeight="1" spans="1:18">
      <c r="A675" s="135" t="s">
        <v>4800</v>
      </c>
      <c r="B675" s="131" t="s">
        <v>4801</v>
      </c>
      <c r="C675" s="136" t="str">
        <f>VLOOKUP(A675,伤害计算器!$V$2:$Y$720,3,FALSE)</f>
        <v>キリキザン</v>
      </c>
      <c r="D675" s="136" t="str">
        <f>VLOOKUP(A675,伤害计算器!$V$2:$Y$720,4,FALSE)</f>
        <v>Bisharp</v>
      </c>
      <c r="E675" s="131" t="s">
        <v>3455</v>
      </c>
      <c r="F675" s="131" t="s">
        <v>3409</v>
      </c>
      <c r="G675" s="131" t="s">
        <v>3679</v>
      </c>
      <c r="H675" s="138">
        <v>65</v>
      </c>
      <c r="I675" s="139">
        <v>125</v>
      </c>
      <c r="J675" s="140">
        <v>100</v>
      </c>
      <c r="K675" s="141">
        <v>60</v>
      </c>
      <c r="L675" s="142">
        <v>70</v>
      </c>
      <c r="M675" s="143">
        <v>70</v>
      </c>
      <c r="N675" s="144">
        <v>490</v>
      </c>
      <c r="O675" s="145" t="s">
        <v>275</v>
      </c>
      <c r="P675" s="133" t="s">
        <v>276</v>
      </c>
      <c r="Q675" s="147">
        <v>70</v>
      </c>
      <c r="R675" s="131"/>
    </row>
    <row r="676" ht="24.95" customHeight="1" spans="1:18">
      <c r="A676" s="135" t="s">
        <v>4802</v>
      </c>
      <c r="B676" s="131" t="s">
        <v>4803</v>
      </c>
      <c r="C676" s="136" t="str">
        <f>VLOOKUP(A676,伤害计算器!$V$2:$Y$720,3,FALSE)</f>
        <v>バッフロン</v>
      </c>
      <c r="D676" s="136" t="str">
        <f>VLOOKUP(A676,伤害计算器!$V$2:$Y$720,4,FALSE)</f>
        <v>Bouffalant</v>
      </c>
      <c r="E676" s="131" t="s">
        <v>38</v>
      </c>
      <c r="F676" s="131" t="s">
        <v>4579</v>
      </c>
      <c r="G676" s="131" t="s">
        <v>4804</v>
      </c>
      <c r="H676" s="138">
        <v>95</v>
      </c>
      <c r="I676" s="139">
        <v>110</v>
      </c>
      <c r="J676" s="140">
        <v>95</v>
      </c>
      <c r="K676" s="141">
        <v>40</v>
      </c>
      <c r="L676" s="142">
        <v>95</v>
      </c>
      <c r="M676" s="143">
        <v>55</v>
      </c>
      <c r="N676" s="144">
        <v>490</v>
      </c>
      <c r="O676" s="145" t="s">
        <v>267</v>
      </c>
      <c r="Q676" s="147">
        <v>94.5</v>
      </c>
      <c r="R676" s="131"/>
    </row>
    <row r="677" ht="24.95" customHeight="1" spans="1:18">
      <c r="A677" s="135" t="s">
        <v>4805</v>
      </c>
      <c r="B677" s="131" t="s">
        <v>4806</v>
      </c>
      <c r="C677" s="136" t="str">
        <f>VLOOKUP(A677,伤害计算器!$V$2:$Y$720,3,FALSE)</f>
        <v>ワシボン</v>
      </c>
      <c r="D677" s="136" t="str">
        <f>VLOOKUP(A677,伤害计算器!$V$2:$Y$720,4,FALSE)</f>
        <v>Rufflet</v>
      </c>
      <c r="E677" s="131" t="s">
        <v>3336</v>
      </c>
      <c r="F677" s="131" t="s">
        <v>41</v>
      </c>
      <c r="G677" s="131" t="s">
        <v>61</v>
      </c>
      <c r="H677" s="138">
        <v>70</v>
      </c>
      <c r="I677" s="139">
        <v>83</v>
      </c>
      <c r="J677" s="140">
        <v>50</v>
      </c>
      <c r="K677" s="141">
        <v>37</v>
      </c>
      <c r="L677" s="142">
        <v>50</v>
      </c>
      <c r="M677" s="143">
        <v>60</v>
      </c>
      <c r="N677" s="144">
        <v>350</v>
      </c>
      <c r="O677" s="145" t="s">
        <v>267</v>
      </c>
      <c r="P677" s="133" t="s">
        <v>99</v>
      </c>
      <c r="Q677" s="147">
        <v>10.5</v>
      </c>
      <c r="R677" s="131"/>
    </row>
    <row r="678" ht="24.95" customHeight="1" spans="1:18">
      <c r="A678" s="135" t="s">
        <v>4807</v>
      </c>
      <c r="B678" s="131" t="s">
        <v>4808</v>
      </c>
      <c r="C678" s="136" t="str">
        <f>VLOOKUP(A678,伤害计算器!$V$2:$Y$720,3,FALSE)</f>
        <v>ウォーグル</v>
      </c>
      <c r="D678" s="136" t="str">
        <f>VLOOKUP(A678,伤害计算器!$V$2:$Y$720,4,FALSE)</f>
        <v>Braviary</v>
      </c>
      <c r="E678" s="131" t="s">
        <v>3336</v>
      </c>
      <c r="F678" s="131" t="s">
        <v>41</v>
      </c>
      <c r="G678" s="131" t="s">
        <v>3455</v>
      </c>
      <c r="H678" s="138">
        <v>100</v>
      </c>
      <c r="I678" s="139">
        <v>123</v>
      </c>
      <c r="J678" s="140">
        <v>75</v>
      </c>
      <c r="K678" s="141">
        <v>57</v>
      </c>
      <c r="L678" s="142">
        <v>75</v>
      </c>
      <c r="M678" s="143">
        <v>80</v>
      </c>
      <c r="N678" s="144">
        <v>510</v>
      </c>
      <c r="O678" s="145" t="s">
        <v>267</v>
      </c>
      <c r="P678" s="133" t="s">
        <v>99</v>
      </c>
      <c r="Q678" s="147">
        <v>41</v>
      </c>
      <c r="R678" s="131"/>
    </row>
    <row r="679" ht="24.95" customHeight="1" spans="1:18">
      <c r="A679" s="135" t="s">
        <v>4809</v>
      </c>
      <c r="B679" s="131" t="s">
        <v>4810</v>
      </c>
      <c r="C679" s="136" t="str">
        <f>VLOOKUP(A679,伤害计算器!$V$2:$Y$720,3,FALSE)</f>
        <v>バルチャイ</v>
      </c>
      <c r="D679" s="136" t="str">
        <f>VLOOKUP(A679,伤害计算器!$V$2:$Y$720,4,FALSE)</f>
        <v>Vullaby</v>
      </c>
      <c r="E679" s="131" t="s">
        <v>3337</v>
      </c>
      <c r="F679" s="131" t="s">
        <v>3546</v>
      </c>
      <c r="G679" s="131" t="s">
        <v>3558</v>
      </c>
      <c r="H679" s="138">
        <v>70</v>
      </c>
      <c r="I679" s="139">
        <v>55</v>
      </c>
      <c r="J679" s="140">
        <v>75</v>
      </c>
      <c r="K679" s="141">
        <v>45</v>
      </c>
      <c r="L679" s="142">
        <v>65</v>
      </c>
      <c r="M679" s="143">
        <v>60</v>
      </c>
      <c r="N679" s="144">
        <v>370</v>
      </c>
      <c r="O679" s="145" t="s">
        <v>275</v>
      </c>
      <c r="P679" s="133" t="s">
        <v>99</v>
      </c>
      <c r="Q679" s="147">
        <v>9</v>
      </c>
      <c r="R679" s="131"/>
    </row>
    <row r="680" ht="24.95" customHeight="1" spans="1:18">
      <c r="A680" s="135" t="s">
        <v>4811</v>
      </c>
      <c r="B680" s="131" t="s">
        <v>4812</v>
      </c>
      <c r="C680" s="136" t="str">
        <f>VLOOKUP(A680,伤害计算器!$V$2:$Y$720,3,FALSE)</f>
        <v>バルジーナ</v>
      </c>
      <c r="D680" s="136" t="str">
        <f>VLOOKUP(A680,伤害计算器!$V$2:$Y$720,4,FALSE)</f>
        <v>Mandibuzz</v>
      </c>
      <c r="E680" s="131" t="s">
        <v>3337</v>
      </c>
      <c r="F680" s="131" t="s">
        <v>3546</v>
      </c>
      <c r="G680" s="131" t="s">
        <v>3558</v>
      </c>
      <c r="H680" s="138">
        <v>110</v>
      </c>
      <c r="I680" s="139">
        <v>65</v>
      </c>
      <c r="J680" s="140">
        <v>105</v>
      </c>
      <c r="K680" s="141">
        <v>55</v>
      </c>
      <c r="L680" s="142">
        <v>95</v>
      </c>
      <c r="M680" s="143">
        <v>80</v>
      </c>
      <c r="N680" s="144">
        <v>510</v>
      </c>
      <c r="O680" s="145" t="s">
        <v>275</v>
      </c>
      <c r="P680" s="133" t="s">
        <v>99</v>
      </c>
      <c r="Q680" s="147">
        <v>39.5</v>
      </c>
      <c r="R680" s="131"/>
    </row>
    <row r="681" ht="24.95" customHeight="1" spans="1:18">
      <c r="A681" s="135" t="s">
        <v>4813</v>
      </c>
      <c r="B681" s="131" t="s">
        <v>4814</v>
      </c>
      <c r="C681" s="136" t="str">
        <f>VLOOKUP(A681,伤害计算器!$V$2:$Y$720,3,FALSE)</f>
        <v>クイタラン</v>
      </c>
      <c r="D681" s="136" t="str">
        <f>VLOOKUP(A681,伤害计算器!$V$2:$Y$720,4,FALSE)</f>
        <v>Heatmor</v>
      </c>
      <c r="E681" s="131" t="s">
        <v>3486</v>
      </c>
      <c r="F681" s="131" t="s">
        <v>542</v>
      </c>
      <c r="G681" s="131" t="s">
        <v>4121</v>
      </c>
      <c r="H681" s="138">
        <v>85</v>
      </c>
      <c r="I681" s="139">
        <v>97</v>
      </c>
      <c r="J681" s="140">
        <v>66</v>
      </c>
      <c r="K681" s="141">
        <v>105</v>
      </c>
      <c r="L681" s="142">
        <v>66</v>
      </c>
      <c r="M681" s="143">
        <v>65</v>
      </c>
      <c r="N681" s="144">
        <v>484</v>
      </c>
      <c r="O681" s="145" t="s">
        <v>250</v>
      </c>
      <c r="Q681" s="147">
        <v>58</v>
      </c>
      <c r="R681" s="131"/>
    </row>
    <row r="682" ht="24.95" customHeight="1" spans="1:18">
      <c r="A682" s="135" t="s">
        <v>4815</v>
      </c>
      <c r="B682" s="131" t="s">
        <v>4816</v>
      </c>
      <c r="C682" s="136" t="str">
        <f>VLOOKUP(A682,伤害计算器!$V$2:$Y$720,3,FALSE)</f>
        <v>アイアント</v>
      </c>
      <c r="D682" s="136" t="str">
        <f>VLOOKUP(A682,伤害计算器!$V$2:$Y$720,4,FALSE)</f>
        <v>Durant</v>
      </c>
      <c r="E682" s="131" t="s">
        <v>3333</v>
      </c>
      <c r="F682" s="131" t="s">
        <v>61</v>
      </c>
      <c r="G682" s="131" t="s">
        <v>4021</v>
      </c>
      <c r="H682" s="138">
        <v>58</v>
      </c>
      <c r="I682" s="139">
        <v>109</v>
      </c>
      <c r="J682" s="140">
        <v>112</v>
      </c>
      <c r="K682" s="141">
        <v>48</v>
      </c>
      <c r="L682" s="142">
        <v>48</v>
      </c>
      <c r="M682" s="143">
        <v>109</v>
      </c>
      <c r="N682" s="144">
        <v>484</v>
      </c>
      <c r="O682" s="145" t="s">
        <v>272</v>
      </c>
      <c r="P682" s="133" t="s">
        <v>276</v>
      </c>
      <c r="Q682" s="147">
        <v>33</v>
      </c>
      <c r="R682" s="131"/>
    </row>
    <row r="683" ht="24.95" customHeight="1" spans="1:18">
      <c r="A683" s="135" t="s">
        <v>4817</v>
      </c>
      <c r="B683" s="131" t="s">
        <v>4818</v>
      </c>
      <c r="C683" s="136" t="str">
        <f>VLOOKUP(A683,伤害计算器!$V$2:$Y$720,3,FALSE)</f>
        <v>モノズ</v>
      </c>
      <c r="D683" s="136" t="str">
        <f>VLOOKUP(A683,伤害计算器!$V$2:$Y$720,4,FALSE)</f>
        <v>Deino</v>
      </c>
      <c r="E683" s="131" t="s">
        <v>61</v>
      </c>
      <c r="F683" s="137"/>
      <c r="G683" s="137"/>
      <c r="H683" s="138">
        <v>52</v>
      </c>
      <c r="I683" s="139">
        <v>65</v>
      </c>
      <c r="J683" s="140">
        <v>50</v>
      </c>
      <c r="K683" s="141">
        <v>45</v>
      </c>
      <c r="L683" s="142">
        <v>50</v>
      </c>
      <c r="M683" s="143">
        <v>38</v>
      </c>
      <c r="N683" s="144">
        <v>300</v>
      </c>
      <c r="O683" s="145" t="s">
        <v>275</v>
      </c>
      <c r="P683" s="133" t="s">
        <v>274</v>
      </c>
      <c r="Q683" s="147">
        <v>17.3</v>
      </c>
      <c r="R683" s="131"/>
    </row>
    <row r="684" ht="24.95" customHeight="1" spans="1:18">
      <c r="A684" s="135" t="s">
        <v>4819</v>
      </c>
      <c r="B684" s="131" t="s">
        <v>4820</v>
      </c>
      <c r="C684" s="136" t="str">
        <f>VLOOKUP(A684,伤害计算器!$V$2:$Y$720,3,FALSE)</f>
        <v>ジヘッド</v>
      </c>
      <c r="D684" s="136" t="str">
        <f>VLOOKUP(A684,伤害计算器!$V$2:$Y$720,4,FALSE)</f>
        <v>Zweilous</v>
      </c>
      <c r="E684" s="131" t="s">
        <v>61</v>
      </c>
      <c r="F684" s="137"/>
      <c r="G684" s="137"/>
      <c r="H684" s="138">
        <v>72</v>
      </c>
      <c r="I684" s="139">
        <v>85</v>
      </c>
      <c r="J684" s="140">
        <v>70</v>
      </c>
      <c r="K684" s="141">
        <v>65</v>
      </c>
      <c r="L684" s="142">
        <v>70</v>
      </c>
      <c r="M684" s="143">
        <v>58</v>
      </c>
      <c r="N684" s="144">
        <v>420</v>
      </c>
      <c r="O684" s="145" t="s">
        <v>275</v>
      </c>
      <c r="P684" s="133" t="s">
        <v>274</v>
      </c>
      <c r="Q684" s="147">
        <v>50</v>
      </c>
      <c r="R684" s="131"/>
    </row>
    <row r="685" ht="24.95" customHeight="1" spans="1:18">
      <c r="A685" s="135" t="s">
        <v>4821</v>
      </c>
      <c r="B685" s="131" t="s">
        <v>4822</v>
      </c>
      <c r="C685" s="136" t="str">
        <f>VLOOKUP(A685,伤害计算器!$V$2:$Y$720,3,FALSE)</f>
        <v>サザンドラ</v>
      </c>
      <c r="D685" s="136" t="str">
        <f>VLOOKUP(A685,伤害计算器!$V$2:$Y$720,4,FALSE)</f>
        <v>Hydreigon</v>
      </c>
      <c r="E685" s="131" t="s">
        <v>582</v>
      </c>
      <c r="F685" s="137"/>
      <c r="G685" s="137"/>
      <c r="H685" s="138">
        <v>92</v>
      </c>
      <c r="I685" s="139">
        <v>105</v>
      </c>
      <c r="J685" s="140">
        <v>90</v>
      </c>
      <c r="K685" s="141">
        <v>125</v>
      </c>
      <c r="L685" s="142">
        <v>90</v>
      </c>
      <c r="M685" s="143">
        <v>98</v>
      </c>
      <c r="N685" s="144">
        <v>600</v>
      </c>
      <c r="O685" s="145" t="s">
        <v>275</v>
      </c>
      <c r="P685" s="133" t="s">
        <v>274</v>
      </c>
      <c r="Q685" s="147">
        <v>160</v>
      </c>
      <c r="R685" s="131"/>
    </row>
    <row r="686" ht="24.95" customHeight="1" spans="1:18">
      <c r="A686" s="135" t="s">
        <v>4823</v>
      </c>
      <c r="B686" s="131" t="s">
        <v>4824</v>
      </c>
      <c r="C686" s="136" t="str">
        <f>VLOOKUP(A686,伤害计算器!$V$2:$Y$720,3,FALSE)</f>
        <v>メラルバ</v>
      </c>
      <c r="D686" s="136" t="str">
        <f>VLOOKUP(A686,伤害计算器!$V$2:$Y$720,4,FALSE)</f>
        <v>Larvesta</v>
      </c>
      <c r="E686" s="131" t="s">
        <v>3508</v>
      </c>
      <c r="F686" s="137"/>
      <c r="G686" s="131" t="s">
        <v>3333</v>
      </c>
      <c r="H686" s="138">
        <v>55</v>
      </c>
      <c r="I686" s="139">
        <v>85</v>
      </c>
      <c r="J686" s="140">
        <v>55</v>
      </c>
      <c r="K686" s="141">
        <v>50</v>
      </c>
      <c r="L686" s="142">
        <v>55</v>
      </c>
      <c r="M686" s="143">
        <v>60</v>
      </c>
      <c r="N686" s="144">
        <v>360</v>
      </c>
      <c r="O686" s="145" t="s">
        <v>272</v>
      </c>
      <c r="P686" s="133" t="s">
        <v>250</v>
      </c>
      <c r="Q686" s="147">
        <v>28.8</v>
      </c>
      <c r="R686" s="131"/>
    </row>
    <row r="687" ht="24.95" customHeight="1" spans="1:18">
      <c r="A687" s="135" t="s">
        <v>4825</v>
      </c>
      <c r="B687" s="131" t="s">
        <v>4826</v>
      </c>
      <c r="C687" s="136" t="str">
        <f>VLOOKUP(A687,伤害计算器!$V$2:$Y$720,3,FALSE)</f>
        <v>ウルガモス</v>
      </c>
      <c r="D687" s="136" t="str">
        <f>VLOOKUP(A687,伤害计算器!$V$2:$Y$720,4,FALSE)</f>
        <v>Volcarona</v>
      </c>
      <c r="E687" s="131" t="s">
        <v>3508</v>
      </c>
      <c r="F687" s="137"/>
      <c r="G687" s="131" t="s">
        <v>3333</v>
      </c>
      <c r="H687" s="138">
        <v>85</v>
      </c>
      <c r="I687" s="139">
        <v>60</v>
      </c>
      <c r="J687" s="140">
        <v>65</v>
      </c>
      <c r="K687" s="141">
        <v>135</v>
      </c>
      <c r="L687" s="142">
        <v>105</v>
      </c>
      <c r="M687" s="143">
        <v>100</v>
      </c>
      <c r="N687" s="144">
        <v>550</v>
      </c>
      <c r="O687" s="145" t="s">
        <v>272</v>
      </c>
      <c r="P687" s="133" t="s">
        <v>250</v>
      </c>
      <c r="Q687" s="147">
        <v>46</v>
      </c>
      <c r="R687" s="131"/>
    </row>
    <row r="688" ht="24.95" customHeight="1" spans="1:18">
      <c r="A688" s="135" t="s">
        <v>4827</v>
      </c>
      <c r="B688" s="131" t="s">
        <v>4828</v>
      </c>
      <c r="C688" s="136" t="str">
        <f>VLOOKUP(A688,伤害计算器!$V$2:$Y$720,3,FALSE)</f>
        <v>コバルオン</v>
      </c>
      <c r="D688" s="136" t="str">
        <f>VLOOKUP(A688,伤害计算器!$V$2:$Y$720,4,FALSE)</f>
        <v>Cobalion</v>
      </c>
      <c r="E688" s="131" t="s">
        <v>3460</v>
      </c>
      <c r="F688" s="137"/>
      <c r="G688" s="137"/>
      <c r="H688" s="138">
        <v>91</v>
      </c>
      <c r="I688" s="139">
        <v>90</v>
      </c>
      <c r="J688" s="140">
        <v>129</v>
      </c>
      <c r="K688" s="141">
        <v>90</v>
      </c>
      <c r="L688" s="142">
        <v>72</v>
      </c>
      <c r="M688" s="143">
        <v>108</v>
      </c>
      <c r="N688" s="144">
        <v>580</v>
      </c>
      <c r="O688" s="145" t="s">
        <v>276</v>
      </c>
      <c r="P688" s="133" t="s">
        <v>269</v>
      </c>
      <c r="Q688" s="147">
        <v>250</v>
      </c>
      <c r="R688" s="131"/>
    </row>
    <row r="689" ht="24.95" customHeight="1" spans="1:18">
      <c r="A689" s="135" t="s">
        <v>4829</v>
      </c>
      <c r="B689" s="131" t="s">
        <v>4830</v>
      </c>
      <c r="C689" s="136" t="str">
        <f>VLOOKUP(A689,伤害计算器!$V$2:$Y$720,3,FALSE)</f>
        <v>テラキオン</v>
      </c>
      <c r="D689" s="136" t="str">
        <f>VLOOKUP(A689,伤害计算器!$V$2:$Y$720,4,FALSE)</f>
        <v>Terrakion</v>
      </c>
      <c r="E689" s="131" t="s">
        <v>3460</v>
      </c>
      <c r="F689" s="137"/>
      <c r="G689" s="137"/>
      <c r="H689" s="138">
        <v>91</v>
      </c>
      <c r="I689" s="139">
        <v>129</v>
      </c>
      <c r="J689" s="140">
        <v>90</v>
      </c>
      <c r="K689" s="141">
        <v>72</v>
      </c>
      <c r="L689" s="142">
        <v>90</v>
      </c>
      <c r="M689" s="143">
        <v>108</v>
      </c>
      <c r="N689" s="144">
        <v>580</v>
      </c>
      <c r="O689" s="145" t="s">
        <v>252</v>
      </c>
      <c r="P689" s="133" t="s">
        <v>269</v>
      </c>
      <c r="Q689" s="147">
        <v>260</v>
      </c>
      <c r="R689" s="131"/>
    </row>
    <row r="690" ht="24.95" customHeight="1" spans="1:18">
      <c r="A690" s="135" t="s">
        <v>4831</v>
      </c>
      <c r="B690" s="131" t="s">
        <v>4832</v>
      </c>
      <c r="C690" s="136" t="str">
        <f>VLOOKUP(A690,伤害计算器!$V$2:$Y$720,3,FALSE)</f>
        <v>ビリジオン</v>
      </c>
      <c r="D690" s="136" t="str">
        <f>VLOOKUP(A690,伤害计算器!$V$2:$Y$720,4,FALSE)</f>
        <v>Virizion</v>
      </c>
      <c r="E690" s="131" t="s">
        <v>3460</v>
      </c>
      <c r="F690" s="137"/>
      <c r="G690" s="137"/>
      <c r="H690" s="138">
        <v>91</v>
      </c>
      <c r="I690" s="139">
        <v>90</v>
      </c>
      <c r="J690" s="140">
        <v>72</v>
      </c>
      <c r="K690" s="141">
        <v>90</v>
      </c>
      <c r="L690" s="142">
        <v>129</v>
      </c>
      <c r="M690" s="143">
        <v>108</v>
      </c>
      <c r="N690" s="144">
        <v>580</v>
      </c>
      <c r="O690" s="145" t="s">
        <v>235</v>
      </c>
      <c r="P690" s="133" t="s">
        <v>269</v>
      </c>
      <c r="Q690" s="147">
        <v>200</v>
      </c>
      <c r="R690" s="131"/>
    </row>
    <row r="691" ht="24.95" customHeight="1" spans="1:18">
      <c r="A691" s="135" t="s">
        <v>4833</v>
      </c>
      <c r="B691" s="131" t="s">
        <v>4834</v>
      </c>
      <c r="C691" s="136" t="str">
        <f>VLOOKUP(A691,伤害计算器!$V$2:$Y$720,3,FALSE)</f>
        <v>トルネロス</v>
      </c>
      <c r="D691" s="136" t="str">
        <f>VLOOKUP(A691,伤害计算器!$V$2:$Y$720,4,FALSE)</f>
        <v>Tornadus</v>
      </c>
      <c r="E691" s="131" t="s">
        <v>3812</v>
      </c>
      <c r="F691" s="137"/>
      <c r="G691" s="131" t="s">
        <v>3455</v>
      </c>
      <c r="H691" s="138">
        <v>79</v>
      </c>
      <c r="I691" s="139">
        <v>115</v>
      </c>
      <c r="J691" s="140">
        <v>70</v>
      </c>
      <c r="K691" s="141">
        <v>125</v>
      </c>
      <c r="L691" s="142">
        <v>80</v>
      </c>
      <c r="M691" s="143">
        <v>111</v>
      </c>
      <c r="N691" s="144">
        <v>580</v>
      </c>
      <c r="O691" s="145" t="s">
        <v>99</v>
      </c>
      <c r="Q691" s="147">
        <v>63</v>
      </c>
      <c r="R691" s="131"/>
    </row>
    <row r="692" ht="24.95" customHeight="1" spans="1:18">
      <c r="A692" s="135" t="s">
        <v>4833</v>
      </c>
      <c r="B692" s="131" t="s">
        <v>4835</v>
      </c>
      <c r="C692" s="136" t="str">
        <f>VLOOKUP(A692,伤害计算器!$V$2:$Y$720,3,FALSE)</f>
        <v>トルネロス</v>
      </c>
      <c r="D692" s="136" t="str">
        <f>VLOOKUP(A692,伤害计算器!$V$2:$Y$720,4,FALSE)</f>
        <v>Tornadus</v>
      </c>
      <c r="E692" s="131" t="s">
        <v>3515</v>
      </c>
      <c r="F692" s="137"/>
      <c r="G692" s="131" t="s">
        <v>3515</v>
      </c>
      <c r="H692" s="138">
        <v>79</v>
      </c>
      <c r="I692" s="139">
        <v>100</v>
      </c>
      <c r="J692" s="140">
        <v>80</v>
      </c>
      <c r="K692" s="141">
        <v>110</v>
      </c>
      <c r="L692" s="142">
        <v>90</v>
      </c>
      <c r="M692" s="143">
        <v>121</v>
      </c>
      <c r="N692" s="144">
        <v>580</v>
      </c>
      <c r="O692" s="145" t="s">
        <v>99</v>
      </c>
      <c r="Q692" s="133">
        <v>63</v>
      </c>
      <c r="R692" s="131"/>
    </row>
    <row r="693" ht="24.95" customHeight="1" spans="1:18">
      <c r="A693" s="135" t="s">
        <v>4836</v>
      </c>
      <c r="B693" s="131" t="s">
        <v>4837</v>
      </c>
      <c r="C693" s="136" t="str">
        <f>VLOOKUP(A693,伤害计算器!$V$2:$Y$720,3,FALSE)</f>
        <v>ボルトロス</v>
      </c>
      <c r="D693" s="136" t="str">
        <f>VLOOKUP(A693,伤害计算器!$V$2:$Y$720,4,FALSE)</f>
        <v>Thundurus</v>
      </c>
      <c r="E693" s="131" t="s">
        <v>3812</v>
      </c>
      <c r="F693" s="137"/>
      <c r="G693" s="131" t="s">
        <v>3455</v>
      </c>
      <c r="H693" s="138">
        <v>79</v>
      </c>
      <c r="I693" s="139">
        <v>115</v>
      </c>
      <c r="J693" s="140">
        <v>70</v>
      </c>
      <c r="K693" s="141">
        <v>125</v>
      </c>
      <c r="L693" s="142">
        <v>80</v>
      </c>
      <c r="M693" s="143">
        <v>111</v>
      </c>
      <c r="N693" s="144">
        <v>580</v>
      </c>
      <c r="O693" s="145" t="s">
        <v>268</v>
      </c>
      <c r="P693" s="133" t="s">
        <v>99</v>
      </c>
      <c r="Q693" s="147">
        <v>65</v>
      </c>
      <c r="R693" s="131"/>
    </row>
    <row r="694" ht="24.95" customHeight="1" spans="1:18">
      <c r="A694" s="135" t="s">
        <v>4836</v>
      </c>
      <c r="B694" s="131" t="s">
        <v>4838</v>
      </c>
      <c r="C694" s="136" t="str">
        <f>VLOOKUP(A694,伤害计算器!$V$2:$Y$720,3,FALSE)</f>
        <v>ボルトロス</v>
      </c>
      <c r="D694" s="136" t="str">
        <f>VLOOKUP(A694,伤害计算器!$V$2:$Y$720,4,FALSE)</f>
        <v>Thundurus</v>
      </c>
      <c r="E694" s="131" t="s">
        <v>611</v>
      </c>
      <c r="F694" s="137"/>
      <c r="G694" s="131" t="s">
        <v>611</v>
      </c>
      <c r="H694" s="138">
        <v>79</v>
      </c>
      <c r="I694" s="139">
        <v>105</v>
      </c>
      <c r="J694" s="140">
        <v>70</v>
      </c>
      <c r="K694" s="141">
        <v>145</v>
      </c>
      <c r="L694" s="142">
        <v>80</v>
      </c>
      <c r="M694" s="143">
        <v>101</v>
      </c>
      <c r="N694" s="144">
        <v>580</v>
      </c>
      <c r="O694" s="145" t="s">
        <v>268</v>
      </c>
      <c r="P694" s="133" t="s">
        <v>99</v>
      </c>
      <c r="Q694" s="133">
        <v>65</v>
      </c>
      <c r="R694" s="131"/>
    </row>
    <row r="695" ht="24.95" customHeight="1" spans="1:18">
      <c r="A695" s="135" t="s">
        <v>4839</v>
      </c>
      <c r="B695" s="131" t="s">
        <v>4840</v>
      </c>
      <c r="C695" s="136" t="str">
        <f>VLOOKUP(A695,伤害计算器!$V$2:$Y$720,3,FALSE)</f>
        <v>レシラム</v>
      </c>
      <c r="D695" s="136" t="str">
        <f>VLOOKUP(A695,伤害计算器!$V$2:$Y$720,4,FALSE)</f>
        <v>Reshiram</v>
      </c>
      <c r="E695" s="131" t="s">
        <v>4841</v>
      </c>
      <c r="F695" s="137"/>
      <c r="G695" s="137"/>
      <c r="H695" s="138">
        <v>100</v>
      </c>
      <c r="I695" s="139">
        <v>120</v>
      </c>
      <c r="J695" s="140">
        <v>100</v>
      </c>
      <c r="K695" s="141">
        <v>150</v>
      </c>
      <c r="L695" s="142">
        <v>120</v>
      </c>
      <c r="M695" s="143">
        <v>90</v>
      </c>
      <c r="N695" s="144">
        <v>680</v>
      </c>
      <c r="O695" s="145" t="s">
        <v>274</v>
      </c>
      <c r="P695" s="133" t="s">
        <v>250</v>
      </c>
      <c r="Q695" s="147">
        <v>330</v>
      </c>
      <c r="R695" s="131"/>
    </row>
    <row r="696" ht="24.95" customHeight="1" spans="1:18">
      <c r="A696" s="135" t="s">
        <v>4842</v>
      </c>
      <c r="B696" s="131" t="s">
        <v>4843</v>
      </c>
      <c r="C696" s="136" t="str">
        <f>VLOOKUP(A696,伤害计算器!$V$2:$Y$720,3,FALSE)</f>
        <v>ゼクロム</v>
      </c>
      <c r="D696" s="136" t="str">
        <f>VLOOKUP(A696,伤害计算器!$V$2:$Y$720,4,FALSE)</f>
        <v>Zekrom</v>
      </c>
      <c r="E696" s="131" t="s">
        <v>4844</v>
      </c>
      <c r="F696" s="137"/>
      <c r="G696" s="137"/>
      <c r="H696" s="138">
        <v>100</v>
      </c>
      <c r="I696" s="139">
        <v>150</v>
      </c>
      <c r="J696" s="140">
        <v>120</v>
      </c>
      <c r="K696" s="141">
        <v>120</v>
      </c>
      <c r="L696" s="142">
        <v>100</v>
      </c>
      <c r="M696" s="143">
        <v>90</v>
      </c>
      <c r="N696" s="144">
        <v>680</v>
      </c>
      <c r="O696" s="145" t="s">
        <v>274</v>
      </c>
      <c r="P696" s="133" t="s">
        <v>268</v>
      </c>
      <c r="Q696" s="147">
        <v>345</v>
      </c>
      <c r="R696" s="131"/>
    </row>
    <row r="697" ht="24.95" customHeight="1" spans="1:18">
      <c r="A697" s="135" t="s">
        <v>4845</v>
      </c>
      <c r="B697" s="131" t="s">
        <v>4846</v>
      </c>
      <c r="C697" s="136" t="str">
        <f>VLOOKUP(A697,伤害计算器!$V$2:$Y$720,3,FALSE)</f>
        <v>ランドロス</v>
      </c>
      <c r="D697" s="136" t="str">
        <f>VLOOKUP(A697,伤害计算器!$V$2:$Y$720,4,FALSE)</f>
        <v>Landorus</v>
      </c>
      <c r="E697" s="131" t="s">
        <v>40</v>
      </c>
      <c r="F697" s="137"/>
      <c r="G697" s="131" t="s">
        <v>41</v>
      </c>
      <c r="H697" s="138">
        <v>89</v>
      </c>
      <c r="I697" s="139">
        <v>125</v>
      </c>
      <c r="J697" s="140">
        <v>90</v>
      </c>
      <c r="K697" s="141">
        <v>115</v>
      </c>
      <c r="L697" s="142">
        <v>80</v>
      </c>
      <c r="M697" s="143">
        <v>101</v>
      </c>
      <c r="N697" s="144">
        <v>600</v>
      </c>
      <c r="O697" s="145" t="s">
        <v>237</v>
      </c>
      <c r="P697" s="133" t="s">
        <v>99</v>
      </c>
      <c r="Q697" s="147">
        <v>68</v>
      </c>
      <c r="R697" s="131"/>
    </row>
    <row r="698" ht="24.95" customHeight="1" spans="1:18">
      <c r="A698" s="135" t="s">
        <v>4845</v>
      </c>
      <c r="B698" s="131" t="s">
        <v>4847</v>
      </c>
      <c r="C698" s="136" t="str">
        <f>VLOOKUP(A698,伤害计算器!$V$2:$Y$720,3,FALSE)</f>
        <v>ランドロス</v>
      </c>
      <c r="D698" s="136" t="str">
        <f>VLOOKUP(A698,伤害计算器!$V$2:$Y$720,4,FALSE)</f>
        <v>Landorus</v>
      </c>
      <c r="E698" s="131" t="s">
        <v>3354</v>
      </c>
      <c r="F698" s="137"/>
      <c r="G698" s="131" t="s">
        <v>3354</v>
      </c>
      <c r="H698" s="138">
        <v>89</v>
      </c>
      <c r="I698" s="139">
        <v>145</v>
      </c>
      <c r="J698" s="140">
        <v>90</v>
      </c>
      <c r="K698" s="141">
        <v>105</v>
      </c>
      <c r="L698" s="142">
        <v>80</v>
      </c>
      <c r="M698" s="143">
        <v>91</v>
      </c>
      <c r="N698" s="144">
        <v>600</v>
      </c>
      <c r="O698" s="145" t="s">
        <v>237</v>
      </c>
      <c r="P698" s="133" t="s">
        <v>99</v>
      </c>
      <c r="Q698" s="133">
        <v>68</v>
      </c>
      <c r="R698" s="131"/>
    </row>
    <row r="699" ht="24.95" customHeight="1" spans="1:18">
      <c r="A699" s="135" t="s">
        <v>4848</v>
      </c>
      <c r="B699" s="131" t="s">
        <v>4849</v>
      </c>
      <c r="C699" s="136" t="str">
        <f>VLOOKUP(A699,伤害计算器!$V$2:$Y$720,3,FALSE)</f>
        <v>キュレム</v>
      </c>
      <c r="D699" s="136" t="str">
        <f>VLOOKUP(A699,伤害计算器!$V$2:$Y$720,4,FALSE)</f>
        <v>Kyurem</v>
      </c>
      <c r="E699" s="131" t="s">
        <v>3679</v>
      </c>
      <c r="F699" s="137"/>
      <c r="G699" s="137"/>
      <c r="H699" s="138">
        <v>125</v>
      </c>
      <c r="I699" s="139">
        <v>130</v>
      </c>
      <c r="J699" s="140">
        <v>90</v>
      </c>
      <c r="K699" s="141">
        <v>130</v>
      </c>
      <c r="L699" s="142">
        <v>90</v>
      </c>
      <c r="M699" s="143">
        <v>95</v>
      </c>
      <c r="N699" s="144">
        <v>660</v>
      </c>
      <c r="O699" s="145" t="s">
        <v>274</v>
      </c>
      <c r="P699" s="133" t="s">
        <v>100</v>
      </c>
      <c r="Q699" s="147">
        <v>325</v>
      </c>
      <c r="R699" s="131"/>
    </row>
    <row r="700" ht="24.95" customHeight="1" spans="1:18">
      <c r="A700" s="135" t="s">
        <v>4848</v>
      </c>
      <c r="B700" s="131" t="s">
        <v>4850</v>
      </c>
      <c r="C700" s="136" t="str">
        <f>VLOOKUP(A700,伤害计算器!$V$2:$Y$720,3,FALSE)</f>
        <v>キュレム</v>
      </c>
      <c r="D700" s="136" t="str">
        <f>VLOOKUP(A700,伤害计算器!$V$2:$Y$720,4,FALSE)</f>
        <v>Kyurem</v>
      </c>
      <c r="E700" s="131" t="s">
        <v>4841</v>
      </c>
      <c r="F700" s="137"/>
      <c r="G700" s="137"/>
      <c r="H700" s="138">
        <v>125</v>
      </c>
      <c r="I700" s="139">
        <v>120</v>
      </c>
      <c r="J700" s="140">
        <v>90</v>
      </c>
      <c r="K700" s="141">
        <v>170</v>
      </c>
      <c r="L700" s="142">
        <v>100</v>
      </c>
      <c r="M700" s="143">
        <v>95</v>
      </c>
      <c r="N700" s="144">
        <v>700</v>
      </c>
      <c r="O700" s="145" t="s">
        <v>274</v>
      </c>
      <c r="P700" s="133" t="s">
        <v>100</v>
      </c>
      <c r="Q700" s="133">
        <v>325</v>
      </c>
      <c r="R700" s="131"/>
    </row>
    <row r="701" ht="24.95" customHeight="1" spans="1:18">
      <c r="A701" s="135" t="s">
        <v>4848</v>
      </c>
      <c r="B701" s="131" t="s">
        <v>4851</v>
      </c>
      <c r="C701" s="136" t="str">
        <f>VLOOKUP(A701,伤害计算器!$V$2:$Y$720,3,FALSE)</f>
        <v>キュレム</v>
      </c>
      <c r="D701" s="136" t="str">
        <f>VLOOKUP(A701,伤害计算器!$V$2:$Y$720,4,FALSE)</f>
        <v>Kyurem</v>
      </c>
      <c r="E701" s="131" t="s">
        <v>4844</v>
      </c>
      <c r="F701" s="137"/>
      <c r="G701" s="137"/>
      <c r="H701" s="138">
        <v>125</v>
      </c>
      <c r="I701" s="139">
        <v>170</v>
      </c>
      <c r="J701" s="140">
        <v>100</v>
      </c>
      <c r="K701" s="141">
        <v>120</v>
      </c>
      <c r="L701" s="142">
        <v>90</v>
      </c>
      <c r="M701" s="143">
        <v>95</v>
      </c>
      <c r="N701" s="144">
        <v>700</v>
      </c>
      <c r="O701" s="145" t="s">
        <v>274</v>
      </c>
      <c r="P701" s="133" t="s">
        <v>100</v>
      </c>
      <c r="Q701" s="133">
        <v>325</v>
      </c>
      <c r="R701" s="131"/>
    </row>
    <row r="702" ht="24.95" customHeight="1" spans="1:18">
      <c r="A702" s="135" t="s">
        <v>4852</v>
      </c>
      <c r="B702" s="131" t="s">
        <v>4853</v>
      </c>
      <c r="C702" s="136" t="str">
        <f>VLOOKUP(A702,伤害计算器!$V$2:$Y$720,3,FALSE)</f>
        <v>ケルディオ</v>
      </c>
      <c r="D702" s="136" t="str">
        <f>VLOOKUP(A702,伤害计算器!$V$2:$Y$720,4,FALSE)</f>
        <v>Keldeo</v>
      </c>
      <c r="E702" s="131" t="s">
        <v>3460</v>
      </c>
      <c r="F702" s="137"/>
      <c r="G702" s="137"/>
      <c r="H702" s="138">
        <v>91</v>
      </c>
      <c r="I702" s="139">
        <v>72</v>
      </c>
      <c r="J702" s="140">
        <v>90</v>
      </c>
      <c r="K702" s="141">
        <v>129</v>
      </c>
      <c r="L702" s="142">
        <v>90</v>
      </c>
      <c r="M702" s="143">
        <v>108</v>
      </c>
      <c r="N702" s="144">
        <v>580</v>
      </c>
      <c r="O702" s="145" t="s">
        <v>251</v>
      </c>
      <c r="P702" s="133" t="s">
        <v>269</v>
      </c>
      <c r="Q702" s="147">
        <v>48.5</v>
      </c>
      <c r="R702" s="131"/>
    </row>
    <row r="703" ht="24.95" customHeight="1" spans="1:18">
      <c r="A703" s="135" t="s">
        <v>4852</v>
      </c>
      <c r="B703" s="131" t="s">
        <v>4854</v>
      </c>
      <c r="C703" s="136" t="str">
        <f>VLOOKUP(A703,伤害计算器!$V$2:$Y$720,3,FALSE)</f>
        <v>ケルディオ</v>
      </c>
      <c r="D703" s="136" t="str">
        <f>VLOOKUP(A703,伤害计算器!$V$2:$Y$720,4,FALSE)</f>
        <v>Keldeo</v>
      </c>
      <c r="E703" s="131" t="s">
        <v>3460</v>
      </c>
      <c r="F703" s="137"/>
      <c r="G703" s="137"/>
      <c r="H703" s="138">
        <v>91</v>
      </c>
      <c r="I703" s="139">
        <v>72</v>
      </c>
      <c r="J703" s="140">
        <v>90</v>
      </c>
      <c r="K703" s="141">
        <v>129</v>
      </c>
      <c r="L703" s="142">
        <v>90</v>
      </c>
      <c r="M703" s="143">
        <v>108</v>
      </c>
      <c r="N703" s="144">
        <v>580</v>
      </c>
      <c r="O703" s="145" t="s">
        <v>251</v>
      </c>
      <c r="P703" s="133" t="s">
        <v>269</v>
      </c>
      <c r="Q703" s="133">
        <v>48.5</v>
      </c>
      <c r="R703" s="131"/>
    </row>
    <row r="704" ht="24.95" customHeight="1" spans="1:18">
      <c r="A704" s="135" t="s">
        <v>4855</v>
      </c>
      <c r="B704" s="131" t="s">
        <v>4856</v>
      </c>
      <c r="C704" s="136" t="str">
        <f>VLOOKUP(A704,伤害计算器!$V$2:$Y$720,3,FALSE)</f>
        <v>メロエッタ</v>
      </c>
      <c r="D704" s="136" t="str">
        <f>VLOOKUP(A704,伤害计算器!$V$2:$Y$720,4,FALSE)</f>
        <v>Meloetta</v>
      </c>
      <c r="E704" s="131" t="s">
        <v>3605</v>
      </c>
      <c r="F704" s="137"/>
      <c r="G704" s="137"/>
      <c r="H704" s="138">
        <v>100</v>
      </c>
      <c r="I704" s="139">
        <v>77</v>
      </c>
      <c r="J704" s="140">
        <v>77</v>
      </c>
      <c r="K704" s="141">
        <v>128</v>
      </c>
      <c r="L704" s="142">
        <v>128</v>
      </c>
      <c r="M704" s="143">
        <v>90</v>
      </c>
      <c r="N704" s="144">
        <v>600</v>
      </c>
      <c r="O704" s="145" t="s">
        <v>267</v>
      </c>
      <c r="P704" s="133" t="s">
        <v>271</v>
      </c>
      <c r="Q704" s="147">
        <v>6.5</v>
      </c>
      <c r="R704" s="131"/>
    </row>
    <row r="705" ht="24.95" customHeight="1" spans="1:18">
      <c r="A705" s="135" t="s">
        <v>4855</v>
      </c>
      <c r="B705" s="131" t="s">
        <v>4857</v>
      </c>
      <c r="C705" s="136" t="str">
        <f>VLOOKUP(A705,伤害计算器!$V$2:$Y$720,3,FALSE)</f>
        <v>メロエッタ</v>
      </c>
      <c r="D705" s="136" t="str">
        <f>VLOOKUP(A705,伤害计算器!$V$2:$Y$720,4,FALSE)</f>
        <v>Meloetta</v>
      </c>
      <c r="E705" s="131" t="s">
        <v>3605</v>
      </c>
      <c r="F705" s="137"/>
      <c r="G705" s="137"/>
      <c r="H705" s="138">
        <v>100</v>
      </c>
      <c r="I705" s="139">
        <v>128</v>
      </c>
      <c r="J705" s="140">
        <v>90</v>
      </c>
      <c r="K705" s="141">
        <v>77</v>
      </c>
      <c r="L705" s="142">
        <v>77</v>
      </c>
      <c r="M705" s="143">
        <v>128</v>
      </c>
      <c r="N705" s="144">
        <v>600</v>
      </c>
      <c r="O705" s="145" t="s">
        <v>267</v>
      </c>
      <c r="P705" s="133" t="s">
        <v>269</v>
      </c>
      <c r="Q705" s="133">
        <v>6.5</v>
      </c>
      <c r="R705" s="131"/>
    </row>
    <row r="706" ht="24.95" customHeight="1" spans="1:22">
      <c r="A706" s="135" t="s">
        <v>4858</v>
      </c>
      <c r="B706" s="131" t="s">
        <v>4859</v>
      </c>
      <c r="C706" s="136" t="str">
        <f>VLOOKUP(A706,伤害计算器!$V$2:$Y$720,3,FALSE)</f>
        <v>ゲノセクト</v>
      </c>
      <c r="D706" s="136" t="str">
        <f>VLOOKUP(A706,伤害计算器!$V$2:$Y$720,4,FALSE)</f>
        <v>Genesect</v>
      </c>
      <c r="E706" s="131" t="s">
        <v>3668</v>
      </c>
      <c r="F706" s="137"/>
      <c r="G706" s="137"/>
      <c r="H706" s="138">
        <v>71</v>
      </c>
      <c r="I706" s="139">
        <v>120</v>
      </c>
      <c r="J706" s="140">
        <v>95</v>
      </c>
      <c r="K706" s="141">
        <v>120</v>
      </c>
      <c r="L706" s="142">
        <v>95</v>
      </c>
      <c r="M706" s="143">
        <v>99</v>
      </c>
      <c r="N706" s="144">
        <v>600</v>
      </c>
      <c r="O706" s="145" t="s">
        <v>272</v>
      </c>
      <c r="P706" s="133" t="s">
        <v>276</v>
      </c>
      <c r="Q706" s="147">
        <v>82.5</v>
      </c>
      <c r="R706" s="131"/>
      <c r="S706" s="149"/>
      <c r="T706" s="150"/>
      <c r="U706" s="150"/>
      <c r="V706" s="149"/>
    </row>
    <row r="707" ht="24.95" customHeight="1" spans="1:22">
      <c r="A707" s="135" t="s">
        <v>4860</v>
      </c>
      <c r="B707" s="131" t="s">
        <v>4861</v>
      </c>
      <c r="C707" s="136" t="str">
        <f>VLOOKUP(A707,伤害计算器!$V$2:$Y$720,3,FALSE)</f>
        <v>ハリマロン</v>
      </c>
      <c r="D707" s="136" t="str">
        <f>VLOOKUP(A707,伤害计算器!$V$2:$Y$720,4,FALSE)</f>
        <v>Chespin</v>
      </c>
      <c r="E707" s="131" t="s">
        <v>53</v>
      </c>
      <c r="F707" s="137"/>
      <c r="G707" s="131" t="s">
        <v>4862</v>
      </c>
      <c r="H707" s="138">
        <v>56</v>
      </c>
      <c r="I707" s="139">
        <v>61</v>
      </c>
      <c r="J707" s="140">
        <v>65</v>
      </c>
      <c r="K707" s="141">
        <v>48</v>
      </c>
      <c r="L707" s="142">
        <v>45</v>
      </c>
      <c r="M707" s="143">
        <v>38</v>
      </c>
      <c r="N707" s="144">
        <v>313</v>
      </c>
      <c r="O707" s="145" t="s">
        <v>235</v>
      </c>
      <c r="Q707" s="147">
        <v>9</v>
      </c>
      <c r="R707" s="131"/>
      <c r="S707" s="151"/>
      <c r="T707" s="152"/>
      <c r="U707" s="152"/>
      <c r="V707" s="151"/>
    </row>
    <row r="708" ht="24.95" customHeight="1" spans="1:22">
      <c r="A708" s="135" t="s">
        <v>4863</v>
      </c>
      <c r="B708" s="131" t="s">
        <v>4864</v>
      </c>
      <c r="C708" s="136" t="str">
        <f>VLOOKUP(A708,伤害计算器!$V$2:$Y$720,3,FALSE)</f>
        <v>ハリボーグ</v>
      </c>
      <c r="D708" s="136" t="str">
        <f>VLOOKUP(A708,伤害计算器!$V$2:$Y$720,4,FALSE)</f>
        <v>Quilladin</v>
      </c>
      <c r="E708" s="131" t="s">
        <v>53</v>
      </c>
      <c r="F708" s="137"/>
      <c r="G708" s="131" t="s">
        <v>4865</v>
      </c>
      <c r="H708" s="138">
        <v>61</v>
      </c>
      <c r="I708" s="139">
        <v>78</v>
      </c>
      <c r="J708" s="140">
        <v>95</v>
      </c>
      <c r="K708" s="141">
        <v>56</v>
      </c>
      <c r="L708" s="142">
        <v>58</v>
      </c>
      <c r="M708" s="143">
        <v>57</v>
      </c>
      <c r="N708" s="144">
        <v>405</v>
      </c>
      <c r="O708" s="145" t="s">
        <v>235</v>
      </c>
      <c r="Q708" s="147">
        <v>29</v>
      </c>
      <c r="R708" s="131"/>
      <c r="S708" s="151"/>
      <c r="T708" s="152"/>
      <c r="U708" s="152"/>
      <c r="V708" s="151"/>
    </row>
    <row r="709" ht="24.95" customHeight="1" spans="1:22">
      <c r="A709" s="135" t="s">
        <v>4866</v>
      </c>
      <c r="B709" s="131" t="s">
        <v>4867</v>
      </c>
      <c r="C709" s="136" t="str">
        <f>VLOOKUP(A709,伤害计算器!$V$2:$Y$720,3,FALSE)</f>
        <v>ブリガロン</v>
      </c>
      <c r="D709" s="136" t="str">
        <f>VLOOKUP(A709,伤害计算器!$V$2:$Y$720,4,FALSE)</f>
        <v>Chesnaught</v>
      </c>
      <c r="E709" s="131" t="s">
        <v>53</v>
      </c>
      <c r="F709" s="137"/>
      <c r="G709" s="131" t="s">
        <v>4865</v>
      </c>
      <c r="H709" s="138">
        <v>88</v>
      </c>
      <c r="I709" s="139">
        <v>107</v>
      </c>
      <c r="J709" s="140">
        <v>122</v>
      </c>
      <c r="K709" s="141">
        <v>74</v>
      </c>
      <c r="L709" s="142">
        <v>75</v>
      </c>
      <c r="M709" s="143">
        <v>64</v>
      </c>
      <c r="N709" s="144">
        <v>530</v>
      </c>
      <c r="O709" s="145" t="s">
        <v>235</v>
      </c>
      <c r="P709" s="133" t="s">
        <v>269</v>
      </c>
      <c r="Q709" s="147">
        <v>90</v>
      </c>
      <c r="R709" s="131"/>
      <c r="S709" s="151"/>
      <c r="T709" s="152"/>
      <c r="U709" s="152"/>
      <c r="V709" s="151"/>
    </row>
    <row r="710" ht="24.95" customHeight="1" spans="1:22">
      <c r="A710" s="135" t="s">
        <v>4868</v>
      </c>
      <c r="B710" s="131" t="s">
        <v>4869</v>
      </c>
      <c r="C710" s="136" t="str">
        <f>VLOOKUP(A710,伤害计算器!$V$2:$Y$720,3,FALSE)</f>
        <v>フォッコ</v>
      </c>
      <c r="D710" s="136" t="str">
        <f>VLOOKUP(A710,伤害计算器!$V$2:$Y$720,4,FALSE)</f>
        <v>Fennekin</v>
      </c>
      <c r="E710" s="131" t="s">
        <v>54</v>
      </c>
      <c r="F710" s="137"/>
      <c r="G710" s="131" t="s">
        <v>4870</v>
      </c>
      <c r="H710" s="138">
        <v>40</v>
      </c>
      <c r="I710" s="139">
        <v>45</v>
      </c>
      <c r="J710" s="140">
        <v>40</v>
      </c>
      <c r="K710" s="141">
        <v>62</v>
      </c>
      <c r="L710" s="142">
        <v>60</v>
      </c>
      <c r="M710" s="143">
        <v>60</v>
      </c>
      <c r="N710" s="144">
        <v>307</v>
      </c>
      <c r="O710" s="145" t="s">
        <v>250</v>
      </c>
      <c r="Q710" s="147">
        <v>9.4</v>
      </c>
      <c r="R710" s="131"/>
      <c r="S710" s="151"/>
      <c r="T710" s="152"/>
      <c r="U710" s="152"/>
      <c r="V710" s="151"/>
    </row>
    <row r="711" ht="24.95" customHeight="1" spans="1:22">
      <c r="A711" s="135" t="s">
        <v>4871</v>
      </c>
      <c r="B711" s="131" t="s">
        <v>4872</v>
      </c>
      <c r="C711" s="136" t="str">
        <f>VLOOKUP(A711,伤害计算器!$V$2:$Y$720,3,FALSE)</f>
        <v>テールナー</v>
      </c>
      <c r="D711" s="136" t="str">
        <f>VLOOKUP(A711,伤害计算器!$V$2:$Y$720,4,FALSE)</f>
        <v>Braixen</v>
      </c>
      <c r="E711" s="131" t="s">
        <v>54</v>
      </c>
      <c r="F711" s="137"/>
      <c r="G711" s="131" t="s">
        <v>4873</v>
      </c>
      <c r="H711" s="138">
        <v>59</v>
      </c>
      <c r="I711" s="139">
        <v>59</v>
      </c>
      <c r="J711" s="140">
        <v>58</v>
      </c>
      <c r="K711" s="141">
        <v>90</v>
      </c>
      <c r="L711" s="142">
        <v>70</v>
      </c>
      <c r="M711" s="143">
        <v>73</v>
      </c>
      <c r="N711" s="144">
        <v>409</v>
      </c>
      <c r="O711" s="145" t="s">
        <v>250</v>
      </c>
      <c r="Q711" s="147">
        <v>14.5</v>
      </c>
      <c r="R711" s="131"/>
      <c r="S711" s="151"/>
      <c r="T711" s="152"/>
      <c r="U711" s="152"/>
      <c r="V711" s="151"/>
    </row>
    <row r="712" ht="24.95" customHeight="1" spans="1:22">
      <c r="A712" s="135" t="s">
        <v>4874</v>
      </c>
      <c r="B712" s="131" t="s">
        <v>4875</v>
      </c>
      <c r="C712" s="136" t="str">
        <f>VLOOKUP(A712,伤害计算器!$V$2:$Y$720,3,FALSE)</f>
        <v>マフォクシー</v>
      </c>
      <c r="D712" s="136" t="str">
        <f>VLOOKUP(A712,伤害计算器!$V$2:$Y$720,4,FALSE)</f>
        <v>Delphox</v>
      </c>
      <c r="E712" s="131" t="s">
        <v>54</v>
      </c>
      <c r="F712" s="137"/>
      <c r="G712" s="131" t="s">
        <v>4873</v>
      </c>
      <c r="H712" s="138">
        <v>75</v>
      </c>
      <c r="I712" s="139">
        <v>69</v>
      </c>
      <c r="J712" s="140">
        <v>72</v>
      </c>
      <c r="K712" s="141">
        <v>114</v>
      </c>
      <c r="L712" s="142">
        <v>100</v>
      </c>
      <c r="M712" s="143">
        <v>104</v>
      </c>
      <c r="N712" s="144">
        <v>534</v>
      </c>
      <c r="O712" s="145" t="s">
        <v>250</v>
      </c>
      <c r="P712" s="133" t="s">
        <v>271</v>
      </c>
      <c r="Q712" s="147">
        <v>39</v>
      </c>
      <c r="R712" s="131"/>
      <c r="S712" s="151"/>
      <c r="T712" s="152"/>
      <c r="U712" s="152"/>
      <c r="V712" s="151"/>
    </row>
    <row r="713" ht="24.95" customHeight="1" spans="1:22">
      <c r="A713" s="135" t="s">
        <v>4876</v>
      </c>
      <c r="B713" s="131" t="s">
        <v>4877</v>
      </c>
      <c r="C713" s="136" t="str">
        <f>VLOOKUP(A713,伤害计算器!$V$2:$Y$720,3,FALSE)</f>
        <v>ケロマツ</v>
      </c>
      <c r="D713" s="136" t="str">
        <f>VLOOKUP(A713,伤害计算器!$V$2:$Y$720,4,FALSE)</f>
        <v>Froakie</v>
      </c>
      <c r="E713" s="131" t="s">
        <v>55</v>
      </c>
      <c r="F713" s="137"/>
      <c r="G713" s="131" t="s">
        <v>4878</v>
      </c>
      <c r="H713" s="138">
        <v>41</v>
      </c>
      <c r="I713" s="139">
        <v>56</v>
      </c>
      <c r="J713" s="140">
        <v>40</v>
      </c>
      <c r="K713" s="141">
        <v>62</v>
      </c>
      <c r="L713" s="142">
        <v>44</v>
      </c>
      <c r="M713" s="143">
        <v>71</v>
      </c>
      <c r="N713" s="144">
        <v>314</v>
      </c>
      <c r="O713" s="145" t="s">
        <v>251</v>
      </c>
      <c r="Q713" s="147">
        <v>7</v>
      </c>
      <c r="R713" s="131"/>
      <c r="S713" s="151"/>
      <c r="T713" s="152"/>
      <c r="U713" s="152"/>
      <c r="V713" s="151"/>
    </row>
    <row r="714" ht="24.95" customHeight="1" spans="1:22">
      <c r="A714" s="135" t="s">
        <v>4879</v>
      </c>
      <c r="B714" s="131" t="s">
        <v>4880</v>
      </c>
      <c r="C714" s="136" t="str">
        <f>VLOOKUP(A714,伤害计算器!$V$2:$Y$720,3,FALSE)</f>
        <v>ゲコガシラ</v>
      </c>
      <c r="D714" s="136" t="str">
        <f>VLOOKUP(A714,伤害计算器!$V$2:$Y$720,4,FALSE)</f>
        <v>Frogadier</v>
      </c>
      <c r="E714" s="131" t="s">
        <v>55</v>
      </c>
      <c r="F714" s="137"/>
      <c r="G714" s="131" t="s">
        <v>82</v>
      </c>
      <c r="H714" s="138">
        <v>54</v>
      </c>
      <c r="I714" s="139">
        <v>63</v>
      </c>
      <c r="J714" s="140">
        <v>52</v>
      </c>
      <c r="K714" s="141">
        <v>83</v>
      </c>
      <c r="L714" s="142">
        <v>56</v>
      </c>
      <c r="M714" s="143">
        <v>97</v>
      </c>
      <c r="N714" s="144">
        <v>405</v>
      </c>
      <c r="O714" s="145" t="s">
        <v>251</v>
      </c>
      <c r="Q714" s="147">
        <v>10.9</v>
      </c>
      <c r="R714" s="131"/>
      <c r="S714" s="151"/>
      <c r="T714" s="152"/>
      <c r="U714" s="152"/>
      <c r="V714" s="151"/>
    </row>
    <row r="715" ht="24.95" customHeight="1" spans="1:22">
      <c r="A715" s="135" t="s">
        <v>4881</v>
      </c>
      <c r="B715" s="131" t="s">
        <v>4882</v>
      </c>
      <c r="C715" s="136" t="str">
        <f>VLOOKUP(A715,伤害计算器!$V$2:$Y$720,3,FALSE)</f>
        <v>ゲッコウガ</v>
      </c>
      <c r="D715" s="136" t="str">
        <f>VLOOKUP(A715,伤害计算器!$V$2:$Y$720,4,FALSE)</f>
        <v>Greninja</v>
      </c>
      <c r="E715" s="131" t="s">
        <v>55</v>
      </c>
      <c r="F715" s="137"/>
      <c r="G715" s="131" t="s">
        <v>82</v>
      </c>
      <c r="H715" s="138">
        <v>72</v>
      </c>
      <c r="I715" s="139">
        <v>95</v>
      </c>
      <c r="J715" s="140">
        <v>67</v>
      </c>
      <c r="K715" s="141">
        <v>103</v>
      </c>
      <c r="L715" s="142">
        <v>71</v>
      </c>
      <c r="M715" s="143">
        <v>122</v>
      </c>
      <c r="N715" s="144">
        <v>530</v>
      </c>
      <c r="O715" s="145" t="s">
        <v>251</v>
      </c>
      <c r="P715" s="133" t="s">
        <v>275</v>
      </c>
      <c r="Q715" s="147">
        <v>40</v>
      </c>
      <c r="R715" s="131"/>
      <c r="S715" s="151"/>
      <c r="T715" s="152"/>
      <c r="U715" s="152"/>
      <c r="V715" s="151"/>
    </row>
    <row r="716" ht="24.95" customHeight="1" spans="1:22">
      <c r="A716" s="135" t="s">
        <v>4883</v>
      </c>
      <c r="B716" s="131" t="s">
        <v>4884</v>
      </c>
      <c r="C716" s="136" t="str">
        <f>VLOOKUP(A716,伤害计算器!$V$2:$Y$720,3,FALSE)</f>
        <v>ホルビー</v>
      </c>
      <c r="D716" s="136" t="str">
        <f>VLOOKUP(A716,伤害计算器!$V$2:$Y$720,4,FALSE)</f>
        <v>Bunnelby</v>
      </c>
      <c r="E716" s="131" t="s">
        <v>3441</v>
      </c>
      <c r="F716" s="131" t="s">
        <v>4885</v>
      </c>
      <c r="G716" s="131" t="s">
        <v>4886</v>
      </c>
      <c r="H716" s="138">
        <v>38</v>
      </c>
      <c r="I716" s="139">
        <v>36</v>
      </c>
      <c r="J716" s="140">
        <v>38</v>
      </c>
      <c r="K716" s="141">
        <v>32</v>
      </c>
      <c r="L716" s="142">
        <v>36</v>
      </c>
      <c r="M716" s="143">
        <v>57</v>
      </c>
      <c r="N716" s="144">
        <v>237</v>
      </c>
      <c r="O716" s="145" t="s">
        <v>267</v>
      </c>
      <c r="Q716" s="147">
        <v>5</v>
      </c>
      <c r="R716" s="131"/>
      <c r="S716" s="151"/>
      <c r="T716" s="152"/>
      <c r="U716" s="152"/>
      <c r="V716" s="151"/>
    </row>
    <row r="717" ht="24.95" customHeight="1" spans="1:22">
      <c r="A717" s="135" t="s">
        <v>4887</v>
      </c>
      <c r="B717" s="131" t="s">
        <v>4888</v>
      </c>
      <c r="C717" s="136" t="str">
        <f>VLOOKUP(A717,伤害计算器!$V$2:$Y$720,3,FALSE)</f>
        <v>ホルード</v>
      </c>
      <c r="D717" s="136" t="str">
        <f>VLOOKUP(A717,伤害计算器!$V$2:$Y$720,4,FALSE)</f>
        <v>Diggersby</v>
      </c>
      <c r="E717" s="131" t="s">
        <v>3441</v>
      </c>
      <c r="F717" s="131" t="s">
        <v>4889</v>
      </c>
      <c r="G717" s="131" t="s">
        <v>49</v>
      </c>
      <c r="H717" s="138">
        <v>85</v>
      </c>
      <c r="I717" s="139">
        <v>56</v>
      </c>
      <c r="J717" s="140">
        <v>77</v>
      </c>
      <c r="K717" s="141">
        <v>50</v>
      </c>
      <c r="L717" s="142">
        <v>77</v>
      </c>
      <c r="M717" s="143">
        <v>78</v>
      </c>
      <c r="N717" s="144">
        <v>423</v>
      </c>
      <c r="O717" s="145" t="s">
        <v>267</v>
      </c>
      <c r="P717" s="133" t="s">
        <v>237</v>
      </c>
      <c r="Q717" s="147">
        <v>42.4</v>
      </c>
      <c r="R717" s="131"/>
      <c r="S717" s="151"/>
      <c r="T717" s="152"/>
      <c r="U717" s="152"/>
      <c r="V717" s="151"/>
    </row>
    <row r="718" ht="24.95" customHeight="1" spans="1:22">
      <c r="A718" s="135" t="s">
        <v>4890</v>
      </c>
      <c r="B718" s="131" t="s">
        <v>4891</v>
      </c>
      <c r="C718" s="136" t="str">
        <f>VLOOKUP(A718,伤害计算器!$V$2:$Y$720,3,FALSE)</f>
        <v>ヤヤコマ</v>
      </c>
      <c r="D718" s="136" t="str">
        <f>VLOOKUP(A718,伤害计算器!$V$2:$Y$720,4,FALSE)</f>
        <v>Fletchling</v>
      </c>
      <c r="E718" s="131" t="s">
        <v>3337</v>
      </c>
      <c r="F718" s="137"/>
      <c r="G718" s="131" t="s">
        <v>4892</v>
      </c>
      <c r="H718" s="138">
        <v>45</v>
      </c>
      <c r="I718" s="139">
        <v>50</v>
      </c>
      <c r="J718" s="140">
        <v>43</v>
      </c>
      <c r="K718" s="141">
        <v>40</v>
      </c>
      <c r="L718" s="142">
        <v>38</v>
      </c>
      <c r="M718" s="143">
        <v>62</v>
      </c>
      <c r="N718" s="144">
        <v>278</v>
      </c>
      <c r="O718" s="145" t="s">
        <v>267</v>
      </c>
      <c r="P718" s="133" t="s">
        <v>99</v>
      </c>
      <c r="Q718" s="147">
        <v>1.7</v>
      </c>
      <c r="R718" s="131"/>
      <c r="S718" s="151"/>
      <c r="T718" s="152"/>
      <c r="U718" s="152"/>
      <c r="V718" s="151"/>
    </row>
    <row r="719" ht="24.95" customHeight="1" spans="1:22">
      <c r="A719" s="135" t="s">
        <v>4893</v>
      </c>
      <c r="B719" s="131" t="s">
        <v>4894</v>
      </c>
      <c r="C719" s="136" t="str">
        <f>VLOOKUP(A719,伤害计算器!$V$2:$Y$720,3,FALSE)</f>
        <v>ヒノヤコマ</v>
      </c>
      <c r="D719" s="136" t="str">
        <f>VLOOKUP(A719,伤害计算器!$V$2:$Y$720,4,FALSE)</f>
        <v>Fletchinder</v>
      </c>
      <c r="E719" s="131" t="s">
        <v>3508</v>
      </c>
      <c r="F719" s="137"/>
      <c r="G719" s="131" t="s">
        <v>4892</v>
      </c>
      <c r="H719" s="138">
        <v>62</v>
      </c>
      <c r="I719" s="139">
        <v>73</v>
      </c>
      <c r="J719" s="140">
        <v>55</v>
      </c>
      <c r="K719" s="141">
        <v>56</v>
      </c>
      <c r="L719" s="142">
        <v>52</v>
      </c>
      <c r="M719" s="143">
        <v>84</v>
      </c>
      <c r="N719" s="144">
        <v>382</v>
      </c>
      <c r="O719" s="145" t="s">
        <v>250</v>
      </c>
      <c r="P719" s="133" t="s">
        <v>99</v>
      </c>
      <c r="Q719" s="147">
        <v>16</v>
      </c>
      <c r="R719" s="131"/>
      <c r="S719" s="151"/>
      <c r="T719" s="152"/>
      <c r="U719" s="152"/>
      <c r="V719" s="151"/>
    </row>
    <row r="720" ht="24.95" customHeight="1" spans="1:22">
      <c r="A720" s="135" t="s">
        <v>4895</v>
      </c>
      <c r="B720" s="131" t="s">
        <v>4896</v>
      </c>
      <c r="C720" s="136" t="str">
        <f>VLOOKUP(A720,伤害计算器!$V$2:$Y$720,3,FALSE)</f>
        <v>ファイアロー</v>
      </c>
      <c r="D720" s="136" t="str">
        <f>VLOOKUP(A720,伤害计算器!$V$2:$Y$720,4,FALSE)</f>
        <v>Talonflame</v>
      </c>
      <c r="E720" s="131" t="s">
        <v>3508</v>
      </c>
      <c r="F720" s="137"/>
      <c r="G720" s="131" t="s">
        <v>4892</v>
      </c>
      <c r="H720" s="138">
        <v>78</v>
      </c>
      <c r="I720" s="139">
        <v>81</v>
      </c>
      <c r="J720" s="140">
        <v>71</v>
      </c>
      <c r="K720" s="141">
        <v>74</v>
      </c>
      <c r="L720" s="142">
        <v>69</v>
      </c>
      <c r="M720" s="143">
        <v>126</v>
      </c>
      <c r="N720" s="144">
        <v>499</v>
      </c>
      <c r="O720" s="145" t="s">
        <v>250</v>
      </c>
      <c r="P720" s="133" t="s">
        <v>99</v>
      </c>
      <c r="Q720" s="147">
        <v>24.5</v>
      </c>
      <c r="R720" s="131"/>
      <c r="S720" s="151"/>
      <c r="T720" s="152"/>
      <c r="U720" s="152"/>
      <c r="V720" s="151"/>
    </row>
    <row r="721" ht="24.95" customHeight="1" spans="1:22">
      <c r="A721" s="135" t="s">
        <v>4897</v>
      </c>
      <c r="B721" s="131" t="s">
        <v>4898</v>
      </c>
      <c r="C721" s="136" t="str">
        <f>VLOOKUP(A721,伤害计算器!$V$2:$Y$720,3,FALSE)</f>
        <v>コフキムシ</v>
      </c>
      <c r="D721" s="136" t="str">
        <f>VLOOKUP(A721,伤害计算器!$V$2:$Y$720,4,FALSE)</f>
        <v>Scatterbug</v>
      </c>
      <c r="E721" s="131" t="s">
        <v>3318</v>
      </c>
      <c r="F721" s="131" t="s">
        <v>4899</v>
      </c>
      <c r="G721" s="131" t="s">
        <v>4394</v>
      </c>
      <c r="H721" s="138">
        <v>38</v>
      </c>
      <c r="I721" s="139">
        <v>35</v>
      </c>
      <c r="J721" s="140">
        <v>40</v>
      </c>
      <c r="K721" s="141">
        <v>27</v>
      </c>
      <c r="L721" s="142">
        <v>25</v>
      </c>
      <c r="M721" s="143">
        <v>35</v>
      </c>
      <c r="N721" s="144">
        <v>200</v>
      </c>
      <c r="O721" s="145" t="s">
        <v>272</v>
      </c>
      <c r="Q721" s="147">
        <v>2.5</v>
      </c>
      <c r="R721" s="131"/>
      <c r="S721" s="151"/>
      <c r="T721" s="152"/>
      <c r="U721" s="152"/>
      <c r="V721" s="151"/>
    </row>
    <row r="722" ht="24.95" customHeight="1" spans="1:22">
      <c r="A722" s="135" t="s">
        <v>4900</v>
      </c>
      <c r="B722" s="131" t="s">
        <v>4901</v>
      </c>
      <c r="C722" s="136" t="str">
        <f>VLOOKUP(A722,伤害计算器!$V$2:$Y$720,3,FALSE)</f>
        <v>コフーライ</v>
      </c>
      <c r="D722" s="136" t="str">
        <f>VLOOKUP(A722,伤害计算器!$V$2:$Y$720,4,FALSE)</f>
        <v>Spewpa</v>
      </c>
      <c r="E722" s="131" t="s">
        <v>3323</v>
      </c>
      <c r="F722" s="137"/>
      <c r="G722" s="131" t="s">
        <v>4394</v>
      </c>
      <c r="H722" s="138">
        <v>45</v>
      </c>
      <c r="I722" s="139">
        <v>22</v>
      </c>
      <c r="J722" s="140">
        <v>60</v>
      </c>
      <c r="K722" s="141">
        <v>27</v>
      </c>
      <c r="L722" s="142">
        <v>30</v>
      </c>
      <c r="M722" s="143">
        <v>29</v>
      </c>
      <c r="N722" s="144">
        <v>213</v>
      </c>
      <c r="O722" s="145" t="s">
        <v>272</v>
      </c>
      <c r="Q722" s="147">
        <v>8.4</v>
      </c>
      <c r="R722" s="131"/>
      <c r="S722" s="151"/>
      <c r="T722" s="152"/>
      <c r="U722" s="152"/>
      <c r="V722" s="151"/>
    </row>
    <row r="723" ht="24.95" customHeight="1" spans="1:22">
      <c r="A723" s="135" t="s">
        <v>4902</v>
      </c>
      <c r="B723" s="131" t="s">
        <v>4903</v>
      </c>
      <c r="C723" s="136" t="str">
        <f>VLOOKUP(A723,伤害计算器!$V$2:$Y$720,3,FALSE)</f>
        <v>ビビヨン</v>
      </c>
      <c r="D723" s="136" t="str">
        <f>VLOOKUP(A723,伤害计算器!$V$2:$Y$720,4,FALSE)</f>
        <v>Vivillon</v>
      </c>
      <c r="E723" s="131" t="s">
        <v>3318</v>
      </c>
      <c r="F723" s="131" t="s">
        <v>67</v>
      </c>
      <c r="G723" s="131" t="s">
        <v>3392</v>
      </c>
      <c r="H723" s="138">
        <v>80</v>
      </c>
      <c r="I723" s="139">
        <v>52</v>
      </c>
      <c r="J723" s="140">
        <v>50</v>
      </c>
      <c r="K723" s="141">
        <v>90</v>
      </c>
      <c r="L723" s="142">
        <v>50</v>
      </c>
      <c r="M723" s="143">
        <v>89</v>
      </c>
      <c r="N723" s="144">
        <v>411</v>
      </c>
      <c r="O723" s="145" t="s">
        <v>272</v>
      </c>
      <c r="P723" s="133" t="s">
        <v>99</v>
      </c>
      <c r="Q723" s="147">
        <v>17</v>
      </c>
      <c r="R723" s="131"/>
      <c r="S723" s="151"/>
      <c r="T723" s="152"/>
      <c r="U723" s="152"/>
      <c r="V723" s="151"/>
    </row>
    <row r="724" ht="24.95" customHeight="1" spans="1:22">
      <c r="A724" s="135" t="s">
        <v>4904</v>
      </c>
      <c r="B724" s="131" t="s">
        <v>4905</v>
      </c>
      <c r="C724" s="136" t="str">
        <f>VLOOKUP(A724,伤害计算器!$V$2:$Y$720,3,FALSE)</f>
        <v>シシコ</v>
      </c>
      <c r="D724" s="136" t="str">
        <f>VLOOKUP(A724,伤害计算器!$V$2:$Y$720,4,FALSE)</f>
        <v>Litleo</v>
      </c>
      <c r="E724" s="131" t="s">
        <v>3381</v>
      </c>
      <c r="F724" s="131" t="s">
        <v>3355</v>
      </c>
      <c r="G724" s="131" t="s">
        <v>3640</v>
      </c>
      <c r="H724" s="138">
        <v>62</v>
      </c>
      <c r="I724" s="139">
        <v>50</v>
      </c>
      <c r="J724" s="140">
        <v>58</v>
      </c>
      <c r="K724" s="141">
        <v>73</v>
      </c>
      <c r="L724" s="142">
        <v>54</v>
      </c>
      <c r="M724" s="143">
        <v>72</v>
      </c>
      <c r="N724" s="144">
        <v>369</v>
      </c>
      <c r="O724" s="145" t="s">
        <v>250</v>
      </c>
      <c r="P724" s="133" t="s">
        <v>267</v>
      </c>
      <c r="Q724" s="147">
        <v>13.5</v>
      </c>
      <c r="R724" s="131"/>
      <c r="S724" s="151"/>
      <c r="T724" s="152"/>
      <c r="U724" s="152"/>
      <c r="V724" s="151"/>
    </row>
    <row r="725" ht="24.95" customHeight="1" spans="1:22">
      <c r="A725" s="135" t="s">
        <v>4906</v>
      </c>
      <c r="B725" s="131" t="s">
        <v>4907</v>
      </c>
      <c r="C725" s="136" t="str">
        <f>VLOOKUP(A725,伤害计算器!$V$2:$Y$720,3,FALSE)</f>
        <v>カエンジシ</v>
      </c>
      <c r="D725" s="136" t="str">
        <f>VLOOKUP(A725,伤害计算器!$V$2:$Y$720,4,FALSE)</f>
        <v>Pyroar</v>
      </c>
      <c r="E725" s="131" t="s">
        <v>3381</v>
      </c>
      <c r="F725" s="131" t="s">
        <v>3355</v>
      </c>
      <c r="G725" s="131" t="s">
        <v>3640</v>
      </c>
      <c r="H725" s="138">
        <v>86</v>
      </c>
      <c r="I725" s="139">
        <v>68</v>
      </c>
      <c r="J725" s="140">
        <v>72</v>
      </c>
      <c r="K725" s="141">
        <v>109</v>
      </c>
      <c r="L725" s="142">
        <v>66</v>
      </c>
      <c r="M725" s="143">
        <v>106</v>
      </c>
      <c r="N725" s="144">
        <v>507</v>
      </c>
      <c r="O725" s="145" t="s">
        <v>250</v>
      </c>
      <c r="P725" s="133" t="s">
        <v>267</v>
      </c>
      <c r="Q725" s="147">
        <v>81.5</v>
      </c>
      <c r="R725" s="131"/>
      <c r="S725" s="151"/>
      <c r="T725" s="152"/>
      <c r="U725" s="152"/>
      <c r="V725" s="151"/>
    </row>
    <row r="726" ht="24.95" customHeight="1" spans="1:22">
      <c r="A726" s="135" t="s">
        <v>4908</v>
      </c>
      <c r="B726" s="131" t="s">
        <v>4909</v>
      </c>
      <c r="C726" s="136" t="str">
        <f>VLOOKUP(A726,伤害计算器!$V$2:$Y$720,3,FALSE)</f>
        <v>フラベベ</v>
      </c>
      <c r="D726" s="136" t="str">
        <f>VLOOKUP(A726,伤害计算器!$V$2:$Y$720,4,FALSE)</f>
        <v>Flabébé</v>
      </c>
      <c r="E726" s="131" t="s">
        <v>4910</v>
      </c>
      <c r="F726" s="137"/>
      <c r="G726" s="131" t="s">
        <v>4911</v>
      </c>
      <c r="H726" s="138">
        <v>44</v>
      </c>
      <c r="I726" s="139">
        <v>38</v>
      </c>
      <c r="J726" s="140">
        <v>39</v>
      </c>
      <c r="K726" s="141">
        <v>61</v>
      </c>
      <c r="L726" s="142">
        <v>79</v>
      </c>
      <c r="M726" s="143">
        <v>42</v>
      </c>
      <c r="N726" s="144">
        <v>303</v>
      </c>
      <c r="O726" s="145" t="s">
        <v>98</v>
      </c>
      <c r="Q726" s="147">
        <v>0.1</v>
      </c>
      <c r="R726" s="131"/>
      <c r="S726" s="151"/>
      <c r="T726" s="152"/>
      <c r="U726" s="152"/>
      <c r="V726" s="151"/>
    </row>
    <row r="727" ht="24.95" customHeight="1" spans="1:22">
      <c r="A727" s="135" t="s">
        <v>4912</v>
      </c>
      <c r="B727" s="131" t="s">
        <v>4913</v>
      </c>
      <c r="C727" s="136" t="str">
        <f>VLOOKUP(A727,伤害计算器!$V$2:$Y$720,3,FALSE)</f>
        <v>フラエッテ</v>
      </c>
      <c r="D727" s="136" t="str">
        <f>VLOOKUP(A727,伤害计算器!$V$2:$Y$720,4,FALSE)</f>
        <v>Floette</v>
      </c>
      <c r="E727" s="131" t="s">
        <v>4910</v>
      </c>
      <c r="F727" s="137"/>
      <c r="G727" s="131" t="s">
        <v>4914</v>
      </c>
      <c r="H727" s="138">
        <v>54</v>
      </c>
      <c r="I727" s="139">
        <v>45</v>
      </c>
      <c r="J727" s="140">
        <v>47</v>
      </c>
      <c r="K727" s="141">
        <v>75</v>
      </c>
      <c r="L727" s="142">
        <v>98</v>
      </c>
      <c r="M727" s="143">
        <v>52</v>
      </c>
      <c r="N727" s="144">
        <v>371</v>
      </c>
      <c r="O727" s="145" t="s">
        <v>98</v>
      </c>
      <c r="Q727" s="147">
        <v>0.9</v>
      </c>
      <c r="R727" s="131"/>
      <c r="S727" s="151"/>
      <c r="T727" s="152"/>
      <c r="U727" s="152"/>
      <c r="V727" s="151"/>
    </row>
    <row r="728" ht="24.95" customHeight="1" spans="1:22">
      <c r="A728" s="135" t="s">
        <v>4915</v>
      </c>
      <c r="B728" s="131" t="s">
        <v>4916</v>
      </c>
      <c r="C728" s="136" t="str">
        <f>VLOOKUP(A728,伤害计算器!$V$2:$Y$720,3,FALSE)</f>
        <v>フラージェス</v>
      </c>
      <c r="D728" s="136" t="str">
        <f>VLOOKUP(A728,伤害计算器!$V$2:$Y$720,4,FALSE)</f>
        <v>Florges</v>
      </c>
      <c r="E728" s="131" t="s">
        <v>4910</v>
      </c>
      <c r="F728" s="137"/>
      <c r="G728" s="131" t="s">
        <v>4914</v>
      </c>
      <c r="H728" s="138">
        <v>78</v>
      </c>
      <c r="I728" s="139">
        <v>65</v>
      </c>
      <c r="J728" s="140">
        <v>68</v>
      </c>
      <c r="K728" s="141">
        <v>112</v>
      </c>
      <c r="L728" s="142">
        <v>154</v>
      </c>
      <c r="M728" s="143">
        <v>75</v>
      </c>
      <c r="N728" s="144">
        <v>552</v>
      </c>
      <c r="O728" s="145" t="s">
        <v>98</v>
      </c>
      <c r="Q728" s="147">
        <v>10</v>
      </c>
      <c r="R728" s="153"/>
      <c r="S728" s="151"/>
      <c r="T728" s="152"/>
      <c r="U728" s="152"/>
      <c r="V728" s="151"/>
    </row>
    <row r="729" ht="24.95" customHeight="1" spans="1:22">
      <c r="A729" s="135" t="s">
        <v>4917</v>
      </c>
      <c r="B729" s="131" t="s">
        <v>4918</v>
      </c>
      <c r="C729" s="136" t="str">
        <f>VLOOKUP(A729,伤害计算器!$V$2:$Y$720,3,FALSE)</f>
        <v>メェークル</v>
      </c>
      <c r="D729" s="136" t="str">
        <f>VLOOKUP(A729,伤害计算器!$V$2:$Y$720,4,FALSE)</f>
        <v>Skiddo</v>
      </c>
      <c r="E729" s="131" t="s">
        <v>552</v>
      </c>
      <c r="F729" s="137"/>
      <c r="G729" s="131" t="s">
        <v>74</v>
      </c>
      <c r="H729" s="138">
        <v>66</v>
      </c>
      <c r="I729" s="139">
        <v>65</v>
      </c>
      <c r="J729" s="140">
        <v>48</v>
      </c>
      <c r="K729" s="141">
        <v>62</v>
      </c>
      <c r="L729" s="142">
        <v>57</v>
      </c>
      <c r="M729" s="143">
        <v>52</v>
      </c>
      <c r="N729" s="144">
        <v>350</v>
      </c>
      <c r="O729" s="145" t="s">
        <v>235</v>
      </c>
      <c r="Q729" s="147">
        <v>31</v>
      </c>
      <c r="R729" s="153"/>
      <c r="S729" s="151"/>
      <c r="T729" s="152"/>
      <c r="U729" s="152"/>
      <c r="V729" s="151"/>
    </row>
    <row r="730" ht="24.95" customHeight="1" spans="1:22">
      <c r="A730" s="135" t="s">
        <v>4919</v>
      </c>
      <c r="B730" s="131" t="s">
        <v>4920</v>
      </c>
      <c r="C730" s="136" t="str">
        <f>VLOOKUP(A730,伤害计算器!$V$2:$Y$720,3,FALSE)</f>
        <v>ゴーゴート</v>
      </c>
      <c r="D730" s="136" t="str">
        <f>VLOOKUP(A730,伤害计算器!$V$2:$Y$720,4,FALSE)</f>
        <v>Gogoat</v>
      </c>
      <c r="E730" s="131" t="s">
        <v>552</v>
      </c>
      <c r="F730" s="137"/>
      <c r="G730" s="131" t="s">
        <v>74</v>
      </c>
      <c r="H730" s="138">
        <v>123</v>
      </c>
      <c r="I730" s="139">
        <v>100</v>
      </c>
      <c r="J730" s="140">
        <v>62</v>
      </c>
      <c r="K730" s="141">
        <v>97</v>
      </c>
      <c r="L730" s="142">
        <v>81</v>
      </c>
      <c r="M730" s="143">
        <v>68</v>
      </c>
      <c r="N730" s="144">
        <v>531</v>
      </c>
      <c r="O730" s="145" t="s">
        <v>235</v>
      </c>
      <c r="Q730" s="147">
        <v>91</v>
      </c>
      <c r="R730" s="153"/>
      <c r="S730" s="151"/>
      <c r="T730" s="152"/>
      <c r="U730" s="152"/>
      <c r="V730" s="151"/>
    </row>
    <row r="731" ht="24.95" customHeight="1" spans="1:22">
      <c r="A731" s="135" t="s">
        <v>4921</v>
      </c>
      <c r="B731" s="131" t="s">
        <v>4922</v>
      </c>
      <c r="C731" s="136" t="str">
        <f>VLOOKUP(A731,伤害计算器!$V$2:$Y$720,3,FALSE)</f>
        <v>ヤンチャム</v>
      </c>
      <c r="D731" s="136" t="str">
        <f>VLOOKUP(A731,伤害计算器!$V$2:$Y$720,4,FALSE)</f>
        <v>Pancham</v>
      </c>
      <c r="E731" s="131" t="s">
        <v>39</v>
      </c>
      <c r="F731" s="131" t="s">
        <v>83</v>
      </c>
      <c r="G731" s="131" t="s">
        <v>3612</v>
      </c>
      <c r="H731" s="138">
        <v>67</v>
      </c>
      <c r="I731" s="139">
        <v>82</v>
      </c>
      <c r="J731" s="140">
        <v>62</v>
      </c>
      <c r="K731" s="141">
        <v>46</v>
      </c>
      <c r="L731" s="142">
        <v>48</v>
      </c>
      <c r="M731" s="143">
        <v>43</v>
      </c>
      <c r="N731" s="144">
        <v>348</v>
      </c>
      <c r="O731" s="145" t="s">
        <v>269</v>
      </c>
      <c r="Q731" s="147">
        <v>8</v>
      </c>
      <c r="R731" s="153"/>
      <c r="S731" s="151"/>
      <c r="T731" s="152"/>
      <c r="U731" s="152"/>
      <c r="V731" s="151"/>
    </row>
    <row r="732" ht="24.95" customHeight="1" spans="1:22">
      <c r="A732" s="135" t="s">
        <v>4923</v>
      </c>
      <c r="B732" s="131" t="s">
        <v>4924</v>
      </c>
      <c r="C732" s="136" t="str">
        <f>VLOOKUP(A732,伤害计算器!$V$2:$Y$720,3,FALSE)</f>
        <v>ゴロンダ</v>
      </c>
      <c r="D732" s="136" t="str">
        <f>VLOOKUP(A732,伤害计算器!$V$2:$Y$720,4,FALSE)</f>
        <v>Pangoro</v>
      </c>
      <c r="E732" s="131" t="s">
        <v>39</v>
      </c>
      <c r="F732" s="131" t="s">
        <v>83</v>
      </c>
      <c r="G732" s="131" t="s">
        <v>3612</v>
      </c>
      <c r="H732" s="138">
        <v>95</v>
      </c>
      <c r="I732" s="139">
        <v>124</v>
      </c>
      <c r="J732" s="140">
        <v>78</v>
      </c>
      <c r="K732" s="141">
        <v>69</v>
      </c>
      <c r="L732" s="142">
        <v>71</v>
      </c>
      <c r="M732" s="143">
        <v>58</v>
      </c>
      <c r="N732" s="144">
        <v>495</v>
      </c>
      <c r="O732" s="145" t="s">
        <v>269</v>
      </c>
      <c r="P732" s="133" t="s">
        <v>275</v>
      </c>
      <c r="Q732" s="147">
        <v>136</v>
      </c>
      <c r="R732" s="153"/>
      <c r="S732" s="151"/>
      <c r="T732" s="152"/>
      <c r="U732" s="152"/>
      <c r="V732" s="151"/>
    </row>
    <row r="733" ht="24.95" customHeight="1" spans="1:22">
      <c r="A733" s="135" t="s">
        <v>4925</v>
      </c>
      <c r="B733" s="131" t="s">
        <v>4926</v>
      </c>
      <c r="C733" s="136" t="str">
        <f>VLOOKUP(A733,伤害计算器!$V$2:$Y$720,3,FALSE)</f>
        <v>トリミアン</v>
      </c>
      <c r="D733" s="136" t="str">
        <f>VLOOKUP(A733,伤害计算器!$V$2:$Y$720,4,FALSE)</f>
        <v>Furfrou</v>
      </c>
      <c r="E733" s="131" t="s">
        <v>78</v>
      </c>
      <c r="F733" s="137"/>
      <c r="G733" s="137"/>
      <c r="H733" s="138">
        <v>75</v>
      </c>
      <c r="I733" s="139">
        <v>80</v>
      </c>
      <c r="J733" s="140">
        <v>60</v>
      </c>
      <c r="K733" s="141">
        <v>65</v>
      </c>
      <c r="L733" s="142">
        <v>90</v>
      </c>
      <c r="M733" s="143">
        <v>82</v>
      </c>
      <c r="N733" s="144">
        <v>452</v>
      </c>
      <c r="O733" s="145" t="s">
        <v>267</v>
      </c>
      <c r="Q733" s="147">
        <v>28</v>
      </c>
      <c r="R733" s="153"/>
      <c r="S733" s="151"/>
      <c r="T733" s="152"/>
      <c r="U733" s="152"/>
      <c r="V733" s="151"/>
    </row>
    <row r="734" ht="24.95" customHeight="1" spans="1:22">
      <c r="A734" s="135" t="s">
        <v>4927</v>
      </c>
      <c r="B734" s="131" t="s">
        <v>4928</v>
      </c>
      <c r="C734" s="136" t="str">
        <f>VLOOKUP(A734,伤害计算器!$V$2:$Y$720,3,FALSE)</f>
        <v>ニャスパー</v>
      </c>
      <c r="D734" s="136" t="str">
        <f>VLOOKUP(A734,伤害计算器!$V$2:$Y$720,4,FALSE)</f>
        <v>Espurr</v>
      </c>
      <c r="E734" s="131" t="s">
        <v>3336</v>
      </c>
      <c r="F734" s="131" t="s">
        <v>3410</v>
      </c>
      <c r="G734" s="131" t="s">
        <v>3514</v>
      </c>
      <c r="H734" s="138">
        <v>62</v>
      </c>
      <c r="I734" s="139">
        <v>48</v>
      </c>
      <c r="J734" s="140">
        <v>54</v>
      </c>
      <c r="K734" s="141">
        <v>63</v>
      </c>
      <c r="L734" s="142">
        <v>60</v>
      </c>
      <c r="M734" s="143">
        <v>68</v>
      </c>
      <c r="N734" s="144">
        <v>355</v>
      </c>
      <c r="O734" s="145" t="s">
        <v>271</v>
      </c>
      <c r="Q734" s="147">
        <v>3.5</v>
      </c>
      <c r="R734" s="153"/>
      <c r="S734" s="151"/>
      <c r="T734" s="152"/>
      <c r="U734" s="152"/>
      <c r="V734" s="151"/>
    </row>
    <row r="735" ht="24.95" customHeight="1" spans="1:22">
      <c r="A735" s="135" t="s">
        <v>4929</v>
      </c>
      <c r="B735" s="131" t="s">
        <v>4930</v>
      </c>
      <c r="C735" s="136" t="str">
        <f>VLOOKUP(A735,伤害计算器!$V$2:$Y$720,3,FALSE)</f>
        <v>ニャオニクス</v>
      </c>
      <c r="D735" s="136" t="str">
        <f>VLOOKUP(A735,伤害计算器!$V$2:$Y$720,4,FALSE)</f>
        <v>Meowstic</v>
      </c>
      <c r="E735" s="131" t="s">
        <v>3336</v>
      </c>
      <c r="F735" s="131" t="s">
        <v>3410</v>
      </c>
      <c r="G735" s="131" t="s">
        <v>3812</v>
      </c>
      <c r="H735" s="138">
        <v>74</v>
      </c>
      <c r="I735" s="139">
        <v>48</v>
      </c>
      <c r="J735" s="140">
        <v>76</v>
      </c>
      <c r="K735" s="141">
        <v>83</v>
      </c>
      <c r="L735" s="142">
        <v>81</v>
      </c>
      <c r="M735" s="143">
        <v>104</v>
      </c>
      <c r="N735" s="144">
        <v>466</v>
      </c>
      <c r="O735" s="145" t="s">
        <v>271</v>
      </c>
      <c r="Q735" s="147">
        <v>8.5</v>
      </c>
      <c r="R735" s="153"/>
      <c r="S735" s="151"/>
      <c r="T735" s="152"/>
      <c r="U735" s="152"/>
      <c r="V735" s="151"/>
    </row>
    <row r="736" ht="24.95" customHeight="1" spans="1:22">
      <c r="A736" s="135" t="s">
        <v>4929</v>
      </c>
      <c r="B736" s="131" t="s">
        <v>4931</v>
      </c>
      <c r="C736" s="136" t="str">
        <f>VLOOKUP(A736,伤害计算器!$V$2:$Y$720,3,FALSE)</f>
        <v>ニャオニクス</v>
      </c>
      <c r="D736" s="136" t="str">
        <f>VLOOKUP(A736,伤害计算器!$V$2:$Y$720,4,FALSE)</f>
        <v>Meowstic</v>
      </c>
      <c r="E736" s="131" t="s">
        <v>3336</v>
      </c>
      <c r="F736" s="131" t="s">
        <v>3410</v>
      </c>
      <c r="G736" s="131" t="s">
        <v>3403</v>
      </c>
      <c r="H736" s="138">
        <v>74</v>
      </c>
      <c r="I736" s="139">
        <v>48</v>
      </c>
      <c r="J736" s="140">
        <v>76</v>
      </c>
      <c r="K736" s="141">
        <v>83</v>
      </c>
      <c r="L736" s="142">
        <v>81</v>
      </c>
      <c r="M736" s="143">
        <v>104</v>
      </c>
      <c r="N736" s="144">
        <v>466</v>
      </c>
      <c r="O736" s="145" t="s">
        <v>271</v>
      </c>
      <c r="Q736" s="133">
        <v>8.5</v>
      </c>
      <c r="R736" s="153"/>
      <c r="S736" s="149"/>
      <c r="T736" s="150"/>
      <c r="U736" s="150"/>
      <c r="V736" s="149"/>
    </row>
    <row r="737" ht="24.95" customHeight="1" spans="1:22">
      <c r="A737" s="135" t="s">
        <v>4932</v>
      </c>
      <c r="B737" s="131" t="s">
        <v>4933</v>
      </c>
      <c r="C737" s="136" t="str">
        <f>VLOOKUP(A737,伤害计算器!$V$2:$Y$720,3,FALSE)</f>
        <v>ヒトツキ</v>
      </c>
      <c r="D737" s="136" t="str">
        <f>VLOOKUP(A737,伤害计算器!$V$2:$Y$720,4,FALSE)</f>
        <v>Honedge</v>
      </c>
      <c r="E737" s="131" t="s">
        <v>69</v>
      </c>
      <c r="F737" s="137"/>
      <c r="G737" s="137"/>
      <c r="H737" s="138">
        <v>45</v>
      </c>
      <c r="I737" s="139">
        <v>80</v>
      </c>
      <c r="J737" s="140">
        <v>100</v>
      </c>
      <c r="K737" s="141">
        <v>35</v>
      </c>
      <c r="L737" s="142">
        <v>37</v>
      </c>
      <c r="M737" s="143">
        <v>28</v>
      </c>
      <c r="N737" s="144">
        <v>325</v>
      </c>
      <c r="O737" s="145" t="s">
        <v>276</v>
      </c>
      <c r="P737" s="133" t="s">
        <v>273</v>
      </c>
      <c r="Q737" s="147">
        <v>2</v>
      </c>
      <c r="R737" s="153"/>
      <c r="S737" s="151"/>
      <c r="T737" s="152"/>
      <c r="U737" s="152"/>
      <c r="V737" s="151"/>
    </row>
    <row r="738" ht="24.95" customHeight="1" spans="1:22">
      <c r="A738" s="135" t="s">
        <v>4934</v>
      </c>
      <c r="B738" s="131" t="s">
        <v>4935</v>
      </c>
      <c r="C738" s="136" t="str">
        <f>VLOOKUP(A738,伤害计算器!$V$2:$Y$720,3,FALSE)</f>
        <v>ニダンギル</v>
      </c>
      <c r="D738" s="136" t="str">
        <f>VLOOKUP(A738,伤害计算器!$V$2:$Y$720,4,FALSE)</f>
        <v>Doublade</v>
      </c>
      <c r="E738" s="131" t="s">
        <v>69</v>
      </c>
      <c r="F738" s="137"/>
      <c r="G738" s="137"/>
      <c r="H738" s="138">
        <v>59</v>
      </c>
      <c r="I738" s="139">
        <v>110</v>
      </c>
      <c r="J738" s="140">
        <v>150</v>
      </c>
      <c r="K738" s="141">
        <v>45</v>
      </c>
      <c r="L738" s="142">
        <v>49</v>
      </c>
      <c r="M738" s="143">
        <v>35</v>
      </c>
      <c r="N738" s="144">
        <v>448</v>
      </c>
      <c r="O738" s="145" t="s">
        <v>276</v>
      </c>
      <c r="P738" s="133" t="s">
        <v>273</v>
      </c>
      <c r="Q738" s="147">
        <v>4.5</v>
      </c>
      <c r="R738" s="153"/>
      <c r="S738" s="151"/>
      <c r="T738" s="152"/>
      <c r="U738" s="152"/>
      <c r="V738" s="151"/>
    </row>
    <row r="739" ht="24.95" customHeight="1" spans="1:22">
      <c r="A739" s="135" t="s">
        <v>4936</v>
      </c>
      <c r="B739" s="131" t="s">
        <v>4937</v>
      </c>
      <c r="C739" s="136" t="str">
        <f>VLOOKUP(A739,伤害计算器!$V$2:$Y$720,3,FALSE)</f>
        <v>ギルガルド</v>
      </c>
      <c r="D739" s="136" t="str">
        <f>VLOOKUP(A739,伤害计算器!$V$2:$Y$720,4,FALSE)</f>
        <v>Aegislash</v>
      </c>
      <c r="E739" s="131" t="s">
        <v>4938</v>
      </c>
      <c r="F739" s="137"/>
      <c r="G739" s="137"/>
      <c r="H739" s="138">
        <v>60</v>
      </c>
      <c r="I739" s="139">
        <v>50</v>
      </c>
      <c r="J739" s="140">
        <v>150</v>
      </c>
      <c r="K739" s="141">
        <v>50</v>
      </c>
      <c r="L739" s="142">
        <v>150</v>
      </c>
      <c r="M739" s="143">
        <v>60</v>
      </c>
      <c r="N739" s="144">
        <v>520</v>
      </c>
      <c r="O739" s="145" t="s">
        <v>276</v>
      </c>
      <c r="P739" s="133" t="s">
        <v>273</v>
      </c>
      <c r="Q739" s="147">
        <v>53</v>
      </c>
      <c r="R739" s="153"/>
      <c r="S739" s="151"/>
      <c r="T739" s="152"/>
      <c r="U739" s="152"/>
      <c r="V739" s="151"/>
    </row>
    <row r="740" ht="24.95" customHeight="1" spans="1:22">
      <c r="A740" s="135" t="s">
        <v>4936</v>
      </c>
      <c r="B740" s="133" t="s">
        <v>4939</v>
      </c>
      <c r="C740" s="136" t="str">
        <f>VLOOKUP(A740,伤害计算器!$V$2:$Y$720,3,FALSE)</f>
        <v>ギルガルド</v>
      </c>
      <c r="D740" s="136" t="str">
        <f>VLOOKUP(A740,伤害计算器!$V$2:$Y$720,4,FALSE)</f>
        <v>Aegislash</v>
      </c>
      <c r="E740" s="131" t="s">
        <v>4938</v>
      </c>
      <c r="F740" s="137"/>
      <c r="G740" s="137"/>
      <c r="H740" s="138">
        <v>60</v>
      </c>
      <c r="I740" s="139">
        <v>150</v>
      </c>
      <c r="J740" s="140">
        <v>50</v>
      </c>
      <c r="K740" s="141">
        <v>150</v>
      </c>
      <c r="L740" s="142">
        <v>50</v>
      </c>
      <c r="M740" s="143">
        <v>60</v>
      </c>
      <c r="N740" s="144">
        <v>520</v>
      </c>
      <c r="O740" s="145" t="s">
        <v>276</v>
      </c>
      <c r="P740" s="133" t="s">
        <v>273</v>
      </c>
      <c r="Q740" s="133">
        <v>53</v>
      </c>
      <c r="R740" s="153"/>
      <c r="S740" s="149"/>
      <c r="T740" s="150"/>
      <c r="U740" s="150"/>
      <c r="V740" s="149"/>
    </row>
    <row r="741" ht="24.95" customHeight="1" spans="1:22">
      <c r="A741" s="135" t="s">
        <v>4940</v>
      </c>
      <c r="B741" s="131" t="s">
        <v>4941</v>
      </c>
      <c r="C741" s="136" t="str">
        <f>VLOOKUP(A741,伤害计算器!$V$2:$Y$720,3,FALSE)</f>
        <v>シュシュプ</v>
      </c>
      <c r="D741" s="136" t="str">
        <f>VLOOKUP(A741,伤害计算器!$V$2:$Y$720,4,FALSE)</f>
        <v>Spritzee</v>
      </c>
      <c r="E741" s="131" t="s">
        <v>3606</v>
      </c>
      <c r="F741" s="137"/>
      <c r="G741" s="131" t="s">
        <v>4942</v>
      </c>
      <c r="H741" s="138">
        <v>78</v>
      </c>
      <c r="I741" s="139">
        <v>52</v>
      </c>
      <c r="J741" s="140">
        <v>60</v>
      </c>
      <c r="K741" s="141">
        <v>63</v>
      </c>
      <c r="L741" s="142">
        <v>65</v>
      </c>
      <c r="M741" s="143">
        <v>23</v>
      </c>
      <c r="N741" s="144">
        <v>341</v>
      </c>
      <c r="O741" s="145" t="s">
        <v>98</v>
      </c>
      <c r="Q741" s="147">
        <v>0.5</v>
      </c>
      <c r="R741" s="153"/>
      <c r="S741" s="151"/>
      <c r="T741" s="152"/>
      <c r="U741" s="152"/>
      <c r="V741" s="151"/>
    </row>
    <row r="742" ht="24.95" customHeight="1" spans="1:22">
      <c r="A742" s="135" t="s">
        <v>4943</v>
      </c>
      <c r="B742" s="131" t="s">
        <v>4944</v>
      </c>
      <c r="C742" s="136" t="str">
        <f>VLOOKUP(A742,伤害计算器!$V$2:$Y$720,3,FALSE)</f>
        <v>フレフワン</v>
      </c>
      <c r="D742" s="136" t="str">
        <f>VLOOKUP(A742,伤害计算器!$V$2:$Y$720,4,FALSE)</f>
        <v>Aromatisse</v>
      </c>
      <c r="E742" s="131" t="s">
        <v>3606</v>
      </c>
      <c r="F742" s="137"/>
      <c r="G742" s="131" t="s">
        <v>4942</v>
      </c>
      <c r="H742" s="138">
        <v>101</v>
      </c>
      <c r="I742" s="139">
        <v>72</v>
      </c>
      <c r="J742" s="140">
        <v>72</v>
      </c>
      <c r="K742" s="141">
        <v>99</v>
      </c>
      <c r="L742" s="142">
        <v>89</v>
      </c>
      <c r="M742" s="143">
        <v>29</v>
      </c>
      <c r="N742" s="144">
        <v>462</v>
      </c>
      <c r="O742" s="145" t="s">
        <v>98</v>
      </c>
      <c r="Q742" s="147">
        <v>15.5</v>
      </c>
      <c r="R742" s="153"/>
      <c r="S742" s="151"/>
      <c r="T742" s="152"/>
      <c r="U742" s="152"/>
      <c r="V742" s="151"/>
    </row>
    <row r="743" ht="24.95" customHeight="1" spans="1:22">
      <c r="A743" s="135" t="s">
        <v>4945</v>
      </c>
      <c r="B743" s="131" t="s">
        <v>4946</v>
      </c>
      <c r="C743" s="136" t="str">
        <f>VLOOKUP(A743,伤害计算器!$V$2:$Y$720,3,FALSE)</f>
        <v>ペロッパフ</v>
      </c>
      <c r="D743" s="136" t="str">
        <f>VLOOKUP(A743,伤害计算器!$V$2:$Y$720,4,FALSE)</f>
        <v>Swirlix</v>
      </c>
      <c r="E743" s="131" t="s">
        <v>4947</v>
      </c>
      <c r="F743" s="137"/>
      <c r="G743" s="131" t="s">
        <v>3589</v>
      </c>
      <c r="H743" s="138">
        <v>62</v>
      </c>
      <c r="I743" s="139">
        <v>48</v>
      </c>
      <c r="J743" s="140">
        <v>66</v>
      </c>
      <c r="K743" s="141">
        <v>59</v>
      </c>
      <c r="L743" s="142">
        <v>57</v>
      </c>
      <c r="M743" s="143">
        <v>49</v>
      </c>
      <c r="N743" s="144">
        <v>341</v>
      </c>
      <c r="O743" s="145" t="s">
        <v>98</v>
      </c>
      <c r="Q743" s="147">
        <v>3.5</v>
      </c>
      <c r="R743" s="153"/>
      <c r="S743" s="151"/>
      <c r="T743" s="152"/>
      <c r="U743" s="152"/>
      <c r="V743" s="151"/>
    </row>
    <row r="744" ht="24.95" customHeight="1" spans="1:22">
      <c r="A744" s="135" t="s">
        <v>4948</v>
      </c>
      <c r="B744" s="131" t="s">
        <v>4949</v>
      </c>
      <c r="C744" s="136" t="str">
        <f>VLOOKUP(A744,伤害计算器!$V$2:$Y$720,3,FALSE)</f>
        <v>ペロリーム</v>
      </c>
      <c r="D744" s="136" t="str">
        <f>VLOOKUP(A744,伤害计算器!$V$2:$Y$720,4,FALSE)</f>
        <v>Slurpuff</v>
      </c>
      <c r="E744" s="131" t="s">
        <v>4947</v>
      </c>
      <c r="F744" s="137"/>
      <c r="G744" s="131" t="s">
        <v>3589</v>
      </c>
      <c r="H744" s="138">
        <v>82</v>
      </c>
      <c r="I744" s="139">
        <v>80</v>
      </c>
      <c r="J744" s="140">
        <v>86</v>
      </c>
      <c r="K744" s="141">
        <v>85</v>
      </c>
      <c r="L744" s="142">
        <v>75</v>
      </c>
      <c r="M744" s="143">
        <v>72</v>
      </c>
      <c r="N744" s="144">
        <v>480</v>
      </c>
      <c r="O744" s="145" t="s">
        <v>98</v>
      </c>
      <c r="Q744" s="147">
        <v>5</v>
      </c>
      <c r="R744" s="153"/>
      <c r="S744" s="151"/>
      <c r="T744" s="152"/>
      <c r="U744" s="152"/>
      <c r="V744" s="151"/>
    </row>
    <row r="745" ht="24.95" customHeight="1" spans="1:22">
      <c r="A745" s="135" t="s">
        <v>4950</v>
      </c>
      <c r="B745" s="131" t="s">
        <v>4951</v>
      </c>
      <c r="C745" s="136" t="str">
        <f>VLOOKUP(A745,伤害计算器!$V$2:$Y$720,3,FALSE)</f>
        <v>マーイーカ</v>
      </c>
      <c r="D745" s="136" t="str">
        <f>VLOOKUP(A745,伤害计算器!$V$2:$Y$720,4,FALSE)</f>
        <v>Inkay</v>
      </c>
      <c r="E745" s="131" t="s">
        <v>3852</v>
      </c>
      <c r="F745" s="131" t="s">
        <v>3880</v>
      </c>
      <c r="G745" s="131" t="s">
        <v>3410</v>
      </c>
      <c r="H745" s="138">
        <v>53</v>
      </c>
      <c r="I745" s="139">
        <v>54</v>
      </c>
      <c r="J745" s="140">
        <v>53</v>
      </c>
      <c r="K745" s="141">
        <v>37</v>
      </c>
      <c r="L745" s="142">
        <v>46</v>
      </c>
      <c r="M745" s="143">
        <v>45</v>
      </c>
      <c r="N745" s="144">
        <v>288</v>
      </c>
      <c r="O745" s="145" t="s">
        <v>275</v>
      </c>
      <c r="P745" s="133" t="s">
        <v>271</v>
      </c>
      <c r="Q745" s="147">
        <v>3.5</v>
      </c>
      <c r="R745" s="153"/>
      <c r="S745" s="151"/>
      <c r="T745" s="152"/>
      <c r="U745" s="152"/>
      <c r="V745" s="151"/>
    </row>
    <row r="746" ht="24.95" customHeight="1" spans="1:22">
      <c r="A746" s="135" t="s">
        <v>4952</v>
      </c>
      <c r="B746" s="131" t="s">
        <v>4953</v>
      </c>
      <c r="C746" s="136" t="str">
        <f>VLOOKUP(A746,伤害计算器!$V$2:$Y$720,3,FALSE)</f>
        <v>カラマネロ</v>
      </c>
      <c r="D746" s="136" t="str">
        <f>VLOOKUP(A746,伤害计算器!$V$2:$Y$720,4,FALSE)</f>
        <v>Malamar</v>
      </c>
      <c r="E746" s="131" t="s">
        <v>3852</v>
      </c>
      <c r="F746" s="131" t="s">
        <v>3880</v>
      </c>
      <c r="G746" s="131" t="s">
        <v>3410</v>
      </c>
      <c r="H746" s="138">
        <v>86</v>
      </c>
      <c r="I746" s="139">
        <v>92</v>
      </c>
      <c r="J746" s="140">
        <v>88</v>
      </c>
      <c r="K746" s="141">
        <v>68</v>
      </c>
      <c r="L746" s="142">
        <v>75</v>
      </c>
      <c r="M746" s="143">
        <v>73</v>
      </c>
      <c r="N746" s="144">
        <v>482</v>
      </c>
      <c r="O746" s="145" t="s">
        <v>275</v>
      </c>
      <c r="P746" s="133" t="s">
        <v>271</v>
      </c>
      <c r="Q746" s="147">
        <v>47</v>
      </c>
      <c r="R746" s="153"/>
      <c r="S746" s="151"/>
      <c r="T746" s="152"/>
      <c r="U746" s="152"/>
      <c r="V746" s="151"/>
    </row>
    <row r="747" ht="24.95" customHeight="1" spans="1:22">
      <c r="A747" s="135" t="s">
        <v>4954</v>
      </c>
      <c r="B747" s="131" t="s">
        <v>4955</v>
      </c>
      <c r="C747" s="136" t="str">
        <f>VLOOKUP(A747,伤害计算器!$V$2:$Y$720,3,FALSE)</f>
        <v>カメテテ</v>
      </c>
      <c r="D747" s="136" t="str">
        <f>VLOOKUP(A747,伤害计算器!$V$2:$Y$720,4,FALSE)</f>
        <v>Binacle</v>
      </c>
      <c r="E747" s="131" t="s">
        <v>44</v>
      </c>
      <c r="F747" s="131" t="s">
        <v>65</v>
      </c>
      <c r="G747" s="131" t="s">
        <v>3858</v>
      </c>
      <c r="H747" s="138">
        <v>42</v>
      </c>
      <c r="I747" s="139">
        <v>52</v>
      </c>
      <c r="J747" s="140">
        <v>67</v>
      </c>
      <c r="K747" s="141">
        <v>39</v>
      </c>
      <c r="L747" s="142">
        <v>56</v>
      </c>
      <c r="M747" s="143">
        <v>50</v>
      </c>
      <c r="N747" s="144">
        <v>306</v>
      </c>
      <c r="O747" s="145" t="s">
        <v>252</v>
      </c>
      <c r="P747" s="133" t="s">
        <v>251</v>
      </c>
      <c r="Q747" s="147">
        <v>31</v>
      </c>
      <c r="R747" s="153"/>
      <c r="S747" s="151"/>
      <c r="T747" s="152"/>
      <c r="U747" s="152"/>
      <c r="V747" s="151"/>
    </row>
    <row r="748" ht="24.95" customHeight="1" spans="1:22">
      <c r="A748" s="135" t="s">
        <v>4956</v>
      </c>
      <c r="B748" s="131" t="s">
        <v>4957</v>
      </c>
      <c r="C748" s="136" t="str">
        <f>VLOOKUP(A748,伤害计算器!$V$2:$Y$720,3,FALSE)</f>
        <v>ガメノデス</v>
      </c>
      <c r="D748" s="136" t="str">
        <f>VLOOKUP(A748,伤害计算器!$V$2:$Y$720,4,FALSE)</f>
        <v>Barbaracle</v>
      </c>
      <c r="E748" s="131" t="s">
        <v>44</v>
      </c>
      <c r="F748" s="131" t="s">
        <v>65</v>
      </c>
      <c r="G748" s="131" t="s">
        <v>3858</v>
      </c>
      <c r="H748" s="138">
        <v>72</v>
      </c>
      <c r="I748" s="139">
        <v>105</v>
      </c>
      <c r="J748" s="140">
        <v>115</v>
      </c>
      <c r="K748" s="141">
        <v>54</v>
      </c>
      <c r="L748" s="142">
        <v>86</v>
      </c>
      <c r="M748" s="143">
        <v>68</v>
      </c>
      <c r="N748" s="144">
        <v>500</v>
      </c>
      <c r="O748" s="145" t="s">
        <v>252</v>
      </c>
      <c r="P748" s="133" t="s">
        <v>251</v>
      </c>
      <c r="Q748" s="147">
        <v>96</v>
      </c>
      <c r="R748" s="153"/>
      <c r="S748" s="151"/>
      <c r="T748" s="152"/>
      <c r="U748" s="152"/>
      <c r="V748" s="151"/>
    </row>
    <row r="749" ht="24.95" customHeight="1" spans="1:22">
      <c r="A749" s="135" t="s">
        <v>4958</v>
      </c>
      <c r="B749" s="131" t="s">
        <v>4959</v>
      </c>
      <c r="C749" s="136" t="str">
        <f>VLOOKUP(A749,伤害计算器!$V$2:$Y$720,3,FALSE)</f>
        <v>クズモー</v>
      </c>
      <c r="D749" s="136" t="str">
        <f>VLOOKUP(A749,伤害计算器!$V$2:$Y$720,4,FALSE)</f>
        <v>Skrelp</v>
      </c>
      <c r="E749" s="131" t="s">
        <v>3539</v>
      </c>
      <c r="F749" s="131" t="s">
        <v>3373</v>
      </c>
      <c r="G749" s="131" t="s">
        <v>63</v>
      </c>
      <c r="H749" s="138">
        <v>50</v>
      </c>
      <c r="I749" s="139">
        <v>60</v>
      </c>
      <c r="J749" s="140">
        <v>60</v>
      </c>
      <c r="K749" s="141">
        <v>60</v>
      </c>
      <c r="L749" s="142">
        <v>60</v>
      </c>
      <c r="M749" s="143">
        <v>30</v>
      </c>
      <c r="N749" s="144">
        <v>320</v>
      </c>
      <c r="O749" s="145" t="s">
        <v>270</v>
      </c>
      <c r="P749" s="133" t="s">
        <v>251</v>
      </c>
      <c r="Q749" s="147">
        <v>7.3</v>
      </c>
      <c r="R749" s="153"/>
      <c r="S749" s="151"/>
      <c r="T749" s="152"/>
      <c r="U749" s="152"/>
      <c r="V749" s="151"/>
    </row>
    <row r="750" ht="24.95" customHeight="1" spans="1:22">
      <c r="A750" s="135" t="s">
        <v>4960</v>
      </c>
      <c r="B750" s="131" t="s">
        <v>4961</v>
      </c>
      <c r="C750" s="136" t="str">
        <f>VLOOKUP(A750,伤害计算器!$V$2:$Y$720,3,FALSE)</f>
        <v>ドラミドロ</v>
      </c>
      <c r="D750" s="136" t="str">
        <f>VLOOKUP(A750,伤害计算器!$V$2:$Y$720,4,FALSE)</f>
        <v>Dragalge</v>
      </c>
      <c r="E750" s="131" t="s">
        <v>3539</v>
      </c>
      <c r="F750" s="131" t="s">
        <v>3373</v>
      </c>
      <c r="G750" s="131" t="s">
        <v>63</v>
      </c>
      <c r="H750" s="138">
        <v>65</v>
      </c>
      <c r="I750" s="139">
        <v>75</v>
      </c>
      <c r="J750" s="140">
        <v>90</v>
      </c>
      <c r="K750" s="141">
        <v>97</v>
      </c>
      <c r="L750" s="142">
        <v>123</v>
      </c>
      <c r="M750" s="143">
        <v>44</v>
      </c>
      <c r="N750" s="144">
        <v>494</v>
      </c>
      <c r="O750" s="145" t="s">
        <v>270</v>
      </c>
      <c r="P750" s="133" t="s">
        <v>274</v>
      </c>
      <c r="Q750" s="147">
        <v>81.5</v>
      </c>
      <c r="R750" s="153"/>
      <c r="S750" s="151"/>
      <c r="T750" s="152"/>
      <c r="U750" s="152"/>
      <c r="V750" s="151"/>
    </row>
    <row r="751" ht="24.95" customHeight="1" spans="1:22">
      <c r="A751" s="135" t="s">
        <v>4962</v>
      </c>
      <c r="B751" s="131" t="s">
        <v>4963</v>
      </c>
      <c r="C751" s="136" t="str">
        <f>VLOOKUP(A751,伤害计算器!$V$2:$Y$720,3,FALSE)</f>
        <v>ウデッポウ</v>
      </c>
      <c r="D751" s="136" t="str">
        <f>VLOOKUP(A751,伤害计算器!$V$2:$Y$720,4,FALSE)</f>
        <v>Clauncher</v>
      </c>
      <c r="E751" s="131" t="s">
        <v>4964</v>
      </c>
      <c r="F751" s="137"/>
      <c r="G751" s="137"/>
      <c r="H751" s="138">
        <v>50</v>
      </c>
      <c r="I751" s="139">
        <v>53</v>
      </c>
      <c r="J751" s="140">
        <v>62</v>
      </c>
      <c r="K751" s="141">
        <v>58</v>
      </c>
      <c r="L751" s="142">
        <v>63</v>
      </c>
      <c r="M751" s="143">
        <v>44</v>
      </c>
      <c r="N751" s="144">
        <v>330</v>
      </c>
      <c r="O751" s="145" t="s">
        <v>251</v>
      </c>
      <c r="Q751" s="147">
        <v>8.3</v>
      </c>
      <c r="R751" s="153"/>
      <c r="S751" s="151"/>
      <c r="T751" s="152"/>
      <c r="U751" s="152"/>
      <c r="V751" s="151"/>
    </row>
    <row r="752" ht="24.95" customHeight="1" spans="1:22">
      <c r="A752" s="135" t="s">
        <v>4965</v>
      </c>
      <c r="B752" s="131" t="s">
        <v>4966</v>
      </c>
      <c r="C752" s="136" t="str">
        <f>VLOOKUP(A752,伤害计算器!$V$2:$Y$720,3,FALSE)</f>
        <v>ブロスター</v>
      </c>
      <c r="D752" s="136" t="str">
        <f>VLOOKUP(A752,伤害计算器!$V$2:$Y$720,4,FALSE)</f>
        <v>Clawitzer</v>
      </c>
      <c r="E752" s="131" t="s">
        <v>4964</v>
      </c>
      <c r="F752" s="137"/>
      <c r="G752" s="137"/>
      <c r="H752" s="138">
        <v>71</v>
      </c>
      <c r="I752" s="139">
        <v>73</v>
      </c>
      <c r="J752" s="140">
        <v>88</v>
      </c>
      <c r="K752" s="141">
        <v>120</v>
      </c>
      <c r="L752" s="142">
        <v>89</v>
      </c>
      <c r="M752" s="143">
        <v>59</v>
      </c>
      <c r="N752" s="144">
        <v>500</v>
      </c>
      <c r="O752" s="145" t="s">
        <v>251</v>
      </c>
      <c r="Q752" s="147">
        <v>35.3</v>
      </c>
      <c r="R752" s="153"/>
      <c r="S752" s="151"/>
      <c r="T752" s="152"/>
      <c r="U752" s="152"/>
      <c r="V752" s="151"/>
    </row>
    <row r="753" ht="24.95" customHeight="1" spans="1:22">
      <c r="A753" s="135" t="s">
        <v>4967</v>
      </c>
      <c r="B753" s="131" t="s">
        <v>4968</v>
      </c>
      <c r="C753" s="136" t="str">
        <f>VLOOKUP(A753,伤害计算器!$V$2:$Y$720,3,FALSE)</f>
        <v>エリキテル</v>
      </c>
      <c r="D753" s="136" t="str">
        <f>VLOOKUP(A753,伤害计算器!$V$2:$Y$720,4,FALSE)</f>
        <v>Helioptile</v>
      </c>
      <c r="E753" s="131" t="s">
        <v>3423</v>
      </c>
      <c r="F753" s="131" t="s">
        <v>80</v>
      </c>
      <c r="G753" s="131" t="s">
        <v>60</v>
      </c>
      <c r="H753" s="138">
        <v>44</v>
      </c>
      <c r="I753" s="139">
        <v>38</v>
      </c>
      <c r="J753" s="140">
        <v>33</v>
      </c>
      <c r="K753" s="141">
        <v>61</v>
      </c>
      <c r="L753" s="142">
        <v>43</v>
      </c>
      <c r="M753" s="143">
        <v>70</v>
      </c>
      <c r="N753" s="144">
        <v>289</v>
      </c>
      <c r="O753" s="145" t="s">
        <v>268</v>
      </c>
      <c r="P753" s="133" t="s">
        <v>267</v>
      </c>
      <c r="Q753" s="147">
        <v>6</v>
      </c>
      <c r="R753" s="153"/>
      <c r="S753" s="151"/>
      <c r="T753" s="152"/>
      <c r="U753" s="152"/>
      <c r="V753" s="151"/>
    </row>
    <row r="754" ht="24.95" customHeight="1" spans="1:22">
      <c r="A754" s="135" t="s">
        <v>4969</v>
      </c>
      <c r="B754" s="131" t="s">
        <v>4970</v>
      </c>
      <c r="C754" s="136" t="str">
        <f>VLOOKUP(A754,伤害计算器!$V$2:$Y$720,3,FALSE)</f>
        <v>エレザード</v>
      </c>
      <c r="D754" s="136" t="str">
        <f>VLOOKUP(A754,伤害计算器!$V$2:$Y$720,4,FALSE)</f>
        <v>Heliolisk</v>
      </c>
      <c r="E754" s="131" t="s">
        <v>3423</v>
      </c>
      <c r="F754" s="131" t="s">
        <v>80</v>
      </c>
      <c r="G754" s="131" t="s">
        <v>60</v>
      </c>
      <c r="H754" s="138">
        <v>62</v>
      </c>
      <c r="I754" s="139">
        <v>55</v>
      </c>
      <c r="J754" s="140">
        <v>52</v>
      </c>
      <c r="K754" s="141">
        <v>109</v>
      </c>
      <c r="L754" s="142">
        <v>94</v>
      </c>
      <c r="M754" s="143">
        <v>109</v>
      </c>
      <c r="N754" s="144">
        <v>481</v>
      </c>
      <c r="O754" s="145" t="s">
        <v>268</v>
      </c>
      <c r="P754" s="133" t="s">
        <v>267</v>
      </c>
      <c r="Q754" s="147">
        <v>21</v>
      </c>
      <c r="R754" s="153"/>
      <c r="S754" s="151"/>
      <c r="T754" s="152"/>
      <c r="U754" s="152"/>
      <c r="V754" s="151"/>
    </row>
    <row r="755" ht="24.95" customHeight="1" spans="1:22">
      <c r="A755" s="135" t="s">
        <v>4971</v>
      </c>
      <c r="B755" s="131" t="s">
        <v>4972</v>
      </c>
      <c r="C755" s="136" t="str">
        <f>VLOOKUP(A755,伤害计算器!$V$2:$Y$720,3,FALSE)</f>
        <v>チゴラス</v>
      </c>
      <c r="D755" s="136" t="str">
        <f>VLOOKUP(A755,伤害计算器!$V$2:$Y$720,4,FALSE)</f>
        <v>Tyrunt</v>
      </c>
      <c r="E755" s="131" t="s">
        <v>43</v>
      </c>
      <c r="F755" s="137"/>
      <c r="G755" s="131" t="s">
        <v>3499</v>
      </c>
      <c r="H755" s="138">
        <v>58</v>
      </c>
      <c r="I755" s="139">
        <v>89</v>
      </c>
      <c r="J755" s="140">
        <v>77</v>
      </c>
      <c r="K755" s="141">
        <v>45</v>
      </c>
      <c r="L755" s="142">
        <v>45</v>
      </c>
      <c r="M755" s="143">
        <v>48</v>
      </c>
      <c r="N755" s="144">
        <v>362</v>
      </c>
      <c r="O755" s="145" t="s">
        <v>252</v>
      </c>
      <c r="P755" s="133" t="s">
        <v>274</v>
      </c>
      <c r="Q755" s="147">
        <v>26</v>
      </c>
      <c r="R755" s="153"/>
      <c r="S755" s="151"/>
      <c r="T755" s="152"/>
      <c r="U755" s="152"/>
      <c r="V755" s="151"/>
    </row>
    <row r="756" ht="24.95" customHeight="1" spans="1:22">
      <c r="A756" s="135" t="s">
        <v>4973</v>
      </c>
      <c r="B756" s="131" t="s">
        <v>4974</v>
      </c>
      <c r="C756" s="136" t="str">
        <f>VLOOKUP(A756,伤害计算器!$V$2:$Y$720,3,FALSE)</f>
        <v>ガチゴラス</v>
      </c>
      <c r="D756" s="136" t="str">
        <f>VLOOKUP(A756,伤害计算器!$V$2:$Y$720,4,FALSE)</f>
        <v>Tyrantrum</v>
      </c>
      <c r="E756" s="131" t="s">
        <v>43</v>
      </c>
      <c r="F756" s="137"/>
      <c r="G756" s="131" t="s">
        <v>3499</v>
      </c>
      <c r="H756" s="138">
        <v>82</v>
      </c>
      <c r="I756" s="139">
        <v>121</v>
      </c>
      <c r="J756" s="140">
        <v>119</v>
      </c>
      <c r="K756" s="141">
        <v>69</v>
      </c>
      <c r="L756" s="142">
        <v>59</v>
      </c>
      <c r="M756" s="143">
        <v>71</v>
      </c>
      <c r="N756" s="144">
        <v>521</v>
      </c>
      <c r="O756" s="145" t="s">
        <v>252</v>
      </c>
      <c r="P756" s="133" t="s">
        <v>274</v>
      </c>
      <c r="Q756" s="147">
        <v>270</v>
      </c>
      <c r="R756" s="153"/>
      <c r="S756" s="151"/>
      <c r="T756" s="152"/>
      <c r="U756" s="152"/>
      <c r="V756" s="151"/>
    </row>
    <row r="757" ht="24.95" customHeight="1" spans="1:22">
      <c r="A757" s="135" t="s">
        <v>4975</v>
      </c>
      <c r="B757" s="131" t="s">
        <v>4976</v>
      </c>
      <c r="C757" s="136" t="str">
        <f>VLOOKUP(A757,伤害计算器!$V$2:$Y$720,3,FALSE)</f>
        <v>アマルス</v>
      </c>
      <c r="D757" s="136" t="str">
        <f>VLOOKUP(A757,伤害计算器!$V$2:$Y$720,4,FALSE)</f>
        <v>Amaura</v>
      </c>
      <c r="E757" s="131" t="s">
        <v>52</v>
      </c>
      <c r="F757" s="137"/>
      <c r="G757" s="131" t="s">
        <v>4435</v>
      </c>
      <c r="H757" s="138">
        <v>77</v>
      </c>
      <c r="I757" s="139">
        <v>59</v>
      </c>
      <c r="J757" s="140">
        <v>50</v>
      </c>
      <c r="K757" s="141">
        <v>67</v>
      </c>
      <c r="L757" s="142">
        <v>63</v>
      </c>
      <c r="M757" s="143">
        <v>46</v>
      </c>
      <c r="N757" s="144">
        <v>362</v>
      </c>
      <c r="O757" s="145" t="s">
        <v>252</v>
      </c>
      <c r="P757" s="133" t="s">
        <v>100</v>
      </c>
      <c r="Q757" s="147">
        <v>25.2</v>
      </c>
      <c r="R757" s="153"/>
      <c r="S757" s="151"/>
      <c r="T757" s="152"/>
      <c r="U757" s="152"/>
      <c r="V757" s="151"/>
    </row>
    <row r="758" ht="24.95" customHeight="1" spans="1:22">
      <c r="A758" s="135" t="s">
        <v>4977</v>
      </c>
      <c r="B758" s="131" t="s">
        <v>4978</v>
      </c>
      <c r="C758" s="136" t="str">
        <f>VLOOKUP(A758,伤害计算器!$V$2:$Y$720,3,FALSE)</f>
        <v>アマルルガ</v>
      </c>
      <c r="D758" s="136" t="str">
        <f>VLOOKUP(A758,伤害计算器!$V$2:$Y$720,4,FALSE)</f>
        <v>Aurorus</v>
      </c>
      <c r="E758" s="131" t="s">
        <v>52</v>
      </c>
      <c r="F758" s="137"/>
      <c r="G758" s="131" t="s">
        <v>4435</v>
      </c>
      <c r="H758" s="138">
        <v>123</v>
      </c>
      <c r="I758" s="139">
        <v>77</v>
      </c>
      <c r="J758" s="140">
        <v>72</v>
      </c>
      <c r="K758" s="141">
        <v>99</v>
      </c>
      <c r="L758" s="142">
        <v>92</v>
      </c>
      <c r="M758" s="143">
        <v>58</v>
      </c>
      <c r="N758" s="144">
        <v>521</v>
      </c>
      <c r="O758" s="145" t="s">
        <v>252</v>
      </c>
      <c r="P758" s="133" t="s">
        <v>100</v>
      </c>
      <c r="Q758" s="147">
        <v>225</v>
      </c>
      <c r="R758" s="153"/>
      <c r="S758" s="151"/>
      <c r="T758" s="152"/>
      <c r="U758" s="152"/>
      <c r="V758" s="151"/>
    </row>
    <row r="759" ht="24.95" customHeight="1" spans="1:22">
      <c r="A759" s="135" t="s">
        <v>4979</v>
      </c>
      <c r="B759" s="131" t="s">
        <v>4980</v>
      </c>
      <c r="C759" s="136" t="str">
        <f>VLOOKUP(A759,伤害计算器!$V$2:$Y$720,3,FALSE)</f>
        <v>ニンフィア</v>
      </c>
      <c r="D759" s="136" t="str">
        <f>VLOOKUP(A759,伤害计算器!$V$2:$Y$720,4,FALSE)</f>
        <v>Sylveon</v>
      </c>
      <c r="E759" s="131" t="s">
        <v>3390</v>
      </c>
      <c r="F759" s="137"/>
      <c r="G759" s="131" t="s">
        <v>4981</v>
      </c>
      <c r="H759" s="138">
        <v>95</v>
      </c>
      <c r="I759" s="139">
        <v>65</v>
      </c>
      <c r="J759" s="140">
        <v>65</v>
      </c>
      <c r="K759" s="141">
        <v>110</v>
      </c>
      <c r="L759" s="142">
        <v>130</v>
      </c>
      <c r="M759" s="143">
        <v>60</v>
      </c>
      <c r="N759" s="144">
        <v>525</v>
      </c>
      <c r="O759" s="145" t="s">
        <v>98</v>
      </c>
      <c r="Q759" s="147">
        <v>23.5</v>
      </c>
      <c r="R759" s="153"/>
      <c r="S759" s="151"/>
      <c r="T759" s="152"/>
      <c r="U759" s="152"/>
      <c r="V759" s="151"/>
    </row>
    <row r="760" ht="24.95" customHeight="1" spans="1:22">
      <c r="A760" s="135" t="s">
        <v>4982</v>
      </c>
      <c r="B760" s="131" t="s">
        <v>4983</v>
      </c>
      <c r="C760" s="136" t="str">
        <f>VLOOKUP(A760,伤害计算器!$V$2:$Y$720,3,FALSE)</f>
        <v>ルチャブル</v>
      </c>
      <c r="D760" s="136" t="str">
        <f>VLOOKUP(A760,伤害计算器!$V$2:$Y$720,4,FALSE)</f>
        <v>Hawlucha</v>
      </c>
      <c r="E760" s="131" t="s">
        <v>3444</v>
      </c>
      <c r="F760" s="131" t="s">
        <v>3589</v>
      </c>
      <c r="G760" s="131" t="s">
        <v>83</v>
      </c>
      <c r="H760" s="138">
        <v>78</v>
      </c>
      <c r="I760" s="139">
        <v>92</v>
      </c>
      <c r="J760" s="140">
        <v>75</v>
      </c>
      <c r="K760" s="141">
        <v>74</v>
      </c>
      <c r="L760" s="142">
        <v>63</v>
      </c>
      <c r="M760" s="143">
        <v>118</v>
      </c>
      <c r="N760" s="144">
        <v>500</v>
      </c>
      <c r="O760" s="145" t="s">
        <v>269</v>
      </c>
      <c r="P760" s="133" t="s">
        <v>99</v>
      </c>
      <c r="Q760" s="147">
        <v>21.5</v>
      </c>
      <c r="R760" s="153"/>
      <c r="S760" s="151"/>
      <c r="T760" s="152"/>
      <c r="U760" s="152"/>
      <c r="V760" s="151"/>
    </row>
    <row r="761" ht="24.95" customHeight="1" spans="1:22">
      <c r="A761" s="135" t="s">
        <v>4984</v>
      </c>
      <c r="B761" s="131" t="s">
        <v>4985</v>
      </c>
      <c r="C761" s="136" t="str">
        <f>VLOOKUP(A761,伤害计算器!$V$2:$Y$720,3,FALSE)</f>
        <v>デデンネ</v>
      </c>
      <c r="D761" s="136" t="str">
        <f>VLOOKUP(A761,伤害计算器!$V$2:$Y$720,4,FALSE)</f>
        <v>Dedenne</v>
      </c>
      <c r="E761" s="131" t="s">
        <v>4889</v>
      </c>
      <c r="F761" s="131" t="s">
        <v>3441</v>
      </c>
      <c r="G761" s="131" t="s">
        <v>3764</v>
      </c>
      <c r="H761" s="138">
        <v>67</v>
      </c>
      <c r="I761" s="139">
        <v>58</v>
      </c>
      <c r="J761" s="140">
        <v>57</v>
      </c>
      <c r="K761" s="141">
        <v>81</v>
      </c>
      <c r="L761" s="142">
        <v>67</v>
      </c>
      <c r="M761" s="143">
        <v>101</v>
      </c>
      <c r="N761" s="144">
        <v>431</v>
      </c>
      <c r="O761" s="145" t="s">
        <v>268</v>
      </c>
      <c r="P761" s="133" t="s">
        <v>98</v>
      </c>
      <c r="Q761" s="147">
        <v>2.2</v>
      </c>
      <c r="R761" s="153"/>
      <c r="S761" s="151"/>
      <c r="T761" s="152"/>
      <c r="U761" s="152"/>
      <c r="V761" s="151"/>
    </row>
    <row r="762" ht="24.95" customHeight="1" spans="1:22">
      <c r="A762" s="135" t="s">
        <v>4986</v>
      </c>
      <c r="B762" s="131" t="s">
        <v>4987</v>
      </c>
      <c r="C762" s="136" t="str">
        <f>VLOOKUP(A762,伤害计算器!$V$2:$Y$720,3,FALSE)</f>
        <v>メレシー</v>
      </c>
      <c r="D762" s="136" t="str">
        <f>VLOOKUP(A762,伤害计算器!$V$2:$Y$720,4,FALSE)</f>
        <v>Carbink</v>
      </c>
      <c r="E762" s="131" t="s">
        <v>3493</v>
      </c>
      <c r="F762" s="137"/>
      <c r="G762" s="131" t="s">
        <v>3500</v>
      </c>
      <c r="H762" s="138">
        <v>50</v>
      </c>
      <c r="I762" s="139">
        <v>50</v>
      </c>
      <c r="J762" s="140">
        <v>150</v>
      </c>
      <c r="K762" s="141">
        <v>50</v>
      </c>
      <c r="L762" s="142">
        <v>150</v>
      </c>
      <c r="M762" s="143">
        <v>50</v>
      </c>
      <c r="N762" s="144">
        <v>500</v>
      </c>
      <c r="O762" s="145" t="s">
        <v>252</v>
      </c>
      <c r="P762" s="133" t="s">
        <v>98</v>
      </c>
      <c r="Q762" s="147">
        <v>5.7</v>
      </c>
      <c r="R762" s="153"/>
      <c r="S762" s="151"/>
      <c r="T762" s="152"/>
      <c r="U762" s="152"/>
      <c r="V762" s="151"/>
    </row>
    <row r="763" ht="24.95" customHeight="1" spans="1:22">
      <c r="A763" s="135" t="s">
        <v>4988</v>
      </c>
      <c r="B763" s="131" t="s">
        <v>4989</v>
      </c>
      <c r="C763" s="136" t="str">
        <f>VLOOKUP(A763,伤害计算器!$V$2:$Y$720,3,FALSE)</f>
        <v>ヌメラ</v>
      </c>
      <c r="D763" s="136" t="str">
        <f>VLOOKUP(A763,伤害计算器!$V$2:$Y$720,4,FALSE)</f>
        <v>Goomy</v>
      </c>
      <c r="E763" s="131" t="s">
        <v>552</v>
      </c>
      <c r="F763" s="131" t="s">
        <v>3659</v>
      </c>
      <c r="G763" s="131" t="s">
        <v>4990</v>
      </c>
      <c r="H763" s="138">
        <v>45</v>
      </c>
      <c r="I763" s="139">
        <v>50</v>
      </c>
      <c r="J763" s="140">
        <v>35</v>
      </c>
      <c r="K763" s="141">
        <v>55</v>
      </c>
      <c r="L763" s="142">
        <v>75</v>
      </c>
      <c r="M763" s="143">
        <v>40</v>
      </c>
      <c r="N763" s="144">
        <v>300</v>
      </c>
      <c r="O763" s="145" t="s">
        <v>274</v>
      </c>
      <c r="Q763" s="147">
        <v>2.8</v>
      </c>
      <c r="R763" s="153"/>
      <c r="S763" s="151"/>
      <c r="T763" s="152"/>
      <c r="U763" s="152"/>
      <c r="V763" s="151"/>
    </row>
    <row r="764" ht="24.95" customHeight="1" spans="1:22">
      <c r="A764" s="135" t="s">
        <v>4991</v>
      </c>
      <c r="B764" s="131" t="s">
        <v>4992</v>
      </c>
      <c r="C764" s="136" t="str">
        <f>VLOOKUP(A764,伤害计算器!$V$2:$Y$720,3,FALSE)</f>
        <v>ヌメイル</v>
      </c>
      <c r="D764" s="136" t="str">
        <f>VLOOKUP(A764,伤害计算器!$V$2:$Y$720,4,FALSE)</f>
        <v>Sliggoo</v>
      </c>
      <c r="E764" s="131" t="s">
        <v>552</v>
      </c>
      <c r="F764" s="131" t="s">
        <v>3532</v>
      </c>
      <c r="G764" s="131" t="s">
        <v>4993</v>
      </c>
      <c r="H764" s="138">
        <v>68</v>
      </c>
      <c r="I764" s="139">
        <v>75</v>
      </c>
      <c r="J764" s="140">
        <v>53</v>
      </c>
      <c r="K764" s="141">
        <v>83</v>
      </c>
      <c r="L764" s="142">
        <v>113</v>
      </c>
      <c r="M764" s="143">
        <v>60</v>
      </c>
      <c r="N764" s="144">
        <v>452</v>
      </c>
      <c r="O764" s="145" t="s">
        <v>274</v>
      </c>
      <c r="Q764" s="147">
        <v>17.5</v>
      </c>
      <c r="R764" s="133"/>
      <c r="S764" s="151"/>
      <c r="T764" s="152"/>
      <c r="U764" s="152"/>
      <c r="V764" s="151"/>
    </row>
    <row r="765" ht="24.95" customHeight="1" spans="1:22">
      <c r="A765" s="135" t="s">
        <v>4994</v>
      </c>
      <c r="B765" s="131" t="s">
        <v>4995</v>
      </c>
      <c r="C765" s="136" t="str">
        <f>VLOOKUP(A765,伤害计算器!$V$2:$Y$720,3,FALSE)</f>
        <v>ヌメルゴン</v>
      </c>
      <c r="D765" s="136" t="str">
        <f>VLOOKUP(A765,伤害计算器!$V$2:$Y$720,4,FALSE)</f>
        <v>Goodra</v>
      </c>
      <c r="E765" s="131" t="s">
        <v>552</v>
      </c>
      <c r="F765" s="131" t="s">
        <v>3659</v>
      </c>
      <c r="G765" s="131" t="s">
        <v>4990</v>
      </c>
      <c r="H765" s="138">
        <v>90</v>
      </c>
      <c r="I765" s="139">
        <v>100</v>
      </c>
      <c r="J765" s="140">
        <v>70</v>
      </c>
      <c r="K765" s="141">
        <v>110</v>
      </c>
      <c r="L765" s="142">
        <v>150</v>
      </c>
      <c r="M765" s="143">
        <v>80</v>
      </c>
      <c r="N765" s="144">
        <v>600</v>
      </c>
      <c r="O765" s="145" t="s">
        <v>274</v>
      </c>
      <c r="Q765" s="147">
        <v>150.5</v>
      </c>
      <c r="R765" s="133"/>
      <c r="S765" s="151"/>
      <c r="T765" s="152"/>
      <c r="U765" s="152"/>
      <c r="V765" s="151"/>
    </row>
    <row r="766" ht="24.95" customHeight="1" spans="1:22">
      <c r="A766" s="135" t="s">
        <v>4996</v>
      </c>
      <c r="B766" s="131" t="s">
        <v>4997</v>
      </c>
      <c r="C766" s="136" t="str">
        <f>VLOOKUP(A766,伤害计算器!$V$2:$Y$720,3,FALSE)</f>
        <v>クレッフィ</v>
      </c>
      <c r="D766" s="136" t="str">
        <f>VLOOKUP(A766,伤害计算器!$V$2:$Y$720,4,FALSE)</f>
        <v>Klefki</v>
      </c>
      <c r="E766" s="131" t="s">
        <v>3812</v>
      </c>
      <c r="F766" s="137"/>
      <c r="G766" s="131" t="s">
        <v>4873</v>
      </c>
      <c r="H766" s="138">
        <v>57</v>
      </c>
      <c r="I766" s="139">
        <v>80</v>
      </c>
      <c r="J766" s="140">
        <v>91</v>
      </c>
      <c r="K766" s="141">
        <v>80</v>
      </c>
      <c r="L766" s="142">
        <v>87</v>
      </c>
      <c r="M766" s="143">
        <v>75</v>
      </c>
      <c r="N766" s="144">
        <v>470</v>
      </c>
      <c r="O766" s="145" t="s">
        <v>276</v>
      </c>
      <c r="P766" s="133" t="s">
        <v>98</v>
      </c>
      <c r="Q766" s="147">
        <v>3</v>
      </c>
      <c r="R766" s="133"/>
      <c r="S766" s="151"/>
      <c r="T766" s="152"/>
      <c r="U766" s="152"/>
      <c r="V766" s="151"/>
    </row>
    <row r="767" ht="24.95" customHeight="1" spans="1:22">
      <c r="A767" s="135" t="s">
        <v>4998</v>
      </c>
      <c r="B767" s="131" t="s">
        <v>4999</v>
      </c>
      <c r="C767" s="136" t="str">
        <f>VLOOKUP(A767,伤害计算器!$V$2:$Y$720,3,FALSE)</f>
        <v>ボクレー</v>
      </c>
      <c r="D767" s="136" t="str">
        <f>VLOOKUP(A767,伤害计算器!$V$2:$Y$720,4,FALSE)</f>
        <v>Phantump</v>
      </c>
      <c r="E767" s="131" t="s">
        <v>3604</v>
      </c>
      <c r="F767" s="131" t="s">
        <v>3406</v>
      </c>
      <c r="G767" s="131" t="s">
        <v>3579</v>
      </c>
      <c r="H767" s="138">
        <v>43</v>
      </c>
      <c r="I767" s="139">
        <v>70</v>
      </c>
      <c r="J767" s="140">
        <v>48</v>
      </c>
      <c r="K767" s="141">
        <v>50</v>
      </c>
      <c r="L767" s="142">
        <v>60</v>
      </c>
      <c r="M767" s="143">
        <v>38</v>
      </c>
      <c r="N767" s="144">
        <v>309</v>
      </c>
      <c r="O767" s="145" t="s">
        <v>273</v>
      </c>
      <c r="P767" s="133" t="s">
        <v>235</v>
      </c>
      <c r="Q767" s="147">
        <v>7</v>
      </c>
      <c r="R767" s="133"/>
      <c r="S767" s="151"/>
      <c r="T767" s="152"/>
      <c r="U767" s="152"/>
      <c r="V767" s="151"/>
    </row>
    <row r="768" ht="24.95" customHeight="1" spans="1:22">
      <c r="A768" s="135" t="s">
        <v>5000</v>
      </c>
      <c r="B768" s="131" t="s">
        <v>5001</v>
      </c>
      <c r="C768" s="136" t="str">
        <f>VLOOKUP(A768,伤害计算器!$V$2:$Y$720,3,FALSE)</f>
        <v>オーロット</v>
      </c>
      <c r="D768" s="136" t="str">
        <f>VLOOKUP(A768,伤害计算器!$V$2:$Y$720,4,FALSE)</f>
        <v>Trevenant</v>
      </c>
      <c r="E768" s="131" t="s">
        <v>3604</v>
      </c>
      <c r="F768" s="131" t="s">
        <v>3406</v>
      </c>
      <c r="G768" s="131" t="s">
        <v>3579</v>
      </c>
      <c r="H768" s="138">
        <v>85</v>
      </c>
      <c r="I768" s="139">
        <v>110</v>
      </c>
      <c r="J768" s="140">
        <v>76</v>
      </c>
      <c r="K768" s="141">
        <v>65</v>
      </c>
      <c r="L768" s="142">
        <v>82</v>
      </c>
      <c r="M768" s="143">
        <v>56</v>
      </c>
      <c r="N768" s="144">
        <v>474</v>
      </c>
      <c r="O768" s="145" t="s">
        <v>273</v>
      </c>
      <c r="P768" s="133" t="s">
        <v>235</v>
      </c>
      <c r="Q768" s="147">
        <v>71</v>
      </c>
      <c r="R768" s="133"/>
      <c r="S768" s="151"/>
      <c r="T768" s="152"/>
      <c r="U768" s="152"/>
      <c r="V768" s="151"/>
    </row>
    <row r="769" ht="24.95" customHeight="1" spans="1:22">
      <c r="A769" s="135" t="s">
        <v>5002</v>
      </c>
      <c r="B769" s="131" t="s">
        <v>5003</v>
      </c>
      <c r="C769" s="136" t="str">
        <f>VLOOKUP(A769,伤害计算器!$V$2:$Y$720,3,FALSE)</f>
        <v>バケッチャ</v>
      </c>
      <c r="D769" s="136" t="str">
        <f>VLOOKUP(A769,伤害计算器!$V$2:$Y$720,4,FALSE)</f>
        <v>Pumpkaboo</v>
      </c>
      <c r="E769" s="131" t="s">
        <v>3441</v>
      </c>
      <c r="F769" s="131" t="s">
        <v>3406</v>
      </c>
      <c r="G769" s="131" t="s">
        <v>3561</v>
      </c>
      <c r="H769" s="138">
        <v>49</v>
      </c>
      <c r="I769" s="139">
        <v>66</v>
      </c>
      <c r="J769" s="140">
        <v>70</v>
      </c>
      <c r="K769" s="141">
        <v>44</v>
      </c>
      <c r="L769" s="142">
        <v>55</v>
      </c>
      <c r="M769" s="143">
        <v>51</v>
      </c>
      <c r="N769" s="144">
        <v>335</v>
      </c>
      <c r="O769" s="145" t="s">
        <v>273</v>
      </c>
      <c r="P769" s="133" t="s">
        <v>235</v>
      </c>
      <c r="Q769" s="147">
        <v>3.5</v>
      </c>
      <c r="R769" s="133"/>
      <c r="S769" s="151"/>
      <c r="T769" s="152"/>
      <c r="U769" s="152"/>
      <c r="V769" s="151"/>
    </row>
    <row r="770" ht="24.95" customHeight="1" spans="1:22">
      <c r="A770" s="135" t="s">
        <v>5002</v>
      </c>
      <c r="B770" s="131" t="s">
        <v>5004</v>
      </c>
      <c r="C770" s="136" t="str">
        <f>VLOOKUP(A770,伤害计算器!$V$2:$Y$720,3,FALSE)</f>
        <v>バケッチャ</v>
      </c>
      <c r="D770" s="136" t="str">
        <f>VLOOKUP(A770,伤害计算器!$V$2:$Y$720,4,FALSE)</f>
        <v>Pumpkaboo</v>
      </c>
      <c r="E770" s="131" t="s">
        <v>3441</v>
      </c>
      <c r="F770" s="131" t="s">
        <v>3406</v>
      </c>
      <c r="G770" s="131" t="s">
        <v>3561</v>
      </c>
      <c r="H770" s="138">
        <v>44</v>
      </c>
      <c r="I770" s="139">
        <v>66</v>
      </c>
      <c r="J770" s="140">
        <v>70</v>
      </c>
      <c r="K770" s="141">
        <v>44</v>
      </c>
      <c r="L770" s="142">
        <v>55</v>
      </c>
      <c r="M770" s="143">
        <v>56</v>
      </c>
      <c r="N770" s="144">
        <v>335</v>
      </c>
      <c r="O770" s="145" t="s">
        <v>273</v>
      </c>
      <c r="P770" s="133" t="s">
        <v>235</v>
      </c>
      <c r="Q770" s="147">
        <v>5</v>
      </c>
      <c r="R770" s="133"/>
      <c r="S770" s="149"/>
      <c r="T770" s="150"/>
      <c r="U770" s="152"/>
      <c r="V770" s="149"/>
    </row>
    <row r="771" ht="24.95" customHeight="1" spans="1:22">
      <c r="A771" s="135" t="s">
        <v>5002</v>
      </c>
      <c r="B771" s="131" t="s">
        <v>5005</v>
      </c>
      <c r="C771" s="136" t="str">
        <f>VLOOKUP(A771,伤害计算器!$V$2:$Y$720,3,FALSE)</f>
        <v>バケッチャ</v>
      </c>
      <c r="D771" s="136" t="str">
        <f>VLOOKUP(A771,伤害计算器!$V$2:$Y$720,4,FALSE)</f>
        <v>Pumpkaboo</v>
      </c>
      <c r="E771" s="131" t="s">
        <v>3441</v>
      </c>
      <c r="F771" s="131" t="s">
        <v>3406</v>
      </c>
      <c r="G771" s="131" t="s">
        <v>3561</v>
      </c>
      <c r="H771" s="138">
        <v>54</v>
      </c>
      <c r="I771" s="139">
        <v>66</v>
      </c>
      <c r="J771" s="140">
        <v>70</v>
      </c>
      <c r="K771" s="141">
        <v>44</v>
      </c>
      <c r="L771" s="142">
        <v>55</v>
      </c>
      <c r="M771" s="143">
        <v>46</v>
      </c>
      <c r="N771" s="144">
        <v>335</v>
      </c>
      <c r="O771" s="145" t="s">
        <v>273</v>
      </c>
      <c r="P771" s="133" t="s">
        <v>235</v>
      </c>
      <c r="Q771" s="147">
        <v>7.5</v>
      </c>
      <c r="R771" s="133"/>
      <c r="S771" s="149"/>
      <c r="T771" s="150"/>
      <c r="U771" s="152"/>
      <c r="V771" s="149"/>
    </row>
    <row r="772" ht="24.95" customHeight="1" spans="1:22">
      <c r="A772" s="135" t="s">
        <v>5002</v>
      </c>
      <c r="B772" s="131" t="s">
        <v>5006</v>
      </c>
      <c r="C772" s="136" t="str">
        <f>VLOOKUP(A772,伤害计算器!$V$2:$Y$720,3,FALSE)</f>
        <v>バケッチャ</v>
      </c>
      <c r="D772" s="136" t="str">
        <f>VLOOKUP(A772,伤害计算器!$V$2:$Y$720,4,FALSE)</f>
        <v>Pumpkaboo</v>
      </c>
      <c r="E772" s="131" t="s">
        <v>3441</v>
      </c>
      <c r="F772" s="131" t="s">
        <v>3406</v>
      </c>
      <c r="G772" s="131" t="s">
        <v>3561</v>
      </c>
      <c r="H772" s="138">
        <v>59</v>
      </c>
      <c r="I772" s="139">
        <v>66</v>
      </c>
      <c r="J772" s="140">
        <v>70</v>
      </c>
      <c r="K772" s="141">
        <v>44</v>
      </c>
      <c r="L772" s="142">
        <v>55</v>
      </c>
      <c r="M772" s="143">
        <v>41</v>
      </c>
      <c r="N772" s="144">
        <v>335</v>
      </c>
      <c r="O772" s="145" t="s">
        <v>273</v>
      </c>
      <c r="P772" s="133" t="s">
        <v>235</v>
      </c>
      <c r="Q772" s="147">
        <v>15</v>
      </c>
      <c r="R772" s="133"/>
      <c r="S772" s="149"/>
      <c r="T772" s="150"/>
      <c r="U772" s="152"/>
      <c r="V772" s="149"/>
    </row>
    <row r="773" ht="24.95" customHeight="1" spans="1:22">
      <c r="A773" s="135" t="s">
        <v>5007</v>
      </c>
      <c r="B773" s="131" t="s">
        <v>5008</v>
      </c>
      <c r="C773" s="136" t="str">
        <f>VLOOKUP(A773,伤害计算器!$V$2:$Y$720,3,FALSE)</f>
        <v>パンプジン</v>
      </c>
      <c r="D773" s="136" t="str">
        <f>VLOOKUP(A773,伤害计算器!$V$2:$Y$720,4,FALSE)</f>
        <v>Gourgeist</v>
      </c>
      <c r="E773" s="131" t="s">
        <v>3441</v>
      </c>
      <c r="F773" s="131" t="s">
        <v>3406</v>
      </c>
      <c r="G773" s="131" t="s">
        <v>3561</v>
      </c>
      <c r="H773" s="138">
        <v>65</v>
      </c>
      <c r="I773" s="139">
        <v>90</v>
      </c>
      <c r="J773" s="140">
        <v>122</v>
      </c>
      <c r="K773" s="141">
        <v>58</v>
      </c>
      <c r="L773" s="142">
        <v>75</v>
      </c>
      <c r="M773" s="143">
        <v>84</v>
      </c>
      <c r="N773" s="144">
        <v>494</v>
      </c>
      <c r="O773" s="145" t="s">
        <v>273</v>
      </c>
      <c r="P773" s="133" t="s">
        <v>235</v>
      </c>
      <c r="Q773" s="147">
        <v>9.5</v>
      </c>
      <c r="R773" s="133"/>
      <c r="S773" s="151"/>
      <c r="T773" s="152"/>
      <c r="U773" s="152"/>
      <c r="V773" s="151"/>
    </row>
    <row r="774" ht="24.95" customHeight="1" spans="1:22">
      <c r="A774" s="135" t="s">
        <v>5007</v>
      </c>
      <c r="B774" s="131" t="s">
        <v>5009</v>
      </c>
      <c r="C774" s="136" t="str">
        <f>VLOOKUP(A774,伤害计算器!$V$2:$Y$720,3,FALSE)</f>
        <v>パンプジン</v>
      </c>
      <c r="D774" s="136" t="str">
        <f>VLOOKUP(A774,伤害计算器!$V$2:$Y$720,4,FALSE)</f>
        <v>Gourgeist</v>
      </c>
      <c r="E774" s="131" t="s">
        <v>3441</v>
      </c>
      <c r="F774" s="131" t="s">
        <v>3406</v>
      </c>
      <c r="G774" s="131" t="s">
        <v>3561</v>
      </c>
      <c r="H774" s="138">
        <v>55</v>
      </c>
      <c r="I774" s="139">
        <v>85</v>
      </c>
      <c r="J774" s="140">
        <v>122</v>
      </c>
      <c r="K774" s="141">
        <v>58</v>
      </c>
      <c r="L774" s="142">
        <v>75</v>
      </c>
      <c r="M774" s="143">
        <v>99</v>
      </c>
      <c r="N774" s="144">
        <v>494</v>
      </c>
      <c r="O774" s="145" t="s">
        <v>273</v>
      </c>
      <c r="P774" s="133" t="s">
        <v>235</v>
      </c>
      <c r="Q774" s="147">
        <v>12.5</v>
      </c>
      <c r="R774" s="133"/>
      <c r="S774" s="149"/>
      <c r="T774" s="150"/>
      <c r="U774" s="152"/>
      <c r="V774" s="149"/>
    </row>
    <row r="775" ht="24.95" customHeight="1" spans="1:22">
      <c r="A775" s="135" t="s">
        <v>5007</v>
      </c>
      <c r="B775" s="131" t="s">
        <v>5010</v>
      </c>
      <c r="C775" s="136" t="str">
        <f>VLOOKUP(A775,伤害计算器!$V$2:$Y$720,3,FALSE)</f>
        <v>パンプジン</v>
      </c>
      <c r="D775" s="136" t="str">
        <f>VLOOKUP(A775,伤害计算器!$V$2:$Y$720,4,FALSE)</f>
        <v>Gourgeist</v>
      </c>
      <c r="E775" s="131" t="s">
        <v>3441</v>
      </c>
      <c r="F775" s="131" t="s">
        <v>3406</v>
      </c>
      <c r="G775" s="131" t="s">
        <v>3561</v>
      </c>
      <c r="H775" s="138">
        <v>75</v>
      </c>
      <c r="I775" s="139">
        <v>95</v>
      </c>
      <c r="J775" s="140">
        <v>122</v>
      </c>
      <c r="K775" s="141">
        <v>58</v>
      </c>
      <c r="L775" s="142">
        <v>75</v>
      </c>
      <c r="M775" s="143">
        <v>69</v>
      </c>
      <c r="N775" s="144">
        <v>494</v>
      </c>
      <c r="O775" s="145" t="s">
        <v>273</v>
      </c>
      <c r="P775" s="133" t="s">
        <v>235</v>
      </c>
      <c r="Q775" s="147">
        <v>14</v>
      </c>
      <c r="R775" s="133"/>
      <c r="S775" s="149"/>
      <c r="T775" s="150"/>
      <c r="U775" s="152"/>
      <c r="V775" s="149"/>
    </row>
    <row r="776" ht="24.95" customHeight="1" spans="1:22">
      <c r="A776" s="135" t="s">
        <v>5007</v>
      </c>
      <c r="B776" s="131" t="s">
        <v>5011</v>
      </c>
      <c r="C776" s="136" t="str">
        <f>VLOOKUP(A776,伤害计算器!$V$2:$Y$720,3,FALSE)</f>
        <v>パンプジン</v>
      </c>
      <c r="D776" s="136" t="str">
        <f>VLOOKUP(A776,伤害计算器!$V$2:$Y$720,4,FALSE)</f>
        <v>Gourgeist</v>
      </c>
      <c r="E776" s="131" t="s">
        <v>3441</v>
      </c>
      <c r="F776" s="131" t="s">
        <v>3406</v>
      </c>
      <c r="G776" s="131" t="s">
        <v>3561</v>
      </c>
      <c r="H776" s="138">
        <v>85</v>
      </c>
      <c r="I776" s="139">
        <v>100</v>
      </c>
      <c r="J776" s="140">
        <v>122</v>
      </c>
      <c r="K776" s="141">
        <v>58</v>
      </c>
      <c r="L776" s="142">
        <v>75</v>
      </c>
      <c r="M776" s="143">
        <v>54</v>
      </c>
      <c r="N776" s="144">
        <v>494</v>
      </c>
      <c r="O776" s="145" t="s">
        <v>273</v>
      </c>
      <c r="P776" s="133" t="s">
        <v>235</v>
      </c>
      <c r="Q776" s="147">
        <v>39</v>
      </c>
      <c r="R776" s="133"/>
      <c r="S776" s="149"/>
      <c r="T776" s="150"/>
      <c r="U776" s="152"/>
      <c r="V776" s="149"/>
    </row>
    <row r="777" ht="24.95" customHeight="1" spans="1:22">
      <c r="A777" s="135" t="s">
        <v>5012</v>
      </c>
      <c r="B777" s="131" t="s">
        <v>5013</v>
      </c>
      <c r="C777" s="136" t="str">
        <f>VLOOKUP(A777,伤害计算器!$V$2:$Y$720,3,FALSE)</f>
        <v>カチコール</v>
      </c>
      <c r="D777" s="136" t="str">
        <f>VLOOKUP(A777,伤害计算器!$V$2:$Y$720,4,FALSE)</f>
        <v>Bergmite</v>
      </c>
      <c r="E777" s="131" t="s">
        <v>3514</v>
      </c>
      <c r="F777" s="131" t="s">
        <v>5014</v>
      </c>
      <c r="G777" s="131" t="s">
        <v>4239</v>
      </c>
      <c r="H777" s="138">
        <v>55</v>
      </c>
      <c r="I777" s="139">
        <v>69</v>
      </c>
      <c r="J777" s="140">
        <v>85</v>
      </c>
      <c r="K777" s="141">
        <v>32</v>
      </c>
      <c r="L777" s="142">
        <v>35</v>
      </c>
      <c r="M777" s="143">
        <v>28</v>
      </c>
      <c r="N777" s="144">
        <v>304</v>
      </c>
      <c r="O777" s="145" t="s">
        <v>100</v>
      </c>
      <c r="Q777" s="147">
        <v>99.5</v>
      </c>
      <c r="R777" s="133"/>
      <c r="S777" s="151"/>
      <c r="T777" s="152"/>
      <c r="U777" s="152"/>
      <c r="V777" s="151"/>
    </row>
    <row r="778" ht="24.95" customHeight="1" spans="1:22">
      <c r="A778" s="135" t="s">
        <v>5015</v>
      </c>
      <c r="B778" s="131" t="s">
        <v>5016</v>
      </c>
      <c r="C778" s="136" t="str">
        <f>VLOOKUP(A778,伤害计算器!$V$2:$Y$720,3,FALSE)</f>
        <v>クレベース</v>
      </c>
      <c r="D778" s="136" t="str">
        <f>VLOOKUP(A778,伤害计算器!$V$2:$Y$720,4,FALSE)</f>
        <v>Avalugg</v>
      </c>
      <c r="E778" s="131" t="s">
        <v>3514</v>
      </c>
      <c r="F778" s="131" t="s">
        <v>3533</v>
      </c>
      <c r="G778" s="131" t="s">
        <v>3500</v>
      </c>
      <c r="H778" s="138">
        <v>95</v>
      </c>
      <c r="I778" s="139">
        <v>117</v>
      </c>
      <c r="J778" s="140">
        <v>184</v>
      </c>
      <c r="K778" s="141">
        <v>44</v>
      </c>
      <c r="L778" s="142">
        <v>46</v>
      </c>
      <c r="M778" s="143">
        <v>28</v>
      </c>
      <c r="N778" s="144">
        <v>514</v>
      </c>
      <c r="O778" s="145" t="s">
        <v>100</v>
      </c>
      <c r="Q778" s="147">
        <v>505</v>
      </c>
      <c r="R778" s="133"/>
      <c r="S778" s="151"/>
      <c r="T778" s="152"/>
      <c r="U778" s="152"/>
      <c r="V778" s="151"/>
    </row>
    <row r="779" ht="24.95" customHeight="1" spans="1:22">
      <c r="A779" s="135" t="s">
        <v>5017</v>
      </c>
      <c r="B779" s="131" t="s">
        <v>5018</v>
      </c>
      <c r="C779" s="136" t="str">
        <f>VLOOKUP(A779,伤害计算器!$V$2:$Y$720,3,FALSE)</f>
        <v>オンバット</v>
      </c>
      <c r="D779" s="136" t="str">
        <f>VLOOKUP(A779,伤害计算器!$V$2:$Y$720,4,FALSE)</f>
        <v>Noibat</v>
      </c>
      <c r="E779" s="131" t="s">
        <v>3406</v>
      </c>
      <c r="F779" s="131" t="s">
        <v>3410</v>
      </c>
      <c r="G779" s="131" t="s">
        <v>3822</v>
      </c>
      <c r="H779" s="138">
        <v>40</v>
      </c>
      <c r="I779" s="139">
        <v>30</v>
      </c>
      <c r="J779" s="140">
        <v>35</v>
      </c>
      <c r="K779" s="141">
        <v>45</v>
      </c>
      <c r="L779" s="142">
        <v>40</v>
      </c>
      <c r="M779" s="143">
        <v>55</v>
      </c>
      <c r="N779" s="144">
        <v>245</v>
      </c>
      <c r="O779" s="145" t="s">
        <v>99</v>
      </c>
      <c r="P779" s="133" t="s">
        <v>274</v>
      </c>
      <c r="Q779" s="147">
        <v>8</v>
      </c>
      <c r="R779" s="133"/>
      <c r="S779" s="151"/>
      <c r="T779" s="152"/>
      <c r="U779" s="152"/>
      <c r="V779" s="151"/>
    </row>
    <row r="780" ht="24.95" customHeight="1" spans="1:22">
      <c r="A780" s="135" t="s">
        <v>5019</v>
      </c>
      <c r="B780" s="131" t="s">
        <v>5020</v>
      </c>
      <c r="C780" s="136" t="str">
        <f>VLOOKUP(A780,伤害计算器!$V$2:$Y$720,3,FALSE)</f>
        <v>オンバーン</v>
      </c>
      <c r="D780" s="136" t="str">
        <f>VLOOKUP(A780,伤害计算器!$V$2:$Y$720,4,FALSE)</f>
        <v>Noivern</v>
      </c>
      <c r="E780" s="131" t="s">
        <v>3406</v>
      </c>
      <c r="F780" s="131" t="s">
        <v>3410</v>
      </c>
      <c r="G780" s="131" t="s">
        <v>3822</v>
      </c>
      <c r="H780" s="138">
        <v>85</v>
      </c>
      <c r="I780" s="139">
        <v>70</v>
      </c>
      <c r="J780" s="140">
        <v>80</v>
      </c>
      <c r="K780" s="141">
        <v>97</v>
      </c>
      <c r="L780" s="142">
        <v>80</v>
      </c>
      <c r="M780" s="143">
        <v>123</v>
      </c>
      <c r="N780" s="144">
        <v>535</v>
      </c>
      <c r="O780" s="145" t="s">
        <v>99</v>
      </c>
      <c r="P780" s="133" t="s">
        <v>274</v>
      </c>
      <c r="Q780" s="147">
        <v>85</v>
      </c>
      <c r="R780" s="133"/>
      <c r="S780" s="151"/>
      <c r="T780" s="152"/>
      <c r="U780" s="150"/>
      <c r="V780" s="151"/>
    </row>
    <row r="781" ht="24.95" customHeight="1" spans="1:22">
      <c r="A781" s="135" t="s">
        <v>5021</v>
      </c>
      <c r="B781" s="131" t="s">
        <v>5022</v>
      </c>
      <c r="C781" s="136" t="str">
        <f>VLOOKUP(A781,伤害计算器!$V$2:$Y$720,3,FALSE)</f>
        <v>ゼルネアス</v>
      </c>
      <c r="D781" s="136" t="str">
        <f>VLOOKUP(A781,伤害计算器!$V$2:$Y$720,4,FALSE)</f>
        <v>Xerneas</v>
      </c>
      <c r="E781" s="131" t="s">
        <v>47</v>
      </c>
      <c r="F781" s="137"/>
      <c r="G781" s="137"/>
      <c r="H781" s="138">
        <v>126</v>
      </c>
      <c r="I781" s="139">
        <v>131</v>
      </c>
      <c r="J781" s="140">
        <v>95</v>
      </c>
      <c r="K781" s="141">
        <v>131</v>
      </c>
      <c r="L781" s="142">
        <v>98</v>
      </c>
      <c r="M781" s="143">
        <v>99</v>
      </c>
      <c r="N781" s="144">
        <v>680</v>
      </c>
      <c r="O781" s="145" t="s">
        <v>98</v>
      </c>
      <c r="Q781" s="147">
        <v>215</v>
      </c>
      <c r="R781" s="133"/>
      <c r="S781" s="151"/>
      <c r="T781" s="152"/>
      <c r="U781" s="150"/>
      <c r="V781" s="151"/>
    </row>
    <row r="782" ht="24.95" customHeight="1" spans="1:22">
      <c r="A782" s="135" t="s">
        <v>5023</v>
      </c>
      <c r="B782" s="131" t="s">
        <v>5024</v>
      </c>
      <c r="C782" s="136" t="str">
        <f>VLOOKUP(A782,伤害计算器!$V$2:$Y$720,3,FALSE)</f>
        <v>イベルタル</v>
      </c>
      <c r="D782" s="136" t="str">
        <f>VLOOKUP(A782,伤害计算器!$V$2:$Y$720,4,FALSE)</f>
        <v>Yveltal</v>
      </c>
      <c r="E782" s="131" t="s">
        <v>48</v>
      </c>
      <c r="F782" s="137"/>
      <c r="G782" s="137"/>
      <c r="H782" s="138">
        <v>126</v>
      </c>
      <c r="I782" s="139">
        <v>131</v>
      </c>
      <c r="J782" s="140">
        <v>95</v>
      </c>
      <c r="K782" s="141">
        <v>131</v>
      </c>
      <c r="L782" s="142">
        <v>98</v>
      </c>
      <c r="M782" s="143">
        <v>99</v>
      </c>
      <c r="N782" s="144">
        <v>680</v>
      </c>
      <c r="O782" s="145" t="s">
        <v>275</v>
      </c>
      <c r="P782" s="133" t="s">
        <v>99</v>
      </c>
      <c r="Q782" s="147">
        <v>203</v>
      </c>
      <c r="R782" s="133"/>
      <c r="S782" s="151"/>
      <c r="T782" s="152"/>
      <c r="U782" s="150"/>
      <c r="V782" s="151"/>
    </row>
    <row r="783" ht="24.95" customHeight="1" spans="1:22">
      <c r="A783" s="135" t="s">
        <v>5025</v>
      </c>
      <c r="B783" s="131" t="s">
        <v>5026</v>
      </c>
      <c r="C783" s="136" t="str">
        <f>VLOOKUP(A783,伤害计算器!$V$2:$Y$720,3,FALSE)</f>
        <v>ジガルデ</v>
      </c>
      <c r="D783" s="136" t="str">
        <f>VLOOKUP(A783,伤害计算器!$V$2:$Y$720,4,FALSE)</f>
        <v>Zygarde</v>
      </c>
      <c r="E783" s="131" t="s">
        <v>5027</v>
      </c>
      <c r="F783" s="137"/>
      <c r="G783" s="137"/>
      <c r="H783" s="138">
        <v>108</v>
      </c>
      <c r="I783" s="139">
        <v>100</v>
      </c>
      <c r="J783" s="140">
        <v>121</v>
      </c>
      <c r="K783" s="141">
        <v>81</v>
      </c>
      <c r="L783" s="142">
        <v>95</v>
      </c>
      <c r="M783" s="143">
        <v>95</v>
      </c>
      <c r="N783" s="144">
        <v>600</v>
      </c>
      <c r="O783" s="145" t="s">
        <v>274</v>
      </c>
      <c r="P783" s="133" t="s">
        <v>237</v>
      </c>
      <c r="Q783" s="147">
        <v>305</v>
      </c>
      <c r="R783" s="133"/>
      <c r="S783" s="151"/>
      <c r="T783" s="152"/>
      <c r="U783" s="150"/>
      <c r="V783" s="151"/>
    </row>
    <row r="784" ht="24.95" customHeight="1" spans="1:22">
      <c r="A784" s="131">
        <v>719</v>
      </c>
      <c r="B784" s="131" t="s">
        <v>5028</v>
      </c>
      <c r="C784" s="154" t="s">
        <v>5029</v>
      </c>
      <c r="D784" s="154" t="s">
        <v>3259</v>
      </c>
      <c r="E784" s="131" t="s">
        <v>3493</v>
      </c>
      <c r="H784" s="131">
        <v>50</v>
      </c>
      <c r="I784" s="131">
        <v>100</v>
      </c>
      <c r="J784" s="131">
        <v>150</v>
      </c>
      <c r="K784" s="131">
        <v>100</v>
      </c>
      <c r="L784" s="131">
        <v>150</v>
      </c>
      <c r="M784" s="131">
        <v>50</v>
      </c>
      <c r="N784" s="131">
        <v>600</v>
      </c>
      <c r="O784" s="132" t="s">
        <v>98</v>
      </c>
      <c r="P784" s="133" t="s">
        <v>252</v>
      </c>
      <c r="Q784" s="147">
        <v>8.8</v>
      </c>
      <c r="S784" s="151"/>
      <c r="T784" s="152"/>
      <c r="U784" s="150"/>
      <c r="V784" s="151"/>
    </row>
    <row r="785" ht="24.95" customHeight="1" spans="1:22">
      <c r="A785" s="131">
        <v>719</v>
      </c>
      <c r="B785" s="131" t="s">
        <v>5030</v>
      </c>
      <c r="C785" s="154" t="s">
        <v>5029</v>
      </c>
      <c r="D785" s="154" t="s">
        <v>3259</v>
      </c>
      <c r="E785" s="131" t="s">
        <v>3759</v>
      </c>
      <c r="H785" s="131">
        <v>50</v>
      </c>
      <c r="I785" s="131">
        <v>160</v>
      </c>
      <c r="J785" s="131">
        <v>110</v>
      </c>
      <c r="K785" s="131">
        <v>160</v>
      </c>
      <c r="L785" s="131">
        <v>110</v>
      </c>
      <c r="M785" s="131">
        <v>110</v>
      </c>
      <c r="N785" s="131">
        <v>700</v>
      </c>
      <c r="O785" s="132" t="s">
        <v>98</v>
      </c>
      <c r="P785" s="133" t="s">
        <v>252</v>
      </c>
      <c r="Q785" s="133">
        <v>27.8</v>
      </c>
      <c r="S785" s="151"/>
      <c r="T785" s="152"/>
      <c r="U785" s="150"/>
      <c r="V785" s="151"/>
    </row>
    <row r="786" ht="24.95" customHeight="1" spans="19:22">
      <c r="S786" s="151"/>
      <c r="T786" s="152"/>
      <c r="U786" s="150"/>
      <c r="V786" s="151"/>
    </row>
    <row r="787" ht="24.95" customHeight="1" spans="19:22">
      <c r="S787" s="149"/>
      <c r="T787" s="150"/>
      <c r="U787" s="150"/>
      <c r="V787" s="149"/>
    </row>
    <row r="788" ht="24.95" customHeight="1" spans="19:22">
      <c r="S788" s="149"/>
      <c r="T788" s="150"/>
      <c r="U788" s="150"/>
      <c r="V788" s="149"/>
    </row>
    <row r="789" ht="24.95" customHeight="1" spans="19:22">
      <c r="S789" s="149"/>
      <c r="T789" s="150"/>
      <c r="U789" s="150"/>
      <c r="V789" s="149"/>
    </row>
    <row r="790" ht="24.95" customHeight="1" spans="19:22">
      <c r="S790" s="149"/>
      <c r="T790" s="150"/>
      <c r="U790" s="150"/>
      <c r="V790" s="149"/>
    </row>
    <row r="791" ht="24.95" customHeight="1" spans="19:22">
      <c r="S791" s="149"/>
      <c r="T791" s="150"/>
      <c r="U791" s="150"/>
      <c r="V791" s="149"/>
    </row>
    <row r="792" ht="24.95" customHeight="1" spans="1:22">
      <c r="A792" s="150"/>
      <c r="B792" s="150"/>
      <c r="S792" s="149"/>
      <c r="T792" s="150"/>
      <c r="U792" s="150"/>
      <c r="V792" s="149"/>
    </row>
    <row r="793" ht="24.95" customHeight="1" spans="1:22">
      <c r="A793" s="155"/>
      <c r="B793" s="156"/>
      <c r="S793" s="149"/>
      <c r="T793" s="150"/>
      <c r="U793" s="150"/>
      <c r="V793" s="149"/>
    </row>
    <row r="794" ht="24.95" customHeight="1" spans="1:22">
      <c r="A794" s="157"/>
      <c r="B794" s="150"/>
      <c r="S794" s="149"/>
      <c r="T794" s="150"/>
      <c r="U794" s="150"/>
      <c r="V794" s="149"/>
    </row>
    <row r="795" ht="24.95" customHeight="1" spans="1:22">
      <c r="A795" s="157"/>
      <c r="B795" s="150"/>
      <c r="S795" s="149"/>
      <c r="T795" s="150"/>
      <c r="U795" s="150"/>
      <c r="V795" s="149"/>
    </row>
    <row r="796" ht="24.95" customHeight="1" spans="1:22">
      <c r="A796" s="157"/>
      <c r="B796" s="150"/>
      <c r="S796" s="149"/>
      <c r="T796" s="150"/>
      <c r="U796" s="150"/>
      <c r="V796" s="149"/>
    </row>
    <row r="797" ht="24.95" customHeight="1" spans="1:22">
      <c r="A797" s="157"/>
      <c r="B797" s="150"/>
      <c r="S797" s="149"/>
      <c r="T797" s="150"/>
      <c r="U797" s="150"/>
      <c r="V797" s="149"/>
    </row>
    <row r="798" ht="24.95" customHeight="1" spans="1:22">
      <c r="A798" s="157"/>
      <c r="B798" s="150"/>
      <c r="S798" s="149"/>
      <c r="T798" s="150"/>
      <c r="U798" s="150"/>
      <c r="V798" s="149"/>
    </row>
    <row r="799" ht="24.95" customHeight="1" spans="1:22">
      <c r="A799" s="157"/>
      <c r="B799" s="150"/>
      <c r="S799" s="149"/>
      <c r="T799" s="150"/>
      <c r="U799" s="150"/>
      <c r="V799" s="149"/>
    </row>
    <row r="800" ht="24.95" customHeight="1" spans="1:22">
      <c r="A800" s="157"/>
      <c r="B800" s="150"/>
      <c r="S800" s="149"/>
      <c r="T800" s="150"/>
      <c r="U800" s="150"/>
      <c r="V800" s="149"/>
    </row>
    <row r="801" ht="24.95" customHeight="1" spans="1:22">
      <c r="A801" s="157"/>
      <c r="B801" s="150"/>
      <c r="S801" s="149"/>
      <c r="T801" s="150"/>
      <c r="U801" s="150"/>
      <c r="V801" s="149"/>
    </row>
    <row r="802" ht="24.95" customHeight="1" spans="1:22">
      <c r="A802" s="157"/>
      <c r="B802" s="150"/>
      <c r="S802" s="149"/>
      <c r="T802" s="150"/>
      <c r="U802" s="150"/>
      <c r="V802" s="149"/>
    </row>
    <row r="803" ht="24.95" customHeight="1" spans="1:22">
      <c r="A803" s="157"/>
      <c r="B803" s="150"/>
      <c r="S803" s="149"/>
      <c r="T803" s="150"/>
      <c r="U803" s="150"/>
      <c r="V803" s="149"/>
    </row>
    <row r="804" ht="24.95" customHeight="1" spans="1:22">
      <c r="A804" s="157"/>
      <c r="B804" s="150"/>
      <c r="S804" s="149"/>
      <c r="T804" s="150"/>
      <c r="U804" s="150"/>
      <c r="V804" s="149"/>
    </row>
    <row r="805" ht="24.95" customHeight="1" spans="1:22">
      <c r="A805" s="157"/>
      <c r="B805" s="150"/>
      <c r="S805" s="149"/>
      <c r="T805" s="150"/>
      <c r="U805" s="150"/>
      <c r="V805" s="149"/>
    </row>
    <row r="806" ht="24.95" customHeight="1" spans="1:22">
      <c r="A806" s="157"/>
      <c r="B806" s="150"/>
      <c r="S806" s="149"/>
      <c r="T806" s="150"/>
      <c r="U806" s="150"/>
      <c r="V806" s="149"/>
    </row>
    <row r="807" ht="24.95" customHeight="1" spans="1:22">
      <c r="A807" s="157"/>
      <c r="B807" s="150"/>
      <c r="S807" s="149"/>
      <c r="T807" s="150"/>
      <c r="U807" s="150"/>
      <c r="V807" s="149"/>
    </row>
    <row r="808" ht="24.95" customHeight="1" spans="1:22">
      <c r="A808" s="157"/>
      <c r="B808" s="150"/>
      <c r="S808" s="149"/>
      <c r="T808" s="150"/>
      <c r="U808" s="150"/>
      <c r="V808" s="149"/>
    </row>
    <row r="809" ht="24.95" customHeight="1" spans="1:22">
      <c r="A809" s="157"/>
      <c r="B809" s="150"/>
      <c r="S809" s="149"/>
      <c r="T809" s="150"/>
      <c r="U809" s="150"/>
      <c r="V809" s="149"/>
    </row>
    <row r="810" ht="24.95" customHeight="1" spans="1:22">
      <c r="A810" s="157"/>
      <c r="B810" s="150"/>
      <c r="S810" s="149"/>
      <c r="T810" s="150"/>
      <c r="U810" s="150"/>
      <c r="V810" s="149"/>
    </row>
    <row r="811" ht="24.95" customHeight="1" spans="1:22">
      <c r="A811" s="157"/>
      <c r="B811" s="150"/>
      <c r="S811" s="149"/>
      <c r="T811" s="150"/>
      <c r="U811" s="150"/>
      <c r="V811" s="149"/>
    </row>
    <row r="812" ht="24.95" customHeight="1" spans="1:22">
      <c r="A812" s="157"/>
      <c r="B812" s="150"/>
      <c r="S812" s="149"/>
      <c r="T812" s="150"/>
      <c r="U812" s="150"/>
      <c r="V812" s="149"/>
    </row>
    <row r="813" ht="24.95" customHeight="1" spans="1:22">
      <c r="A813" s="157"/>
      <c r="B813" s="150"/>
      <c r="S813" s="149"/>
      <c r="T813" s="150"/>
      <c r="U813" s="150"/>
      <c r="V813" s="149"/>
    </row>
    <row r="814" ht="24.95" customHeight="1" spans="1:22">
      <c r="A814" s="157"/>
      <c r="B814" s="150"/>
      <c r="S814" s="149"/>
      <c r="T814" s="150"/>
      <c r="U814" s="150"/>
      <c r="V814" s="149"/>
    </row>
    <row r="815" ht="24.95" customHeight="1" spans="1:22">
      <c r="A815" s="157"/>
      <c r="B815" s="150"/>
      <c r="S815" s="149"/>
      <c r="T815" s="150"/>
      <c r="U815" s="150"/>
      <c r="V815" s="149"/>
    </row>
    <row r="816" ht="24.95" customHeight="1" spans="1:22">
      <c r="A816" s="157"/>
      <c r="B816" s="150"/>
      <c r="S816" s="149"/>
      <c r="T816" s="150"/>
      <c r="U816" s="150"/>
      <c r="V816" s="149"/>
    </row>
    <row r="817" ht="24.95" customHeight="1" spans="1:22">
      <c r="A817" s="157"/>
      <c r="B817" s="150"/>
      <c r="S817" s="149"/>
      <c r="T817" s="150"/>
      <c r="U817" s="150"/>
      <c r="V817" s="149"/>
    </row>
    <row r="818" ht="24.95" customHeight="1" spans="1:22">
      <c r="A818" s="157"/>
      <c r="B818" s="150"/>
      <c r="S818" s="149"/>
      <c r="T818" s="150"/>
      <c r="U818" s="150"/>
      <c r="V818" s="149"/>
    </row>
    <row r="819" ht="24.95" customHeight="1" spans="1:22">
      <c r="A819" s="157"/>
      <c r="B819" s="150"/>
      <c r="S819" s="149"/>
      <c r="T819" s="150"/>
      <c r="U819" s="150"/>
      <c r="V819" s="149"/>
    </row>
    <row r="820" ht="24.95" customHeight="1" spans="1:22">
      <c r="A820" s="157"/>
      <c r="B820" s="150"/>
      <c r="S820" s="149"/>
      <c r="T820" s="150"/>
      <c r="U820" s="150"/>
      <c r="V820" s="149"/>
    </row>
    <row r="821" ht="24.95" customHeight="1" spans="1:22">
      <c r="A821" s="157"/>
      <c r="B821" s="150"/>
      <c r="S821" s="149"/>
      <c r="T821" s="150"/>
      <c r="U821" s="150"/>
      <c r="V821" s="149"/>
    </row>
    <row r="822" ht="24.95" customHeight="1" spans="1:22">
      <c r="A822" s="157"/>
      <c r="B822" s="150"/>
      <c r="S822" s="149"/>
      <c r="T822" s="150"/>
      <c r="U822" s="150"/>
      <c r="V822" s="149"/>
    </row>
    <row r="823" ht="24.95" customHeight="1" spans="1:22">
      <c r="A823" s="157"/>
      <c r="B823" s="150"/>
      <c r="S823" s="149"/>
      <c r="T823" s="150"/>
      <c r="U823" s="150"/>
      <c r="V823" s="149"/>
    </row>
    <row r="824" ht="24.95" customHeight="1" spans="1:22">
      <c r="A824" s="157"/>
      <c r="B824" s="150"/>
      <c r="S824" s="149"/>
      <c r="T824" s="150"/>
      <c r="U824" s="150"/>
      <c r="V824" s="149"/>
    </row>
    <row r="825" ht="24.95" customHeight="1" spans="1:22">
      <c r="A825" s="157"/>
      <c r="B825" s="150"/>
      <c r="S825" s="149"/>
      <c r="T825" s="150"/>
      <c r="U825" s="150"/>
      <c r="V825" s="149"/>
    </row>
    <row r="826" ht="24.95" customHeight="1" spans="1:22">
      <c r="A826" s="157"/>
      <c r="B826" s="150"/>
      <c r="S826" s="149"/>
      <c r="T826" s="150"/>
      <c r="U826" s="150"/>
      <c r="V826" s="149"/>
    </row>
    <row r="827" ht="24.95" customHeight="1" spans="1:22">
      <c r="A827" s="157"/>
      <c r="B827" s="150"/>
      <c r="S827" s="149"/>
      <c r="T827" s="150"/>
      <c r="U827" s="150"/>
      <c r="V827" s="149"/>
    </row>
    <row r="828" ht="24.95" customHeight="1" spans="1:22">
      <c r="A828" s="157"/>
      <c r="B828" s="150"/>
      <c r="S828" s="149"/>
      <c r="T828" s="150"/>
      <c r="U828" s="150"/>
      <c r="V828" s="149"/>
    </row>
    <row r="829" ht="24.95" customHeight="1" spans="1:2">
      <c r="A829" s="157"/>
      <c r="B829" s="150"/>
    </row>
    <row r="830" ht="24.95" customHeight="1" spans="1:2">
      <c r="A830" s="157"/>
      <c r="B830" s="150"/>
    </row>
    <row r="831" ht="24.95" customHeight="1" spans="1:2">
      <c r="A831" s="157"/>
      <c r="B831" s="150"/>
    </row>
    <row r="832" ht="24.95" customHeight="1" spans="1:2">
      <c r="A832" s="157"/>
      <c r="B832" s="150"/>
    </row>
    <row r="833" ht="24.95" customHeight="1" spans="1:2">
      <c r="A833" s="157"/>
      <c r="B833" s="150"/>
    </row>
    <row r="834" ht="24.95" customHeight="1" spans="1:2">
      <c r="A834" s="157"/>
      <c r="B834" s="150"/>
    </row>
    <row r="835" ht="24.95" customHeight="1" spans="1:2">
      <c r="A835" s="157"/>
      <c r="B835" s="150"/>
    </row>
    <row r="836" ht="24.95" customHeight="1" spans="1:2">
      <c r="A836" s="157"/>
      <c r="B836" s="150"/>
    </row>
    <row r="837" ht="24.95" customHeight="1" spans="1:2">
      <c r="A837" s="157"/>
      <c r="B837" s="150"/>
    </row>
    <row r="838" ht="24.95" customHeight="1" spans="1:2">
      <c r="A838" s="157"/>
      <c r="B838" s="150"/>
    </row>
    <row r="839" ht="24.95" customHeight="1" spans="1:2">
      <c r="A839" s="157"/>
      <c r="B839" s="150"/>
    </row>
    <row r="840" ht="24.95" customHeight="1" spans="1:2">
      <c r="A840" s="157"/>
      <c r="B840" s="150"/>
    </row>
    <row r="841" ht="24.95" customHeight="1" spans="1:2">
      <c r="A841" s="157"/>
      <c r="B841" s="150"/>
    </row>
    <row r="842" ht="24.95" customHeight="1" spans="1:2">
      <c r="A842" s="157"/>
      <c r="B842" s="150"/>
    </row>
    <row r="843" ht="24.95" customHeight="1" spans="1:2">
      <c r="A843" s="157"/>
      <c r="B843" s="150"/>
    </row>
    <row r="844" ht="24.95" customHeight="1" spans="1:2">
      <c r="A844" s="157"/>
      <c r="B844" s="150"/>
    </row>
    <row r="845" ht="24.95" customHeight="1" spans="1:2">
      <c r="A845" s="157"/>
      <c r="B845" s="150"/>
    </row>
    <row r="846" ht="24.95" customHeight="1" spans="1:2">
      <c r="A846" s="157"/>
      <c r="B846" s="150"/>
    </row>
    <row r="847" ht="24.95" customHeight="1" spans="1:2">
      <c r="A847" s="157"/>
      <c r="B847" s="150"/>
    </row>
    <row r="848" ht="24.95" customHeight="1" spans="1:2">
      <c r="A848" s="157"/>
      <c r="B848" s="150"/>
    </row>
    <row r="849" ht="24.95" customHeight="1" spans="1:2">
      <c r="A849" s="157"/>
      <c r="B849" s="150"/>
    </row>
    <row r="850" ht="24.95" customHeight="1" spans="1:2">
      <c r="A850" s="157"/>
      <c r="B850" s="150"/>
    </row>
    <row r="851" ht="24.95" customHeight="1" spans="1:2">
      <c r="A851" s="157"/>
      <c r="B851" s="150"/>
    </row>
    <row r="852" ht="24.95" customHeight="1" spans="1:2">
      <c r="A852" s="157"/>
      <c r="B852" s="150"/>
    </row>
    <row r="853" ht="24.95" customHeight="1" spans="1:2">
      <c r="A853" s="157"/>
      <c r="B853" s="150"/>
    </row>
    <row r="854" ht="24.95" customHeight="1" spans="1:2">
      <c r="A854" s="157"/>
      <c r="B854" s="150"/>
    </row>
    <row r="855" ht="24.95" customHeight="1" spans="1:2">
      <c r="A855" s="157"/>
      <c r="B855" s="150"/>
    </row>
    <row r="856" ht="24.95" customHeight="1" spans="1:2">
      <c r="A856" s="157"/>
      <c r="B856" s="150"/>
    </row>
    <row r="857" ht="24.95" customHeight="1" spans="1:2">
      <c r="A857" s="157"/>
      <c r="B857" s="150"/>
    </row>
    <row r="858" ht="24.95" customHeight="1" spans="1:2">
      <c r="A858" s="157"/>
      <c r="B858" s="150"/>
    </row>
    <row r="859" ht="24.95" customHeight="1" spans="1:2">
      <c r="A859" s="157"/>
      <c r="B859" s="150"/>
    </row>
    <row r="860" ht="24.95" customHeight="1" spans="1:2">
      <c r="A860" s="157"/>
      <c r="B860" s="150"/>
    </row>
    <row r="861" ht="24.95" customHeight="1" spans="1:2">
      <c r="A861" s="157"/>
      <c r="B861" s="150"/>
    </row>
    <row r="862" ht="24.95" customHeight="1" spans="1:2">
      <c r="A862" s="157"/>
      <c r="B862" s="150"/>
    </row>
    <row r="863" ht="24.95" customHeight="1" spans="1:2">
      <c r="A863" s="157"/>
      <c r="B863" s="150"/>
    </row>
    <row r="864" ht="24.95" customHeight="1" spans="1:2">
      <c r="A864" s="157"/>
      <c r="B864" s="150"/>
    </row>
    <row r="865" ht="24.95" customHeight="1" spans="1:2">
      <c r="A865" s="157"/>
      <c r="B865" s="150"/>
    </row>
    <row r="866" ht="24.95" customHeight="1" spans="1:2">
      <c r="A866" s="157"/>
      <c r="B866" s="150"/>
    </row>
    <row r="867" ht="24.95" customHeight="1" spans="1:2">
      <c r="A867" s="157"/>
      <c r="B867" s="150"/>
    </row>
    <row r="868" ht="24.95" customHeight="1" spans="1:2">
      <c r="A868" s="157"/>
      <c r="B868" s="150"/>
    </row>
    <row r="869" ht="24.95" customHeight="1" spans="1:2">
      <c r="A869" s="157"/>
      <c r="B869" s="150"/>
    </row>
    <row r="870" ht="24.95" customHeight="1" spans="1:2">
      <c r="A870" s="157"/>
      <c r="B870" s="150"/>
    </row>
    <row r="871" ht="24.95" customHeight="1" spans="1:2">
      <c r="A871" s="157"/>
      <c r="B871" s="150"/>
    </row>
    <row r="872" ht="24.95" customHeight="1" spans="1:2">
      <c r="A872" s="157"/>
      <c r="B872" s="150"/>
    </row>
    <row r="873" ht="24.95" customHeight="1" spans="1:2">
      <c r="A873" s="157"/>
      <c r="B873" s="150"/>
    </row>
    <row r="874" ht="24.95" customHeight="1" spans="1:2">
      <c r="A874" s="157"/>
      <c r="B874" s="150"/>
    </row>
    <row r="875" ht="24.95" customHeight="1" spans="1:2">
      <c r="A875" s="157"/>
      <c r="B875" s="150"/>
    </row>
    <row r="876" ht="24.95" customHeight="1" spans="1:2">
      <c r="A876" s="157"/>
      <c r="B876" s="150"/>
    </row>
    <row r="877" ht="24.95" customHeight="1" spans="1:2">
      <c r="A877" s="157"/>
      <c r="B877" s="150"/>
    </row>
    <row r="878" ht="24.95" customHeight="1" spans="1:2">
      <c r="A878" s="157"/>
      <c r="B878" s="150"/>
    </row>
    <row r="879" ht="24.95" customHeight="1" spans="1:2">
      <c r="A879" s="157"/>
      <c r="B879" s="150"/>
    </row>
    <row r="880" ht="24.95" customHeight="1" spans="1:2">
      <c r="A880" s="157"/>
      <c r="B880" s="150"/>
    </row>
    <row r="881" ht="24.95" customHeight="1" spans="1:2">
      <c r="A881" s="157"/>
      <c r="B881" s="150"/>
    </row>
    <row r="882" ht="24.95" customHeight="1" spans="1:2">
      <c r="A882" s="157"/>
      <c r="B882" s="150"/>
    </row>
    <row r="883" ht="24.95" customHeight="1" spans="1:2">
      <c r="A883" s="157"/>
      <c r="B883" s="150"/>
    </row>
    <row r="884" ht="24.95" customHeight="1" spans="1:2">
      <c r="A884" s="157"/>
      <c r="B884" s="150"/>
    </row>
    <row r="885" ht="24.95" customHeight="1" spans="1:2">
      <c r="A885" s="157"/>
      <c r="B885" s="150"/>
    </row>
    <row r="886" ht="24.95" customHeight="1" spans="1:2">
      <c r="A886" s="157"/>
      <c r="B886" s="150"/>
    </row>
    <row r="887" customHeight="1" spans="1:2">
      <c r="A887" s="157"/>
      <c r="B887" s="150"/>
    </row>
    <row r="888" customHeight="1" spans="1:2">
      <c r="A888" s="157"/>
      <c r="B888" s="150"/>
    </row>
    <row r="889" customHeight="1" spans="1:2">
      <c r="A889" s="157"/>
      <c r="B889" s="150"/>
    </row>
    <row r="890" customHeight="1" spans="1:2">
      <c r="A890" s="157"/>
      <c r="B890" s="150"/>
    </row>
    <row r="891" customHeight="1" spans="1:2">
      <c r="A891" s="157"/>
      <c r="B891" s="150"/>
    </row>
    <row r="892" customHeight="1" spans="1:2">
      <c r="A892" s="157"/>
      <c r="B892" s="150"/>
    </row>
    <row r="893" customHeight="1" spans="1:2">
      <c r="A893" s="157"/>
      <c r="B893" s="150"/>
    </row>
    <row r="894" customHeight="1" spans="1:2">
      <c r="A894" s="157"/>
      <c r="B894" s="150"/>
    </row>
    <row r="895" customHeight="1" spans="1:2">
      <c r="A895" s="157"/>
      <c r="B895" s="150"/>
    </row>
    <row r="896" customHeight="1" spans="1:2">
      <c r="A896" s="157"/>
      <c r="B896" s="150"/>
    </row>
    <row r="897" customHeight="1" spans="1:2">
      <c r="A897" s="157"/>
      <c r="B897" s="150"/>
    </row>
    <row r="898" customHeight="1" spans="1:2">
      <c r="A898" s="157"/>
      <c r="B898" s="150"/>
    </row>
    <row r="899" customHeight="1" spans="1:2">
      <c r="A899" s="157"/>
      <c r="B899" s="150"/>
    </row>
    <row r="900" customHeight="1" spans="1:2">
      <c r="A900" s="157"/>
      <c r="B900" s="150"/>
    </row>
    <row r="901" customHeight="1" spans="1:2">
      <c r="A901" s="157"/>
      <c r="B901" s="150"/>
    </row>
    <row r="902" customHeight="1" spans="1:2">
      <c r="A902" s="157"/>
      <c r="B902" s="150"/>
    </row>
    <row r="903" customHeight="1" spans="1:2">
      <c r="A903" s="157"/>
      <c r="B903" s="150"/>
    </row>
    <row r="904" customHeight="1" spans="1:2">
      <c r="A904" s="157"/>
      <c r="B904" s="150"/>
    </row>
    <row r="905" customHeight="1" spans="1:2">
      <c r="A905" s="157"/>
      <c r="B905" s="150"/>
    </row>
    <row r="906" customHeight="1" spans="1:2">
      <c r="A906" s="157"/>
      <c r="B906" s="150"/>
    </row>
    <row r="907" customHeight="1" spans="1:2">
      <c r="A907" s="157"/>
      <c r="B907" s="150"/>
    </row>
    <row r="908" customHeight="1" spans="1:2">
      <c r="A908" s="157"/>
      <c r="B908" s="150"/>
    </row>
    <row r="909" customHeight="1" spans="1:2">
      <c r="A909" s="157"/>
      <c r="B909" s="150"/>
    </row>
    <row r="910" customHeight="1" spans="1:2">
      <c r="A910" s="157"/>
      <c r="B910" s="150"/>
    </row>
    <row r="911" customHeight="1" spans="1:2">
      <c r="A911" s="157"/>
      <c r="B911" s="150"/>
    </row>
    <row r="912" customHeight="1" spans="1:2">
      <c r="A912" s="157"/>
      <c r="B912" s="150"/>
    </row>
    <row r="913" customHeight="1" spans="1:2">
      <c r="A913" s="157"/>
      <c r="B913" s="150"/>
    </row>
    <row r="914" customHeight="1" spans="1:2">
      <c r="A914" s="157"/>
      <c r="B914" s="150"/>
    </row>
    <row r="915" customHeight="1" spans="1:2">
      <c r="A915" s="157"/>
      <c r="B915" s="150"/>
    </row>
    <row r="916" customHeight="1" spans="1:2">
      <c r="A916" s="157"/>
      <c r="B916" s="150"/>
    </row>
    <row r="917" customHeight="1" spans="1:2">
      <c r="A917" s="157"/>
      <c r="B917" s="150"/>
    </row>
    <row r="918" customHeight="1" spans="1:2">
      <c r="A918" s="157"/>
      <c r="B918" s="150"/>
    </row>
    <row r="919" customHeight="1" spans="1:2">
      <c r="A919" s="157"/>
      <c r="B919" s="150"/>
    </row>
    <row r="920" customHeight="1" spans="1:2">
      <c r="A920" s="157"/>
      <c r="B920" s="150"/>
    </row>
    <row r="921" customHeight="1" spans="1:2">
      <c r="A921" s="157"/>
      <c r="B921" s="150"/>
    </row>
    <row r="922" customHeight="1" spans="1:2">
      <c r="A922" s="157"/>
      <c r="B922" s="150"/>
    </row>
    <row r="923" customHeight="1" spans="1:2">
      <c r="A923" s="157"/>
      <c r="B923" s="150"/>
    </row>
    <row r="924" customHeight="1" spans="1:2">
      <c r="A924" s="157"/>
      <c r="B924" s="150"/>
    </row>
    <row r="925" customHeight="1" spans="1:2">
      <c r="A925" s="157"/>
      <c r="B925" s="150"/>
    </row>
    <row r="926" customHeight="1" spans="1:2">
      <c r="A926" s="157"/>
      <c r="B926" s="150"/>
    </row>
    <row r="927" customHeight="1" spans="1:2">
      <c r="A927" s="157"/>
      <c r="B927" s="150"/>
    </row>
    <row r="928" customHeight="1" spans="1:2">
      <c r="A928" s="157"/>
      <c r="B928" s="150"/>
    </row>
    <row r="929" customHeight="1" spans="1:2">
      <c r="A929" s="157"/>
      <c r="B929" s="150"/>
    </row>
    <row r="930" customHeight="1" spans="1:2">
      <c r="A930" s="157"/>
      <c r="B930" s="150"/>
    </row>
    <row r="931" customHeight="1" spans="1:2">
      <c r="A931" s="157"/>
      <c r="B931" s="150"/>
    </row>
    <row r="932" customHeight="1" spans="1:2">
      <c r="A932" s="157"/>
      <c r="B932" s="150"/>
    </row>
    <row r="933" customHeight="1" spans="1:2">
      <c r="A933" s="157"/>
      <c r="B933" s="150"/>
    </row>
    <row r="934" customHeight="1" spans="1:2">
      <c r="A934" s="157"/>
      <c r="B934" s="150"/>
    </row>
    <row r="935" customHeight="1" spans="1:2">
      <c r="A935" s="157"/>
      <c r="B935" s="150"/>
    </row>
    <row r="936" customHeight="1" spans="1:2">
      <c r="A936" s="157"/>
      <c r="B936" s="150"/>
    </row>
    <row r="937" customHeight="1" spans="1:2">
      <c r="A937" s="157"/>
      <c r="B937" s="150"/>
    </row>
    <row r="938" customHeight="1" spans="1:2">
      <c r="A938" s="157"/>
      <c r="B938" s="150"/>
    </row>
    <row r="939" customHeight="1" spans="1:2">
      <c r="A939" s="157"/>
      <c r="B939" s="150"/>
    </row>
    <row r="940" customHeight="1" spans="1:2">
      <c r="A940" s="157"/>
      <c r="B940" s="150"/>
    </row>
    <row r="941" customHeight="1" spans="1:2">
      <c r="A941" s="157"/>
      <c r="B941" s="150"/>
    </row>
    <row r="942" customHeight="1" spans="1:2">
      <c r="A942" s="157"/>
      <c r="B942" s="150"/>
    </row>
    <row r="943" customHeight="1" spans="1:2">
      <c r="A943" s="157"/>
      <c r="B943" s="150"/>
    </row>
    <row r="944" customHeight="1" spans="1:2">
      <c r="A944" s="157"/>
      <c r="B944" s="150"/>
    </row>
    <row r="945" customHeight="1" spans="1:2">
      <c r="A945" s="157"/>
      <c r="B945" s="150"/>
    </row>
    <row r="946" customHeight="1" spans="1:2">
      <c r="A946" s="157"/>
      <c r="B946" s="150"/>
    </row>
    <row r="947" customHeight="1" spans="1:2">
      <c r="A947" s="157"/>
      <c r="B947" s="150"/>
    </row>
    <row r="948" customHeight="1" spans="1:2">
      <c r="A948" s="157"/>
      <c r="B948" s="150"/>
    </row>
    <row r="949" customHeight="1" spans="1:2">
      <c r="A949" s="157"/>
      <c r="B949" s="150"/>
    </row>
    <row r="950" customHeight="1" spans="1:2">
      <c r="A950" s="157"/>
      <c r="B950" s="150"/>
    </row>
    <row r="951" customHeight="1" spans="1:2">
      <c r="A951" s="157"/>
      <c r="B951" s="150"/>
    </row>
    <row r="952" customHeight="1" spans="1:2">
      <c r="A952" s="157"/>
      <c r="B952" s="150"/>
    </row>
    <row r="953" customHeight="1" spans="1:2">
      <c r="A953" s="157"/>
      <c r="B953" s="150"/>
    </row>
    <row r="954" customHeight="1" spans="1:2">
      <c r="A954" s="157"/>
      <c r="B954" s="150"/>
    </row>
    <row r="955" customHeight="1" spans="1:2">
      <c r="A955" s="157"/>
      <c r="B955" s="150"/>
    </row>
    <row r="956" customHeight="1" spans="1:2">
      <c r="A956" s="157"/>
      <c r="B956" s="150"/>
    </row>
    <row r="957" customHeight="1" spans="1:2">
      <c r="A957" s="157"/>
      <c r="B957" s="150"/>
    </row>
    <row r="958" customHeight="1" spans="1:2">
      <c r="A958" s="157"/>
      <c r="B958" s="150"/>
    </row>
    <row r="959" customHeight="1" spans="1:2">
      <c r="A959" s="157"/>
      <c r="B959" s="150"/>
    </row>
    <row r="960" customHeight="1" spans="1:2">
      <c r="A960" s="157"/>
      <c r="B960" s="150"/>
    </row>
    <row r="961" customHeight="1" spans="1:2">
      <c r="A961" s="157"/>
      <c r="B961" s="150"/>
    </row>
    <row r="962" customHeight="1" spans="1:2">
      <c r="A962" s="157"/>
      <c r="B962" s="150"/>
    </row>
    <row r="963" customHeight="1" spans="1:2">
      <c r="A963" s="157"/>
      <c r="B963" s="150"/>
    </row>
    <row r="964" customHeight="1" spans="1:2">
      <c r="A964" s="157"/>
      <c r="B964" s="150"/>
    </row>
    <row r="965" customHeight="1" spans="1:2">
      <c r="A965" s="157"/>
      <c r="B965" s="150"/>
    </row>
    <row r="966" customHeight="1" spans="1:2">
      <c r="A966" s="157"/>
      <c r="B966" s="150"/>
    </row>
    <row r="967" customHeight="1" spans="1:2">
      <c r="A967" s="157"/>
      <c r="B967" s="150"/>
    </row>
    <row r="968" customHeight="1" spans="1:2">
      <c r="A968" s="157"/>
      <c r="B968" s="150"/>
    </row>
    <row r="969" customHeight="1" spans="1:2">
      <c r="A969" s="157"/>
      <c r="B969" s="150"/>
    </row>
    <row r="970" customHeight="1" spans="1:2">
      <c r="A970" s="157"/>
      <c r="B970" s="150"/>
    </row>
    <row r="971" customHeight="1" spans="1:2">
      <c r="A971" s="157"/>
      <c r="B971" s="150"/>
    </row>
    <row r="972" customHeight="1" spans="1:2">
      <c r="A972" s="157"/>
      <c r="B972" s="150"/>
    </row>
    <row r="973" customHeight="1" spans="1:2">
      <c r="A973" s="157"/>
      <c r="B973" s="150"/>
    </row>
    <row r="974" customHeight="1" spans="1:2">
      <c r="A974" s="157"/>
      <c r="B974" s="150"/>
    </row>
    <row r="975" customHeight="1" spans="1:2">
      <c r="A975" s="157"/>
      <c r="B975" s="150"/>
    </row>
    <row r="976" customHeight="1" spans="1:2">
      <c r="A976" s="157"/>
      <c r="B976" s="150"/>
    </row>
    <row r="977" customHeight="1" spans="1:2">
      <c r="A977" s="157"/>
      <c r="B977" s="150"/>
    </row>
    <row r="978" customHeight="1" spans="1:2">
      <c r="A978" s="157"/>
      <c r="B978" s="150"/>
    </row>
    <row r="979" customHeight="1" spans="1:2">
      <c r="A979" s="157"/>
      <c r="B979" s="150"/>
    </row>
    <row r="980" customHeight="1" spans="1:2">
      <c r="A980" s="157"/>
      <c r="B980" s="150"/>
    </row>
    <row r="981" customHeight="1" spans="1:2">
      <c r="A981" s="157"/>
      <c r="B981" s="150"/>
    </row>
    <row r="982" customHeight="1" spans="1:2">
      <c r="A982" s="157"/>
      <c r="B982" s="150"/>
    </row>
    <row r="983" customHeight="1" spans="1:2">
      <c r="A983" s="157"/>
      <c r="B983" s="150"/>
    </row>
    <row r="984" customHeight="1" spans="1:2">
      <c r="A984" s="157"/>
      <c r="B984" s="150"/>
    </row>
    <row r="985" customHeight="1" spans="1:2">
      <c r="A985" s="157"/>
      <c r="B985" s="150"/>
    </row>
    <row r="986" customHeight="1" spans="1:2">
      <c r="A986" s="157"/>
      <c r="B986" s="150"/>
    </row>
    <row r="987" customHeight="1" spans="1:2">
      <c r="A987" s="157"/>
      <c r="B987" s="150"/>
    </row>
    <row r="988" customHeight="1" spans="1:2">
      <c r="A988" s="157"/>
      <c r="B988" s="150"/>
    </row>
    <row r="989" customHeight="1" spans="1:2">
      <c r="A989" s="157"/>
      <c r="B989" s="150"/>
    </row>
    <row r="990" customHeight="1" spans="1:2">
      <c r="A990" s="157"/>
      <c r="B990" s="150"/>
    </row>
    <row r="991" customHeight="1" spans="1:2">
      <c r="A991" s="157"/>
      <c r="B991" s="150"/>
    </row>
    <row r="992" customHeight="1" spans="1:2">
      <c r="A992" s="157"/>
      <c r="B992" s="150"/>
    </row>
    <row r="993" customHeight="1" spans="1:2">
      <c r="A993" s="157"/>
      <c r="B993" s="150"/>
    </row>
    <row r="994" customHeight="1" spans="1:2">
      <c r="A994" s="157"/>
      <c r="B994" s="150"/>
    </row>
    <row r="995" customHeight="1" spans="1:2">
      <c r="A995" s="157"/>
      <c r="B995" s="150"/>
    </row>
    <row r="996" customHeight="1" spans="1:2">
      <c r="A996" s="157"/>
      <c r="B996" s="150"/>
    </row>
    <row r="997" customHeight="1" spans="1:2">
      <c r="A997" s="157"/>
      <c r="B997" s="150"/>
    </row>
    <row r="998" customHeight="1" spans="1:2">
      <c r="A998" s="157"/>
      <c r="B998" s="150"/>
    </row>
    <row r="999" customHeight="1" spans="1:2">
      <c r="A999" s="157"/>
      <c r="B999" s="150"/>
    </row>
    <row r="1000" customHeight="1" spans="1:2">
      <c r="A1000" s="157"/>
      <c r="B1000" s="150"/>
    </row>
    <row r="1001" customHeight="1" spans="1:2">
      <c r="A1001" s="157"/>
      <c r="B1001" s="150"/>
    </row>
    <row r="1002" customHeight="1" spans="1:2">
      <c r="A1002" s="157"/>
      <c r="B1002" s="150"/>
    </row>
    <row r="1003" customHeight="1" spans="1:2">
      <c r="A1003" s="157"/>
      <c r="B1003" s="150"/>
    </row>
    <row r="1004" customHeight="1" spans="1:2">
      <c r="A1004" s="157"/>
      <c r="B1004" s="150"/>
    </row>
    <row r="1005" customHeight="1" spans="1:2">
      <c r="A1005" s="157"/>
      <c r="B1005" s="150"/>
    </row>
    <row r="1006" customHeight="1" spans="1:2">
      <c r="A1006" s="157"/>
      <c r="B1006" s="150"/>
    </row>
    <row r="1007" customHeight="1" spans="1:2">
      <c r="A1007" s="157"/>
      <c r="B1007" s="150"/>
    </row>
    <row r="1008" customHeight="1" spans="1:2">
      <c r="A1008" s="157"/>
      <c r="B1008" s="150"/>
    </row>
    <row r="1009" customHeight="1" spans="1:2">
      <c r="A1009" s="157"/>
      <c r="B1009" s="150"/>
    </row>
    <row r="1010" customHeight="1" spans="1:2">
      <c r="A1010" s="157"/>
      <c r="B1010" s="150"/>
    </row>
    <row r="1011" customHeight="1" spans="1:2">
      <c r="A1011" s="157"/>
      <c r="B1011" s="150"/>
    </row>
    <row r="1012" customHeight="1" spans="1:2">
      <c r="A1012" s="157"/>
      <c r="B1012" s="150"/>
    </row>
    <row r="1013" customHeight="1" spans="1:2">
      <c r="A1013" s="157"/>
      <c r="B1013" s="150"/>
    </row>
    <row r="1014" customHeight="1" spans="1:2">
      <c r="A1014" s="157"/>
      <c r="B1014" s="150"/>
    </row>
    <row r="1015" customHeight="1" spans="1:2">
      <c r="A1015" s="157"/>
      <c r="B1015" s="150"/>
    </row>
    <row r="1016" customHeight="1" spans="1:2">
      <c r="A1016" s="157"/>
      <c r="B1016" s="150"/>
    </row>
    <row r="1017" customHeight="1" spans="1:2">
      <c r="A1017" s="157"/>
      <c r="B1017" s="150"/>
    </row>
    <row r="1018" customHeight="1" spans="1:2">
      <c r="A1018" s="157"/>
      <c r="B1018" s="150"/>
    </row>
    <row r="1019" customHeight="1" spans="1:2">
      <c r="A1019" s="157"/>
      <c r="B1019" s="150"/>
    </row>
    <row r="1020" customHeight="1" spans="1:2">
      <c r="A1020" s="157"/>
      <c r="B1020" s="150"/>
    </row>
    <row r="1021" customHeight="1" spans="1:2">
      <c r="A1021" s="157"/>
      <c r="B1021" s="150"/>
    </row>
    <row r="1022" customHeight="1" spans="1:2">
      <c r="A1022" s="157"/>
      <c r="B1022" s="150"/>
    </row>
    <row r="1023" customHeight="1" spans="1:2">
      <c r="A1023" s="157"/>
      <c r="B1023" s="150"/>
    </row>
    <row r="1024" customHeight="1" spans="1:2">
      <c r="A1024" s="157"/>
      <c r="B1024" s="150"/>
    </row>
    <row r="1025" customHeight="1" spans="1:2">
      <c r="A1025" s="157"/>
      <c r="B1025" s="150"/>
    </row>
    <row r="1026" customHeight="1" spans="1:2">
      <c r="A1026" s="157"/>
      <c r="B1026" s="150"/>
    </row>
    <row r="1027" customHeight="1" spans="1:2">
      <c r="A1027" s="157"/>
      <c r="B1027" s="150"/>
    </row>
    <row r="1028" customHeight="1" spans="1:2">
      <c r="A1028" s="157"/>
      <c r="B1028" s="150"/>
    </row>
    <row r="1029" customHeight="1" spans="1:2">
      <c r="A1029" s="157"/>
      <c r="B1029" s="150"/>
    </row>
    <row r="1030" customHeight="1" spans="1:2">
      <c r="A1030" s="157"/>
      <c r="B1030" s="150"/>
    </row>
    <row r="1031" customHeight="1" spans="1:2">
      <c r="A1031" s="157"/>
      <c r="B1031" s="150"/>
    </row>
    <row r="1032" customHeight="1" spans="1:2">
      <c r="A1032" s="157"/>
      <c r="B1032" s="150"/>
    </row>
    <row r="1033" customHeight="1" spans="1:2">
      <c r="A1033" s="157"/>
      <c r="B1033" s="150"/>
    </row>
    <row r="1034" customHeight="1" spans="1:2">
      <c r="A1034" s="157"/>
      <c r="B1034" s="150"/>
    </row>
    <row r="1035" customHeight="1" spans="1:2">
      <c r="A1035" s="157"/>
      <c r="B1035" s="150"/>
    </row>
    <row r="1036" customHeight="1" spans="1:2">
      <c r="A1036" s="157"/>
      <c r="B1036" s="150"/>
    </row>
    <row r="1037" customHeight="1" spans="1:2">
      <c r="A1037" s="157"/>
      <c r="B1037" s="150"/>
    </row>
    <row r="1038" customHeight="1" spans="1:2">
      <c r="A1038" s="157"/>
      <c r="B1038" s="150"/>
    </row>
    <row r="1039" customHeight="1" spans="1:2">
      <c r="A1039" s="157"/>
      <c r="B1039" s="150"/>
    </row>
    <row r="1040" customHeight="1" spans="1:2">
      <c r="A1040" s="157"/>
      <c r="B1040" s="150"/>
    </row>
    <row r="1041" customHeight="1" spans="1:2">
      <c r="A1041" s="157"/>
      <c r="B1041" s="150"/>
    </row>
    <row r="1042" customHeight="1" spans="1:2">
      <c r="A1042" s="157"/>
      <c r="B1042" s="150"/>
    </row>
    <row r="1043" customHeight="1" spans="1:2">
      <c r="A1043" s="157"/>
      <c r="B1043" s="150"/>
    </row>
    <row r="1044" customHeight="1" spans="1:2">
      <c r="A1044" s="157"/>
      <c r="B1044" s="150"/>
    </row>
    <row r="1045" customHeight="1" spans="1:2">
      <c r="A1045" s="157"/>
      <c r="B1045" s="150"/>
    </row>
    <row r="1046" customHeight="1" spans="1:2">
      <c r="A1046" s="157"/>
      <c r="B1046" s="150"/>
    </row>
    <row r="1047" customHeight="1" spans="1:2">
      <c r="A1047" s="157"/>
      <c r="B1047" s="150"/>
    </row>
    <row r="1048" customHeight="1" spans="1:2">
      <c r="A1048" s="157"/>
      <c r="B1048" s="150"/>
    </row>
    <row r="1049" customHeight="1" spans="1:2">
      <c r="A1049" s="157"/>
      <c r="B1049" s="150"/>
    </row>
    <row r="1050" customHeight="1" spans="1:2">
      <c r="A1050" s="157"/>
      <c r="B1050" s="150"/>
    </row>
    <row r="1051" customHeight="1" spans="1:2">
      <c r="A1051" s="157"/>
      <c r="B1051" s="150"/>
    </row>
    <row r="1052" customHeight="1" spans="1:2">
      <c r="A1052" s="157"/>
      <c r="B1052" s="150"/>
    </row>
    <row r="1053" customHeight="1" spans="1:2">
      <c r="A1053" s="157"/>
      <c r="B1053" s="150"/>
    </row>
    <row r="1054" customHeight="1" spans="1:2">
      <c r="A1054" s="157"/>
      <c r="B1054" s="150"/>
    </row>
    <row r="1055" customHeight="1" spans="1:2">
      <c r="A1055" s="157"/>
      <c r="B1055" s="150"/>
    </row>
    <row r="1056" customHeight="1" spans="1:2">
      <c r="A1056" s="157"/>
      <c r="B1056" s="150"/>
    </row>
    <row r="1057" customHeight="1" spans="1:2">
      <c r="A1057" s="157"/>
      <c r="B1057" s="150"/>
    </row>
    <row r="1058" customHeight="1" spans="1:2">
      <c r="A1058" s="157"/>
      <c r="B1058" s="150"/>
    </row>
    <row r="1059" customHeight="1" spans="1:2">
      <c r="A1059" s="157"/>
      <c r="B1059" s="150"/>
    </row>
    <row r="1060" customHeight="1" spans="1:2">
      <c r="A1060" s="157"/>
      <c r="B1060" s="150"/>
    </row>
    <row r="1061" customHeight="1" spans="1:2">
      <c r="A1061" s="157"/>
      <c r="B1061" s="150"/>
    </row>
    <row r="1062" customHeight="1" spans="1:2">
      <c r="A1062" s="157"/>
      <c r="B1062" s="150"/>
    </row>
    <row r="1063" customHeight="1" spans="1:2">
      <c r="A1063" s="157"/>
      <c r="B1063" s="150"/>
    </row>
    <row r="1064" customHeight="1" spans="1:2">
      <c r="A1064" s="157"/>
      <c r="B1064" s="150"/>
    </row>
    <row r="1065" customHeight="1" spans="1:2">
      <c r="A1065" s="157"/>
      <c r="B1065" s="150"/>
    </row>
    <row r="1066" customHeight="1" spans="1:2">
      <c r="A1066" s="157"/>
      <c r="B1066" s="150"/>
    </row>
    <row r="1067" customHeight="1" spans="1:2">
      <c r="A1067" s="157"/>
      <c r="B1067" s="150"/>
    </row>
    <row r="1068" customHeight="1" spans="1:2">
      <c r="A1068" s="157"/>
      <c r="B1068" s="150"/>
    </row>
    <row r="1069" customHeight="1" spans="1:2">
      <c r="A1069" s="157"/>
      <c r="B1069" s="150"/>
    </row>
    <row r="1070" customHeight="1" spans="1:2">
      <c r="A1070" s="157"/>
      <c r="B1070" s="150"/>
    </row>
    <row r="1071" customHeight="1" spans="1:2">
      <c r="A1071" s="157"/>
      <c r="B1071" s="150"/>
    </row>
    <row r="1072" customHeight="1" spans="1:2">
      <c r="A1072" s="157"/>
      <c r="B1072" s="150"/>
    </row>
    <row r="1073" customHeight="1" spans="1:2">
      <c r="A1073" s="157"/>
      <c r="B1073" s="150"/>
    </row>
    <row r="1074" customHeight="1" spans="1:2">
      <c r="A1074" s="157"/>
      <c r="B1074" s="150"/>
    </row>
    <row r="1075" customHeight="1" spans="1:2">
      <c r="A1075" s="157"/>
      <c r="B1075" s="150"/>
    </row>
    <row r="1076" customHeight="1" spans="1:2">
      <c r="A1076" s="157"/>
      <c r="B1076" s="150"/>
    </row>
    <row r="1077" customHeight="1" spans="1:2">
      <c r="A1077" s="157"/>
      <c r="B1077" s="150"/>
    </row>
    <row r="1078" customHeight="1" spans="1:2">
      <c r="A1078" s="157"/>
      <c r="B1078" s="150"/>
    </row>
    <row r="1079" customHeight="1" spans="1:2">
      <c r="A1079" s="157"/>
      <c r="B1079" s="150"/>
    </row>
    <row r="1080" customHeight="1" spans="1:2">
      <c r="A1080" s="157"/>
      <c r="B1080" s="150"/>
    </row>
    <row r="1081" customHeight="1" spans="1:2">
      <c r="A1081" s="157"/>
      <c r="B1081" s="150"/>
    </row>
    <row r="1082" customHeight="1" spans="1:2">
      <c r="A1082" s="157"/>
      <c r="B1082" s="150"/>
    </row>
    <row r="1083" customHeight="1" spans="1:2">
      <c r="A1083" s="157"/>
      <c r="B1083" s="150"/>
    </row>
    <row r="1084" customHeight="1" spans="1:2">
      <c r="A1084" s="157"/>
      <c r="B1084" s="150"/>
    </row>
    <row r="1085" customHeight="1" spans="1:2">
      <c r="A1085" s="157"/>
      <c r="B1085" s="150"/>
    </row>
    <row r="1086" customHeight="1" spans="1:2">
      <c r="A1086" s="157"/>
      <c r="B1086" s="150"/>
    </row>
    <row r="1087" customHeight="1" spans="1:2">
      <c r="A1087" s="157"/>
      <c r="B1087" s="150"/>
    </row>
    <row r="1088" customHeight="1" spans="1:2">
      <c r="A1088" s="157"/>
      <c r="B1088" s="150"/>
    </row>
    <row r="1089" customHeight="1" spans="1:2">
      <c r="A1089" s="157"/>
      <c r="B1089" s="150"/>
    </row>
    <row r="1090" customHeight="1" spans="1:2">
      <c r="A1090" s="157"/>
      <c r="B1090" s="150"/>
    </row>
    <row r="1091" customHeight="1" spans="1:2">
      <c r="A1091" s="157"/>
      <c r="B1091" s="150"/>
    </row>
    <row r="1092" customHeight="1" spans="1:2">
      <c r="A1092" s="157"/>
      <c r="B1092" s="150"/>
    </row>
    <row r="1093" customHeight="1" spans="1:2">
      <c r="A1093" s="157"/>
      <c r="B1093" s="150"/>
    </row>
    <row r="1094" customHeight="1" spans="1:2">
      <c r="A1094" s="157"/>
      <c r="B1094" s="150"/>
    </row>
    <row r="1095" customHeight="1" spans="1:2">
      <c r="A1095" s="157"/>
      <c r="B1095" s="150"/>
    </row>
    <row r="1096" customHeight="1" spans="1:2">
      <c r="A1096" s="157"/>
      <c r="B1096" s="150"/>
    </row>
    <row r="1097" customHeight="1" spans="1:2">
      <c r="A1097" s="157"/>
      <c r="B1097" s="150"/>
    </row>
    <row r="1098" customHeight="1" spans="1:2">
      <c r="A1098" s="157"/>
      <c r="B1098" s="150"/>
    </row>
    <row r="1099" customHeight="1" spans="1:2">
      <c r="A1099" s="157"/>
      <c r="B1099" s="150"/>
    </row>
    <row r="1100" customHeight="1" spans="1:2">
      <c r="A1100" s="157"/>
      <c r="B1100" s="150"/>
    </row>
    <row r="1101" customHeight="1" spans="1:2">
      <c r="A1101" s="157"/>
      <c r="B1101" s="150"/>
    </row>
    <row r="1102" customHeight="1" spans="1:2">
      <c r="A1102" s="157"/>
      <c r="B1102" s="150"/>
    </row>
    <row r="1103" customHeight="1" spans="1:2">
      <c r="A1103" s="157"/>
      <c r="B1103" s="150"/>
    </row>
    <row r="1104" customHeight="1" spans="1:2">
      <c r="A1104" s="157"/>
      <c r="B1104" s="150"/>
    </row>
    <row r="1105" customHeight="1" spans="1:2">
      <c r="A1105" s="157"/>
      <c r="B1105" s="150"/>
    </row>
    <row r="1106" customHeight="1" spans="1:2">
      <c r="A1106" s="157"/>
      <c r="B1106" s="150"/>
    </row>
    <row r="1107" customHeight="1" spans="1:2">
      <c r="A1107" s="157"/>
      <c r="B1107" s="150"/>
    </row>
    <row r="1108" customHeight="1" spans="1:2">
      <c r="A1108" s="157"/>
      <c r="B1108" s="150"/>
    </row>
    <row r="1109" customHeight="1" spans="1:2">
      <c r="A1109" s="157"/>
      <c r="B1109" s="150"/>
    </row>
    <row r="1110" customHeight="1" spans="1:2">
      <c r="A1110" s="157"/>
      <c r="B1110" s="150"/>
    </row>
    <row r="1111" customHeight="1" spans="1:2">
      <c r="A1111" s="157"/>
      <c r="B1111" s="150"/>
    </row>
    <row r="1112" customHeight="1" spans="1:2">
      <c r="A1112" s="157"/>
      <c r="B1112" s="150"/>
    </row>
    <row r="1113" customHeight="1" spans="1:2">
      <c r="A1113" s="157"/>
      <c r="B1113" s="150"/>
    </row>
    <row r="1114" customHeight="1" spans="1:2">
      <c r="A1114" s="157"/>
      <c r="B1114" s="150"/>
    </row>
    <row r="1115" customHeight="1" spans="1:2">
      <c r="A1115" s="157"/>
      <c r="B1115" s="150"/>
    </row>
    <row r="1116" customHeight="1" spans="1:2">
      <c r="A1116" s="157"/>
      <c r="B1116" s="150"/>
    </row>
    <row r="1117" customHeight="1" spans="1:2">
      <c r="A1117" s="157"/>
      <c r="B1117" s="150"/>
    </row>
    <row r="1118" customHeight="1" spans="1:2">
      <c r="A1118" s="157"/>
      <c r="B1118" s="150"/>
    </row>
    <row r="1119" customHeight="1" spans="1:2">
      <c r="A1119" s="157"/>
      <c r="B1119" s="150"/>
    </row>
    <row r="1120" customHeight="1" spans="1:2">
      <c r="A1120" s="157"/>
      <c r="B1120" s="150"/>
    </row>
    <row r="1121" customHeight="1" spans="1:2">
      <c r="A1121" s="157"/>
      <c r="B1121" s="150"/>
    </row>
    <row r="1122" customHeight="1" spans="1:2">
      <c r="A1122" s="157"/>
      <c r="B1122" s="150"/>
    </row>
    <row r="1123" customHeight="1" spans="1:2">
      <c r="A1123" s="157"/>
      <c r="B1123" s="150"/>
    </row>
    <row r="1124" customHeight="1" spans="1:2">
      <c r="A1124" s="157"/>
      <c r="B1124" s="150"/>
    </row>
    <row r="1125" customHeight="1" spans="1:2">
      <c r="A1125" s="157"/>
      <c r="B1125" s="150"/>
    </row>
    <row r="1126" customHeight="1" spans="1:2">
      <c r="A1126" s="157"/>
      <c r="B1126" s="150"/>
    </row>
    <row r="1127" customHeight="1" spans="1:2">
      <c r="A1127" s="157"/>
      <c r="B1127" s="150"/>
    </row>
    <row r="1128" customHeight="1" spans="1:2">
      <c r="A1128" s="157"/>
      <c r="B1128" s="150"/>
    </row>
    <row r="1129" customHeight="1" spans="1:2">
      <c r="A1129" s="157"/>
      <c r="B1129" s="150"/>
    </row>
    <row r="1130" customHeight="1" spans="1:2">
      <c r="A1130" s="157"/>
      <c r="B1130" s="150"/>
    </row>
    <row r="1131" customHeight="1" spans="1:2">
      <c r="A1131" s="157"/>
      <c r="B1131" s="150"/>
    </row>
    <row r="1132" customHeight="1" spans="1:2">
      <c r="A1132" s="157"/>
      <c r="B1132" s="150"/>
    </row>
    <row r="1133" customHeight="1" spans="1:2">
      <c r="A1133" s="157"/>
      <c r="B1133" s="150"/>
    </row>
    <row r="1134" customHeight="1" spans="1:2">
      <c r="A1134" s="157"/>
      <c r="B1134" s="150"/>
    </row>
    <row r="1135" customHeight="1" spans="1:2">
      <c r="A1135" s="157"/>
      <c r="B1135" s="150"/>
    </row>
    <row r="1136" customHeight="1" spans="1:2">
      <c r="A1136" s="157"/>
      <c r="B1136" s="150"/>
    </row>
    <row r="1137" customHeight="1" spans="1:2">
      <c r="A1137" s="157"/>
      <c r="B1137" s="150"/>
    </row>
    <row r="1138" customHeight="1" spans="1:2">
      <c r="A1138" s="157"/>
      <c r="B1138" s="150"/>
    </row>
    <row r="1139" customHeight="1" spans="1:2">
      <c r="A1139" s="157"/>
      <c r="B1139" s="150"/>
    </row>
    <row r="1140" customHeight="1" spans="1:2">
      <c r="A1140" s="157"/>
      <c r="B1140" s="150"/>
    </row>
    <row r="1141" customHeight="1" spans="1:2">
      <c r="A1141" s="157"/>
      <c r="B1141" s="150"/>
    </row>
    <row r="1142" customHeight="1" spans="1:2">
      <c r="A1142" s="157"/>
      <c r="B1142" s="150"/>
    </row>
    <row r="1143" customHeight="1" spans="1:2">
      <c r="A1143" s="157"/>
      <c r="B1143" s="150"/>
    </row>
    <row r="1144" customHeight="1" spans="1:2">
      <c r="A1144" s="157"/>
      <c r="B1144" s="150"/>
    </row>
    <row r="1145" customHeight="1" spans="1:2">
      <c r="A1145" s="157"/>
      <c r="B1145" s="150"/>
    </row>
    <row r="1146" customHeight="1" spans="1:2">
      <c r="A1146" s="157"/>
      <c r="B1146" s="150"/>
    </row>
    <row r="1147" customHeight="1" spans="1:2">
      <c r="A1147" s="157"/>
      <c r="B1147" s="150"/>
    </row>
    <row r="1148" customHeight="1" spans="1:2">
      <c r="A1148" s="157"/>
      <c r="B1148" s="150"/>
    </row>
    <row r="1149" customHeight="1" spans="1:2">
      <c r="A1149" s="157"/>
      <c r="B1149" s="150"/>
    </row>
    <row r="1150" customHeight="1" spans="1:2">
      <c r="A1150" s="157"/>
      <c r="B1150" s="150"/>
    </row>
    <row r="1151" customHeight="1" spans="1:2">
      <c r="A1151" s="157"/>
      <c r="B1151" s="150"/>
    </row>
    <row r="1152" customHeight="1" spans="1:2">
      <c r="A1152" s="157"/>
      <c r="B1152" s="150"/>
    </row>
    <row r="1153" customHeight="1" spans="1:2">
      <c r="A1153" s="157"/>
      <c r="B1153" s="150"/>
    </row>
    <row r="1154" customHeight="1" spans="1:2">
      <c r="A1154" s="157"/>
      <c r="B1154" s="150"/>
    </row>
    <row r="1155" customHeight="1" spans="1:2">
      <c r="A1155" s="157"/>
      <c r="B1155" s="150"/>
    </row>
    <row r="1156" customHeight="1" spans="1:2">
      <c r="A1156" s="157"/>
      <c r="B1156" s="150"/>
    </row>
    <row r="1157" customHeight="1" spans="1:2">
      <c r="A1157" s="157"/>
      <c r="B1157" s="150"/>
    </row>
    <row r="1158" customHeight="1" spans="1:2">
      <c r="A1158" s="157"/>
      <c r="B1158" s="150"/>
    </row>
    <row r="1159" customHeight="1" spans="1:2">
      <c r="A1159" s="157"/>
      <c r="B1159" s="150"/>
    </row>
    <row r="1160" customHeight="1" spans="1:2">
      <c r="A1160" s="157"/>
      <c r="B1160" s="150"/>
    </row>
    <row r="1161" customHeight="1" spans="1:2">
      <c r="A1161" s="157"/>
      <c r="B1161" s="150"/>
    </row>
    <row r="1162" customHeight="1" spans="1:2">
      <c r="A1162" s="157"/>
      <c r="B1162" s="150"/>
    </row>
    <row r="1163" customHeight="1" spans="1:2">
      <c r="A1163" s="157"/>
      <c r="B1163" s="150"/>
    </row>
    <row r="1164" customHeight="1" spans="1:2">
      <c r="A1164" s="157"/>
      <c r="B1164" s="150"/>
    </row>
    <row r="1165" customHeight="1" spans="1:2">
      <c r="A1165" s="157"/>
      <c r="B1165" s="150"/>
    </row>
    <row r="1166" customHeight="1" spans="1:2">
      <c r="A1166" s="157"/>
      <c r="B1166" s="150"/>
    </row>
    <row r="1167" customHeight="1" spans="1:2">
      <c r="A1167" s="157"/>
      <c r="B1167" s="150"/>
    </row>
    <row r="1168" customHeight="1" spans="1:2">
      <c r="A1168" s="157"/>
      <c r="B1168" s="150"/>
    </row>
    <row r="1169" customHeight="1" spans="1:2">
      <c r="A1169" s="157"/>
      <c r="B1169" s="150"/>
    </row>
    <row r="1170" customHeight="1" spans="1:2">
      <c r="A1170" s="157"/>
      <c r="B1170" s="150"/>
    </row>
    <row r="1171" customHeight="1" spans="1:2">
      <c r="A1171" s="157"/>
      <c r="B1171" s="150"/>
    </row>
    <row r="1172" customHeight="1" spans="1:2">
      <c r="A1172" s="157"/>
      <c r="B1172" s="150"/>
    </row>
    <row r="1173" customHeight="1" spans="1:2">
      <c r="A1173" s="157"/>
      <c r="B1173" s="150"/>
    </row>
    <row r="1174" customHeight="1" spans="1:2">
      <c r="A1174" s="157"/>
      <c r="B1174" s="150"/>
    </row>
    <row r="1175" customHeight="1" spans="1:2">
      <c r="A1175" s="157"/>
      <c r="B1175" s="150"/>
    </row>
    <row r="1176" customHeight="1" spans="1:2">
      <c r="A1176" s="157"/>
      <c r="B1176" s="150"/>
    </row>
    <row r="1177" customHeight="1" spans="1:2">
      <c r="A1177" s="157"/>
      <c r="B1177" s="150"/>
    </row>
    <row r="1178" customHeight="1" spans="1:2">
      <c r="A1178" s="157"/>
      <c r="B1178" s="150"/>
    </row>
    <row r="1179" customHeight="1" spans="1:2">
      <c r="A1179" s="157"/>
      <c r="B1179" s="150"/>
    </row>
    <row r="1180" customHeight="1" spans="1:2">
      <c r="A1180" s="157"/>
      <c r="B1180" s="150"/>
    </row>
    <row r="1181" customHeight="1" spans="1:2">
      <c r="A1181" s="157"/>
      <c r="B1181" s="150"/>
    </row>
    <row r="1182" customHeight="1" spans="1:2">
      <c r="A1182" s="157"/>
      <c r="B1182" s="150"/>
    </row>
    <row r="1183" customHeight="1" spans="1:2">
      <c r="A1183" s="157"/>
      <c r="B1183" s="150"/>
    </row>
    <row r="1184" customHeight="1" spans="1:2">
      <c r="A1184" s="157"/>
      <c r="B1184" s="150"/>
    </row>
    <row r="1185" customHeight="1" spans="1:2">
      <c r="A1185" s="157"/>
      <c r="B1185" s="150"/>
    </row>
    <row r="1186" customHeight="1" spans="1:2">
      <c r="A1186" s="157"/>
      <c r="B1186" s="150"/>
    </row>
    <row r="1187" customHeight="1" spans="1:2">
      <c r="A1187" s="157"/>
      <c r="B1187" s="150"/>
    </row>
    <row r="1188" customHeight="1" spans="1:2">
      <c r="A1188" s="157"/>
      <c r="B1188" s="150"/>
    </row>
    <row r="1189" customHeight="1" spans="1:2">
      <c r="A1189" s="157"/>
      <c r="B1189" s="150"/>
    </row>
    <row r="1190" customHeight="1" spans="1:2">
      <c r="A1190" s="157"/>
      <c r="B1190" s="150"/>
    </row>
    <row r="1191" customHeight="1" spans="1:2">
      <c r="A1191" s="157"/>
      <c r="B1191" s="150"/>
    </row>
    <row r="1192" customHeight="1" spans="1:2">
      <c r="A1192" s="157"/>
      <c r="B1192" s="150"/>
    </row>
    <row r="1193" customHeight="1" spans="1:2">
      <c r="A1193" s="157"/>
      <c r="B1193" s="150"/>
    </row>
    <row r="1194" customHeight="1" spans="1:2">
      <c r="A1194" s="157"/>
      <c r="B1194" s="150"/>
    </row>
    <row r="1195" customHeight="1" spans="1:2">
      <c r="A1195" s="157"/>
      <c r="B1195" s="150"/>
    </row>
    <row r="1196" customHeight="1" spans="1:2">
      <c r="A1196" s="157"/>
      <c r="B1196" s="150"/>
    </row>
    <row r="1197" customHeight="1" spans="1:2">
      <c r="A1197" s="157"/>
      <c r="B1197" s="150"/>
    </row>
    <row r="1198" customHeight="1" spans="1:2">
      <c r="A1198" s="157"/>
      <c r="B1198" s="150"/>
    </row>
    <row r="1199" customHeight="1" spans="1:2">
      <c r="A1199" s="157"/>
      <c r="B1199" s="150"/>
    </row>
    <row r="1200" customHeight="1" spans="1:2">
      <c r="A1200" s="157"/>
      <c r="B1200" s="150"/>
    </row>
    <row r="1201" customHeight="1" spans="1:2">
      <c r="A1201" s="157"/>
      <c r="B1201" s="150"/>
    </row>
    <row r="1202" customHeight="1" spans="1:2">
      <c r="A1202" s="157"/>
      <c r="B1202" s="150"/>
    </row>
    <row r="1203" customHeight="1" spans="1:2">
      <c r="A1203" s="157"/>
      <c r="B1203" s="150"/>
    </row>
    <row r="1204" customHeight="1" spans="1:2">
      <c r="A1204" s="157"/>
      <c r="B1204" s="150"/>
    </row>
    <row r="1205" customHeight="1" spans="1:2">
      <c r="A1205" s="157"/>
      <c r="B1205" s="150"/>
    </row>
    <row r="1206" customHeight="1" spans="1:2">
      <c r="A1206" s="157"/>
      <c r="B1206" s="150"/>
    </row>
    <row r="1207" customHeight="1" spans="1:2">
      <c r="A1207" s="157"/>
      <c r="B1207" s="150"/>
    </row>
    <row r="1208" customHeight="1" spans="1:2">
      <c r="A1208" s="157"/>
      <c r="B1208" s="150"/>
    </row>
    <row r="1209" customHeight="1" spans="1:2">
      <c r="A1209" s="157"/>
      <c r="B1209" s="150"/>
    </row>
    <row r="1210" customHeight="1" spans="1:2">
      <c r="A1210" s="157"/>
      <c r="B1210" s="150"/>
    </row>
    <row r="1211" customHeight="1" spans="1:2">
      <c r="A1211" s="157"/>
      <c r="B1211" s="150"/>
    </row>
    <row r="1212" customHeight="1" spans="1:2">
      <c r="A1212" s="157"/>
      <c r="B1212" s="150"/>
    </row>
    <row r="1213" customHeight="1" spans="1:2">
      <c r="A1213" s="157"/>
      <c r="B1213" s="150"/>
    </row>
    <row r="1214" customHeight="1" spans="1:2">
      <c r="A1214" s="157"/>
      <c r="B1214" s="150"/>
    </row>
    <row r="1215" customHeight="1" spans="1:2">
      <c r="A1215" s="157"/>
      <c r="B1215" s="150"/>
    </row>
    <row r="1216" customHeight="1" spans="1:2">
      <c r="A1216" s="157"/>
      <c r="B1216" s="150"/>
    </row>
    <row r="1217" customHeight="1" spans="1:2">
      <c r="A1217" s="157"/>
      <c r="B1217" s="150"/>
    </row>
    <row r="1218" customHeight="1" spans="1:2">
      <c r="A1218" s="157"/>
      <c r="B1218" s="150"/>
    </row>
    <row r="1219" customHeight="1" spans="1:2">
      <c r="A1219" s="157"/>
      <c r="B1219" s="150"/>
    </row>
    <row r="1220" customHeight="1" spans="1:2">
      <c r="A1220" s="157"/>
      <c r="B1220" s="150"/>
    </row>
    <row r="1221" customHeight="1" spans="1:2">
      <c r="A1221" s="157"/>
      <c r="B1221" s="150"/>
    </row>
    <row r="1222" customHeight="1" spans="1:2">
      <c r="A1222" s="157"/>
      <c r="B1222" s="150"/>
    </row>
    <row r="1223" customHeight="1" spans="1:2">
      <c r="A1223" s="157"/>
      <c r="B1223" s="150"/>
    </row>
    <row r="1224" customHeight="1" spans="1:2">
      <c r="A1224" s="157"/>
      <c r="B1224" s="150"/>
    </row>
    <row r="1225" customHeight="1" spans="1:2">
      <c r="A1225" s="157"/>
      <c r="B1225" s="150"/>
    </row>
    <row r="1226" customHeight="1" spans="1:2">
      <c r="A1226" s="157"/>
      <c r="B1226" s="150"/>
    </row>
    <row r="1227" customHeight="1" spans="1:2">
      <c r="A1227" s="157"/>
      <c r="B1227" s="150"/>
    </row>
    <row r="1228" customHeight="1" spans="1:2">
      <c r="A1228" s="157"/>
      <c r="B1228" s="150"/>
    </row>
    <row r="1229" customHeight="1" spans="1:2">
      <c r="A1229" s="157"/>
      <c r="B1229" s="150"/>
    </row>
    <row r="1230" customHeight="1" spans="1:2">
      <c r="A1230" s="157"/>
      <c r="B1230" s="150"/>
    </row>
    <row r="1231" customHeight="1" spans="1:2">
      <c r="A1231" s="157"/>
      <c r="B1231" s="150"/>
    </row>
    <row r="1232" customHeight="1" spans="1:2">
      <c r="A1232" s="157"/>
      <c r="B1232" s="150"/>
    </row>
    <row r="1233" customHeight="1" spans="1:2">
      <c r="A1233" s="157"/>
      <c r="B1233" s="150"/>
    </row>
    <row r="1234" customHeight="1" spans="1:2">
      <c r="A1234" s="157"/>
      <c r="B1234" s="150"/>
    </row>
    <row r="1235" customHeight="1" spans="1:2">
      <c r="A1235" s="157"/>
      <c r="B1235" s="150"/>
    </row>
    <row r="1236" customHeight="1" spans="1:2">
      <c r="A1236" s="157"/>
      <c r="B1236" s="150"/>
    </row>
    <row r="1237" customHeight="1" spans="1:2">
      <c r="A1237" s="157"/>
      <c r="B1237" s="150"/>
    </row>
    <row r="1238" customHeight="1" spans="1:2">
      <c r="A1238" s="157"/>
      <c r="B1238" s="150"/>
    </row>
    <row r="1239" customHeight="1" spans="1:2">
      <c r="A1239" s="157"/>
      <c r="B1239" s="150"/>
    </row>
    <row r="1240" customHeight="1" spans="1:2">
      <c r="A1240" s="157"/>
      <c r="B1240" s="150"/>
    </row>
    <row r="1241" customHeight="1" spans="1:2">
      <c r="A1241" s="157"/>
      <c r="B1241" s="150"/>
    </row>
    <row r="1242" customHeight="1" spans="1:2">
      <c r="A1242" s="157"/>
      <c r="B1242" s="150"/>
    </row>
    <row r="1243" customHeight="1" spans="1:2">
      <c r="A1243" s="157"/>
      <c r="B1243" s="150"/>
    </row>
    <row r="1244" customHeight="1" spans="1:2">
      <c r="A1244" s="157"/>
      <c r="B1244" s="150"/>
    </row>
    <row r="1245" customHeight="1" spans="1:2">
      <c r="A1245" s="157"/>
      <c r="B1245" s="150"/>
    </row>
    <row r="1246" customHeight="1" spans="1:2">
      <c r="A1246" s="157"/>
      <c r="B1246" s="150"/>
    </row>
    <row r="1247" customHeight="1" spans="1:2">
      <c r="A1247" s="157"/>
      <c r="B1247" s="150"/>
    </row>
    <row r="1248" customHeight="1" spans="1:2">
      <c r="A1248" s="157"/>
      <c r="B1248" s="150"/>
    </row>
    <row r="1249" customHeight="1" spans="1:2">
      <c r="A1249" s="157"/>
      <c r="B1249" s="150"/>
    </row>
    <row r="1250" customHeight="1" spans="1:2">
      <c r="A1250" s="157"/>
      <c r="B1250" s="150"/>
    </row>
    <row r="1251" customHeight="1" spans="1:2">
      <c r="A1251" s="157"/>
      <c r="B1251" s="150"/>
    </row>
    <row r="1252" customHeight="1" spans="1:2">
      <c r="A1252" s="157"/>
      <c r="B1252" s="150"/>
    </row>
    <row r="1253" customHeight="1" spans="1:2">
      <c r="A1253" s="157"/>
      <c r="B1253" s="150"/>
    </row>
    <row r="1254" customHeight="1" spans="1:2">
      <c r="A1254" s="157"/>
      <c r="B1254" s="150"/>
    </row>
    <row r="1255" customHeight="1" spans="1:2">
      <c r="A1255" s="157"/>
      <c r="B1255" s="150"/>
    </row>
    <row r="1256" customHeight="1" spans="1:2">
      <c r="A1256" s="157"/>
      <c r="B1256" s="150"/>
    </row>
    <row r="1257" customHeight="1" spans="1:2">
      <c r="A1257" s="157"/>
      <c r="B1257" s="150"/>
    </row>
    <row r="1258" customHeight="1" spans="1:2">
      <c r="A1258" s="157"/>
      <c r="B1258" s="150"/>
    </row>
    <row r="1259" customHeight="1" spans="1:2">
      <c r="A1259" s="157"/>
      <c r="B1259" s="150"/>
    </row>
    <row r="1260" customHeight="1" spans="1:2">
      <c r="A1260" s="157"/>
      <c r="B1260" s="150"/>
    </row>
    <row r="1261" customHeight="1" spans="1:2">
      <c r="A1261" s="157"/>
      <c r="B1261" s="150"/>
    </row>
    <row r="1262" customHeight="1" spans="1:2">
      <c r="A1262" s="157"/>
      <c r="B1262" s="150"/>
    </row>
    <row r="1263" customHeight="1" spans="1:2">
      <c r="A1263" s="157"/>
      <c r="B1263" s="150"/>
    </row>
    <row r="1264" customHeight="1" spans="1:2">
      <c r="A1264" s="157"/>
      <c r="B1264" s="150"/>
    </row>
    <row r="1265" customHeight="1" spans="1:2">
      <c r="A1265" s="157"/>
      <c r="B1265" s="150"/>
    </row>
    <row r="1266" customHeight="1" spans="1:2">
      <c r="A1266" s="157"/>
      <c r="B1266" s="150"/>
    </row>
    <row r="1267" customHeight="1" spans="1:2">
      <c r="A1267" s="157"/>
      <c r="B1267" s="150"/>
    </row>
    <row r="1268" customHeight="1" spans="1:2">
      <c r="A1268" s="157"/>
      <c r="B1268" s="150"/>
    </row>
    <row r="1269" customHeight="1" spans="1:2">
      <c r="A1269" s="157"/>
      <c r="B1269" s="150"/>
    </row>
    <row r="1270" customHeight="1" spans="1:2">
      <c r="A1270" s="157"/>
      <c r="B1270" s="150"/>
    </row>
    <row r="1271" customHeight="1" spans="1:2">
      <c r="A1271" s="157"/>
      <c r="B1271" s="150"/>
    </row>
    <row r="1272" customHeight="1" spans="1:2">
      <c r="A1272" s="157"/>
      <c r="B1272" s="150"/>
    </row>
    <row r="1273" customHeight="1" spans="1:2">
      <c r="A1273" s="157"/>
      <c r="B1273" s="150"/>
    </row>
    <row r="1274" customHeight="1" spans="1:2">
      <c r="A1274" s="157"/>
      <c r="B1274" s="150"/>
    </row>
    <row r="1275" customHeight="1" spans="1:2">
      <c r="A1275" s="157"/>
      <c r="B1275" s="150"/>
    </row>
    <row r="1276" customHeight="1" spans="1:2">
      <c r="A1276" s="157"/>
      <c r="B1276" s="150"/>
    </row>
    <row r="1277" customHeight="1" spans="1:2">
      <c r="A1277" s="157"/>
      <c r="B1277" s="150"/>
    </row>
    <row r="1278" customHeight="1" spans="1:2">
      <c r="A1278" s="157"/>
      <c r="B1278" s="150"/>
    </row>
    <row r="1279" customHeight="1" spans="1:2">
      <c r="A1279" s="157"/>
      <c r="B1279" s="150"/>
    </row>
    <row r="1280" customHeight="1" spans="1:2">
      <c r="A1280" s="157"/>
      <c r="B1280" s="150"/>
    </row>
    <row r="1281" customHeight="1" spans="1:2">
      <c r="A1281" s="157"/>
      <c r="B1281" s="150"/>
    </row>
    <row r="1282" customHeight="1" spans="1:2">
      <c r="A1282" s="157"/>
      <c r="B1282" s="150"/>
    </row>
    <row r="1283" customHeight="1" spans="1:2">
      <c r="A1283" s="157"/>
      <c r="B1283" s="150"/>
    </row>
    <row r="1284" customHeight="1" spans="1:2">
      <c r="A1284" s="157"/>
      <c r="B1284" s="150"/>
    </row>
    <row r="1285" customHeight="1" spans="1:2">
      <c r="A1285" s="157"/>
      <c r="B1285" s="150"/>
    </row>
    <row r="1286" customHeight="1" spans="1:2">
      <c r="A1286" s="157"/>
      <c r="B1286" s="150"/>
    </row>
    <row r="1287" customHeight="1" spans="1:2">
      <c r="A1287" s="157"/>
      <c r="B1287" s="150"/>
    </row>
    <row r="1288" customHeight="1" spans="1:2">
      <c r="A1288" s="157"/>
      <c r="B1288" s="150"/>
    </row>
    <row r="1289" customHeight="1" spans="1:2">
      <c r="A1289" s="157"/>
      <c r="B1289" s="150"/>
    </row>
    <row r="1290" customHeight="1" spans="1:2">
      <c r="A1290" s="157"/>
      <c r="B1290" s="150"/>
    </row>
    <row r="1291" customHeight="1" spans="1:2">
      <c r="A1291" s="157"/>
      <c r="B1291" s="150"/>
    </row>
    <row r="1292" customHeight="1" spans="1:2">
      <c r="A1292" s="157"/>
      <c r="B1292" s="150"/>
    </row>
    <row r="1293" customHeight="1" spans="1:2">
      <c r="A1293" s="157"/>
      <c r="B1293" s="150"/>
    </row>
    <row r="1294" customHeight="1" spans="1:2">
      <c r="A1294" s="157"/>
      <c r="B1294" s="150"/>
    </row>
    <row r="1295" customHeight="1" spans="1:2">
      <c r="A1295" s="157"/>
      <c r="B1295" s="150"/>
    </row>
    <row r="1296" customHeight="1" spans="1:2">
      <c r="A1296" s="157"/>
      <c r="B1296" s="150"/>
    </row>
    <row r="1297" customHeight="1" spans="1:2">
      <c r="A1297" s="157"/>
      <c r="B1297" s="150"/>
    </row>
    <row r="1298" customHeight="1" spans="1:2">
      <c r="A1298" s="157"/>
      <c r="B1298" s="150"/>
    </row>
    <row r="1299" customHeight="1" spans="1:2">
      <c r="A1299" s="157"/>
      <c r="B1299" s="150"/>
    </row>
    <row r="1300" customHeight="1" spans="1:2">
      <c r="A1300" s="157"/>
      <c r="B1300" s="150"/>
    </row>
    <row r="1301" customHeight="1" spans="1:2">
      <c r="A1301" s="157"/>
      <c r="B1301" s="150"/>
    </row>
    <row r="1302" customHeight="1" spans="1:2">
      <c r="A1302" s="157"/>
      <c r="B1302" s="150"/>
    </row>
    <row r="1303" customHeight="1" spans="1:2">
      <c r="A1303" s="157"/>
      <c r="B1303" s="150"/>
    </row>
    <row r="1304" customHeight="1" spans="1:2">
      <c r="A1304" s="157"/>
      <c r="B1304" s="150"/>
    </row>
    <row r="1305" customHeight="1" spans="1:2">
      <c r="A1305" s="157"/>
      <c r="B1305" s="150"/>
    </row>
    <row r="1306" customHeight="1" spans="1:2">
      <c r="A1306" s="157"/>
      <c r="B1306" s="150"/>
    </row>
    <row r="1307" customHeight="1" spans="1:2">
      <c r="A1307" s="157"/>
      <c r="B1307" s="150"/>
    </row>
    <row r="1308" customHeight="1" spans="1:2">
      <c r="A1308" s="157"/>
      <c r="B1308" s="150"/>
    </row>
    <row r="1309" customHeight="1" spans="1:2">
      <c r="A1309" s="157"/>
      <c r="B1309" s="150"/>
    </row>
    <row r="1310" customHeight="1" spans="1:2">
      <c r="A1310" s="157"/>
      <c r="B1310" s="150"/>
    </row>
    <row r="1311" customHeight="1" spans="1:2">
      <c r="A1311" s="157"/>
      <c r="B1311" s="150"/>
    </row>
    <row r="1312" customHeight="1" spans="1:2">
      <c r="A1312" s="157"/>
      <c r="B1312" s="150"/>
    </row>
    <row r="1313" customHeight="1" spans="1:2">
      <c r="A1313" s="157"/>
      <c r="B1313" s="150"/>
    </row>
    <row r="1314" customHeight="1" spans="1:2">
      <c r="A1314" s="157"/>
      <c r="B1314" s="150"/>
    </row>
    <row r="1315" customHeight="1" spans="1:2">
      <c r="A1315" s="157"/>
      <c r="B1315" s="150"/>
    </row>
    <row r="1316" customHeight="1" spans="1:2">
      <c r="A1316" s="157"/>
      <c r="B1316" s="150"/>
    </row>
    <row r="1317" customHeight="1" spans="1:2">
      <c r="A1317" s="157"/>
      <c r="B1317" s="150"/>
    </row>
    <row r="1318" customHeight="1" spans="1:2">
      <c r="A1318" s="157"/>
      <c r="B1318" s="150"/>
    </row>
    <row r="1319" customHeight="1" spans="1:2">
      <c r="A1319" s="157"/>
      <c r="B1319" s="150"/>
    </row>
    <row r="1320" customHeight="1" spans="1:2">
      <c r="A1320" s="157"/>
      <c r="B1320" s="150"/>
    </row>
    <row r="1321" customHeight="1" spans="1:2">
      <c r="A1321" s="157"/>
      <c r="B1321" s="150"/>
    </row>
    <row r="1322" customHeight="1" spans="1:2">
      <c r="A1322" s="157"/>
      <c r="B1322" s="150"/>
    </row>
    <row r="1323" customHeight="1" spans="1:2">
      <c r="A1323" s="157"/>
      <c r="B1323" s="150"/>
    </row>
    <row r="1324" customHeight="1" spans="1:2">
      <c r="A1324" s="157"/>
      <c r="B1324" s="150"/>
    </row>
    <row r="1325" customHeight="1" spans="1:2">
      <c r="A1325" s="157"/>
      <c r="B1325" s="150"/>
    </row>
    <row r="1326" customHeight="1" spans="1:2">
      <c r="A1326" s="157"/>
      <c r="B1326" s="150"/>
    </row>
    <row r="1327" customHeight="1" spans="1:2">
      <c r="A1327" s="157"/>
      <c r="B1327" s="150"/>
    </row>
    <row r="1328" customHeight="1" spans="1:2">
      <c r="A1328" s="157"/>
      <c r="B1328" s="150"/>
    </row>
    <row r="1329" customHeight="1" spans="1:2">
      <c r="A1329" s="157"/>
      <c r="B1329" s="150"/>
    </row>
    <row r="1330" customHeight="1" spans="1:2">
      <c r="A1330" s="157"/>
      <c r="B1330" s="150"/>
    </row>
    <row r="1331" customHeight="1" spans="1:2">
      <c r="A1331" s="157"/>
      <c r="B1331" s="150"/>
    </row>
    <row r="1332" customHeight="1" spans="1:2">
      <c r="A1332" s="157"/>
      <c r="B1332" s="150"/>
    </row>
    <row r="1333" customHeight="1" spans="1:2">
      <c r="A1333" s="157"/>
      <c r="B1333" s="150"/>
    </row>
    <row r="1334" customHeight="1" spans="1:2">
      <c r="A1334" s="157"/>
      <c r="B1334" s="150"/>
    </row>
    <row r="1335" customHeight="1" spans="1:2">
      <c r="A1335" s="157"/>
      <c r="B1335" s="150"/>
    </row>
    <row r="1336" customHeight="1" spans="1:2">
      <c r="A1336" s="157"/>
      <c r="B1336" s="150"/>
    </row>
    <row r="1337" customHeight="1" spans="1:2">
      <c r="A1337" s="157"/>
      <c r="B1337" s="150"/>
    </row>
    <row r="1338" customHeight="1" spans="1:2">
      <c r="A1338" s="157"/>
      <c r="B1338" s="150"/>
    </row>
    <row r="1339" customHeight="1" spans="1:2">
      <c r="A1339" s="157"/>
      <c r="B1339" s="150"/>
    </row>
    <row r="1340" customHeight="1" spans="1:2">
      <c r="A1340" s="157"/>
      <c r="B1340" s="150"/>
    </row>
    <row r="1341" customHeight="1" spans="1:2">
      <c r="A1341" s="157"/>
      <c r="B1341" s="150"/>
    </row>
    <row r="1342" customHeight="1" spans="1:2">
      <c r="A1342" s="157"/>
      <c r="B1342" s="150"/>
    </row>
    <row r="1343" customHeight="1" spans="1:2">
      <c r="A1343" s="157"/>
      <c r="B1343" s="150"/>
    </row>
    <row r="1344" customHeight="1" spans="1:2">
      <c r="A1344" s="157"/>
      <c r="B1344" s="150"/>
    </row>
    <row r="1345" customHeight="1" spans="1:2">
      <c r="A1345" s="157"/>
      <c r="B1345" s="150"/>
    </row>
    <row r="1346" customHeight="1" spans="1:2">
      <c r="A1346" s="157"/>
      <c r="B1346" s="150"/>
    </row>
    <row r="1347" customHeight="1" spans="1:2">
      <c r="A1347" s="157"/>
      <c r="B1347" s="150"/>
    </row>
    <row r="1348" customHeight="1" spans="1:2">
      <c r="A1348" s="157"/>
      <c r="B1348" s="150"/>
    </row>
    <row r="1349" customHeight="1" spans="1:2">
      <c r="A1349" s="157"/>
      <c r="B1349" s="150"/>
    </row>
    <row r="1350" customHeight="1" spans="1:2">
      <c r="A1350" s="157"/>
      <c r="B1350" s="150"/>
    </row>
    <row r="1351" customHeight="1" spans="1:2">
      <c r="A1351" s="157"/>
      <c r="B1351" s="150"/>
    </row>
    <row r="1352" customHeight="1" spans="1:2">
      <c r="A1352" s="157"/>
      <c r="B1352" s="150"/>
    </row>
    <row r="1353" customHeight="1" spans="1:2">
      <c r="A1353" s="157"/>
      <c r="B1353" s="150"/>
    </row>
    <row r="1354" customHeight="1" spans="1:2">
      <c r="A1354" s="157"/>
      <c r="B1354" s="150"/>
    </row>
    <row r="1355" customHeight="1" spans="1:2">
      <c r="A1355" s="157"/>
      <c r="B1355" s="150"/>
    </row>
    <row r="1356" customHeight="1" spans="1:2">
      <c r="A1356" s="157"/>
      <c r="B1356" s="150"/>
    </row>
    <row r="1357" customHeight="1" spans="1:2">
      <c r="A1357" s="157"/>
      <c r="B1357" s="150"/>
    </row>
    <row r="1358" customHeight="1" spans="1:2">
      <c r="A1358" s="157"/>
      <c r="B1358" s="150"/>
    </row>
    <row r="1359" customHeight="1" spans="1:2">
      <c r="A1359" s="157"/>
      <c r="B1359" s="150"/>
    </row>
    <row r="1360" customHeight="1" spans="1:2">
      <c r="A1360" s="157"/>
      <c r="B1360" s="150"/>
    </row>
    <row r="1361" customHeight="1" spans="1:2">
      <c r="A1361" s="157"/>
      <c r="B1361" s="150"/>
    </row>
    <row r="1362" customHeight="1" spans="1:2">
      <c r="A1362" s="157"/>
      <c r="B1362" s="150"/>
    </row>
    <row r="1363" customHeight="1" spans="1:2">
      <c r="A1363" s="157"/>
      <c r="B1363" s="150"/>
    </row>
    <row r="1364" customHeight="1" spans="1:2">
      <c r="A1364" s="157"/>
      <c r="B1364" s="150"/>
    </row>
    <row r="1365" customHeight="1" spans="1:2">
      <c r="A1365" s="157"/>
      <c r="B1365" s="150"/>
    </row>
    <row r="1366" customHeight="1" spans="1:2">
      <c r="A1366" s="157"/>
      <c r="B1366" s="150"/>
    </row>
    <row r="1367" customHeight="1" spans="1:2">
      <c r="A1367" s="157"/>
      <c r="B1367" s="150"/>
    </row>
    <row r="1368" customHeight="1" spans="1:2">
      <c r="A1368" s="157"/>
      <c r="B1368" s="150"/>
    </row>
    <row r="1369" customHeight="1" spans="1:2">
      <c r="A1369" s="157"/>
      <c r="B1369" s="150"/>
    </row>
    <row r="1370" customHeight="1" spans="1:2">
      <c r="A1370" s="157"/>
      <c r="B1370" s="150"/>
    </row>
    <row r="1371" customHeight="1" spans="1:2">
      <c r="A1371" s="157"/>
      <c r="B1371" s="150"/>
    </row>
    <row r="1372" customHeight="1" spans="1:2">
      <c r="A1372" s="157"/>
      <c r="B1372" s="150"/>
    </row>
    <row r="1373" customHeight="1" spans="1:2">
      <c r="A1373" s="157"/>
      <c r="B1373" s="150"/>
    </row>
    <row r="1374" customHeight="1" spans="1:2">
      <c r="A1374" s="157"/>
      <c r="B1374" s="150"/>
    </row>
    <row r="1375" customHeight="1" spans="1:2">
      <c r="A1375" s="157"/>
      <c r="B1375" s="150"/>
    </row>
    <row r="1376" customHeight="1" spans="1:2">
      <c r="A1376" s="157"/>
      <c r="B1376" s="150"/>
    </row>
    <row r="1377" customHeight="1" spans="1:2">
      <c r="A1377" s="157"/>
      <c r="B1377" s="150"/>
    </row>
    <row r="1378" customHeight="1" spans="1:2">
      <c r="A1378" s="157"/>
      <c r="B1378" s="150"/>
    </row>
    <row r="1379" customHeight="1" spans="1:2">
      <c r="A1379" s="157"/>
      <c r="B1379" s="150"/>
    </row>
    <row r="1380" customHeight="1" spans="1:2">
      <c r="A1380" s="157"/>
      <c r="B1380" s="150"/>
    </row>
    <row r="1381" customHeight="1" spans="1:2">
      <c r="A1381" s="157"/>
      <c r="B1381" s="150"/>
    </row>
    <row r="1382" customHeight="1" spans="1:2">
      <c r="A1382" s="157"/>
      <c r="B1382" s="150"/>
    </row>
    <row r="1383" customHeight="1" spans="1:2">
      <c r="A1383" s="157"/>
      <c r="B1383" s="150"/>
    </row>
    <row r="1384" customHeight="1" spans="1:2">
      <c r="A1384" s="157"/>
      <c r="B1384" s="150"/>
    </row>
    <row r="1385" customHeight="1" spans="1:2">
      <c r="A1385" s="157"/>
      <c r="B1385" s="150"/>
    </row>
    <row r="1386" customHeight="1" spans="1:2">
      <c r="A1386" s="157"/>
      <c r="B1386" s="150"/>
    </row>
    <row r="1387" customHeight="1" spans="1:2">
      <c r="A1387" s="157"/>
      <c r="B1387" s="150"/>
    </row>
    <row r="1388" customHeight="1" spans="1:2">
      <c r="A1388" s="157"/>
      <c r="B1388" s="150"/>
    </row>
    <row r="1389" customHeight="1" spans="1:2">
      <c r="A1389" s="157"/>
      <c r="B1389" s="150"/>
    </row>
    <row r="1390" customHeight="1" spans="1:2">
      <c r="A1390" s="157"/>
      <c r="B1390" s="150"/>
    </row>
    <row r="1391" customHeight="1" spans="1:2">
      <c r="A1391" s="157"/>
      <c r="B1391" s="150"/>
    </row>
    <row r="1392" customHeight="1" spans="1:2">
      <c r="A1392" s="157"/>
      <c r="B1392" s="150"/>
    </row>
    <row r="1393" customHeight="1" spans="1:2">
      <c r="A1393" s="157"/>
      <c r="B1393" s="150"/>
    </row>
    <row r="1394" customHeight="1" spans="1:2">
      <c r="A1394" s="157"/>
      <c r="B1394" s="150"/>
    </row>
    <row r="1395" customHeight="1" spans="1:2">
      <c r="A1395" s="157"/>
      <c r="B1395" s="150"/>
    </row>
    <row r="1396" customHeight="1" spans="1:2">
      <c r="A1396" s="157"/>
      <c r="B1396" s="150"/>
    </row>
    <row r="1397" customHeight="1" spans="1:2">
      <c r="A1397" s="157"/>
      <c r="B1397" s="150"/>
    </row>
    <row r="1398" customHeight="1" spans="1:2">
      <c r="A1398" s="157"/>
      <c r="B1398" s="150"/>
    </row>
    <row r="1399" customHeight="1" spans="1:2">
      <c r="A1399" s="157"/>
      <c r="B1399" s="150"/>
    </row>
    <row r="1400" customHeight="1" spans="1:2">
      <c r="A1400" s="157"/>
      <c r="B1400" s="150"/>
    </row>
    <row r="1401" customHeight="1" spans="1:2">
      <c r="A1401" s="157"/>
      <c r="B1401" s="150"/>
    </row>
    <row r="1402" customHeight="1" spans="1:2">
      <c r="A1402" s="157"/>
      <c r="B1402" s="150"/>
    </row>
    <row r="1403" customHeight="1" spans="1:2">
      <c r="A1403" s="157"/>
      <c r="B1403" s="150"/>
    </row>
    <row r="1404" customHeight="1" spans="1:2">
      <c r="A1404" s="157"/>
      <c r="B1404" s="150"/>
    </row>
    <row r="1405" customHeight="1" spans="1:2">
      <c r="A1405" s="157"/>
      <c r="B1405" s="150"/>
    </row>
    <row r="1406" customHeight="1" spans="1:2">
      <c r="A1406" s="157"/>
      <c r="B1406" s="150"/>
    </row>
    <row r="1407" customHeight="1" spans="1:2">
      <c r="A1407" s="157"/>
      <c r="B1407" s="150"/>
    </row>
    <row r="1408" customHeight="1" spans="1:2">
      <c r="A1408" s="157"/>
      <c r="B1408" s="150"/>
    </row>
    <row r="1409" customHeight="1" spans="1:2">
      <c r="A1409" s="157"/>
      <c r="B1409" s="150"/>
    </row>
    <row r="1410" customHeight="1" spans="1:2">
      <c r="A1410" s="157"/>
      <c r="B1410" s="150"/>
    </row>
    <row r="1411" customHeight="1" spans="1:2">
      <c r="A1411" s="157"/>
      <c r="B1411" s="150"/>
    </row>
    <row r="1412" customHeight="1" spans="1:2">
      <c r="A1412" s="157"/>
      <c r="B1412" s="150"/>
    </row>
    <row r="1413" customHeight="1" spans="1:2">
      <c r="A1413" s="157"/>
      <c r="B1413" s="150"/>
    </row>
    <row r="1414" customHeight="1" spans="1:2">
      <c r="A1414" s="157"/>
      <c r="B1414" s="150"/>
    </row>
    <row r="1415" customHeight="1" spans="1:2">
      <c r="A1415" s="157"/>
      <c r="B1415" s="150"/>
    </row>
    <row r="1416" customHeight="1" spans="1:2">
      <c r="A1416" s="157"/>
      <c r="B1416" s="150"/>
    </row>
    <row r="1417" customHeight="1" spans="1:2">
      <c r="A1417" s="157"/>
      <c r="B1417" s="150"/>
    </row>
    <row r="1418" customHeight="1" spans="1:2">
      <c r="A1418" s="157"/>
      <c r="B1418" s="150"/>
    </row>
    <row r="1419" customHeight="1" spans="1:2">
      <c r="A1419" s="157"/>
      <c r="B1419" s="150"/>
    </row>
    <row r="1420" customHeight="1" spans="1:2">
      <c r="A1420" s="157"/>
      <c r="B1420" s="150"/>
    </row>
    <row r="1421" customHeight="1" spans="1:2">
      <c r="A1421" s="157"/>
      <c r="B1421" s="150"/>
    </row>
    <row r="1422" customHeight="1" spans="1:2">
      <c r="A1422" s="157"/>
      <c r="B1422" s="150"/>
    </row>
    <row r="1423" customHeight="1" spans="1:2">
      <c r="A1423" s="157"/>
      <c r="B1423" s="150"/>
    </row>
    <row r="1424" customHeight="1" spans="1:2">
      <c r="A1424" s="157"/>
      <c r="B1424" s="150"/>
    </row>
    <row r="1425" customHeight="1" spans="1:2">
      <c r="A1425" s="157"/>
      <c r="B1425" s="150"/>
    </row>
    <row r="1426" customHeight="1" spans="1:2">
      <c r="A1426" s="157"/>
      <c r="B1426" s="150"/>
    </row>
    <row r="1427" customHeight="1" spans="1:2">
      <c r="A1427" s="157"/>
      <c r="B1427" s="150"/>
    </row>
    <row r="1428" customHeight="1" spans="1:2">
      <c r="A1428" s="157"/>
      <c r="B1428" s="150"/>
    </row>
    <row r="1429" customHeight="1" spans="1:2">
      <c r="A1429" s="157"/>
      <c r="B1429" s="150"/>
    </row>
    <row r="1430" customHeight="1" spans="1:2">
      <c r="A1430" s="157"/>
      <c r="B1430" s="150"/>
    </row>
    <row r="1431" customHeight="1" spans="1:2">
      <c r="A1431" s="157"/>
      <c r="B1431" s="150"/>
    </row>
    <row r="1432" customHeight="1" spans="1:2">
      <c r="A1432" s="157"/>
      <c r="B1432" s="150"/>
    </row>
    <row r="1433" customHeight="1" spans="1:2">
      <c r="A1433" s="157"/>
      <c r="B1433" s="150"/>
    </row>
    <row r="1434" customHeight="1" spans="1:2">
      <c r="A1434" s="157"/>
      <c r="B1434" s="150"/>
    </row>
    <row r="1435" customHeight="1" spans="1:2">
      <c r="A1435" s="157"/>
      <c r="B1435" s="150"/>
    </row>
    <row r="1436" customHeight="1" spans="1:2">
      <c r="A1436" s="157"/>
      <c r="B1436" s="150"/>
    </row>
    <row r="1437" customHeight="1" spans="1:2">
      <c r="A1437" s="157"/>
      <c r="B1437" s="150"/>
    </row>
    <row r="1438" customHeight="1" spans="1:2">
      <c r="A1438" s="157"/>
      <c r="B1438" s="150"/>
    </row>
    <row r="1439" customHeight="1" spans="1:2">
      <c r="A1439" s="157"/>
      <c r="B1439" s="150"/>
    </row>
    <row r="1440" customHeight="1" spans="1:2">
      <c r="A1440" s="157"/>
      <c r="B1440" s="150"/>
    </row>
    <row r="1441" customHeight="1" spans="1:2">
      <c r="A1441" s="157"/>
      <c r="B1441" s="150"/>
    </row>
    <row r="1442" customHeight="1" spans="1:2">
      <c r="A1442" s="157"/>
      <c r="B1442" s="150"/>
    </row>
    <row r="1443" customHeight="1" spans="1:2">
      <c r="A1443" s="157"/>
      <c r="B1443" s="150"/>
    </row>
    <row r="1444" customHeight="1" spans="1:2">
      <c r="A1444" s="157"/>
      <c r="B1444" s="150"/>
    </row>
    <row r="1445" customHeight="1" spans="1:2">
      <c r="A1445" s="157"/>
      <c r="B1445" s="150"/>
    </row>
    <row r="1446" customHeight="1" spans="1:2">
      <c r="A1446" s="157"/>
      <c r="B1446" s="150"/>
    </row>
    <row r="1447" customHeight="1" spans="1:2">
      <c r="A1447" s="157"/>
      <c r="B1447" s="150"/>
    </row>
    <row r="1448" customHeight="1" spans="1:2">
      <c r="A1448" s="157"/>
      <c r="B1448" s="150"/>
    </row>
    <row r="1449" customHeight="1" spans="1:2">
      <c r="A1449" s="157"/>
      <c r="B1449" s="150"/>
    </row>
    <row r="1450" customHeight="1" spans="1:2">
      <c r="A1450" s="157"/>
      <c r="B1450" s="150"/>
    </row>
    <row r="1451" customHeight="1" spans="1:2">
      <c r="A1451" s="157"/>
      <c r="B1451" s="150"/>
    </row>
    <row r="1452" customHeight="1" spans="1:2">
      <c r="A1452" s="157"/>
      <c r="B1452" s="150"/>
    </row>
    <row r="1453" customHeight="1" spans="1:2">
      <c r="A1453" s="157"/>
      <c r="B1453" s="150"/>
    </row>
    <row r="1454" customHeight="1" spans="1:2">
      <c r="A1454" s="157"/>
      <c r="B1454" s="150"/>
    </row>
    <row r="1455" customHeight="1" spans="1:2">
      <c r="A1455" s="157"/>
      <c r="B1455" s="150"/>
    </row>
    <row r="1456" customHeight="1" spans="1:2">
      <c r="A1456" s="157"/>
      <c r="B1456" s="150"/>
    </row>
    <row r="1457" customHeight="1" spans="1:2">
      <c r="A1457" s="157"/>
      <c r="B1457" s="150"/>
    </row>
    <row r="1458" customHeight="1" spans="1:2">
      <c r="A1458" s="157"/>
      <c r="B1458" s="150"/>
    </row>
    <row r="1459" customHeight="1" spans="1:2">
      <c r="A1459" s="157"/>
      <c r="B1459" s="150"/>
    </row>
    <row r="1460" customHeight="1" spans="1:2">
      <c r="A1460" s="157"/>
      <c r="B1460" s="150"/>
    </row>
    <row r="1461" customHeight="1" spans="1:2">
      <c r="A1461" s="157"/>
      <c r="B1461" s="150"/>
    </row>
    <row r="1462" customHeight="1" spans="1:2">
      <c r="A1462" s="157"/>
      <c r="B1462" s="150"/>
    </row>
    <row r="1463" customHeight="1" spans="1:2">
      <c r="A1463" s="157"/>
      <c r="B1463" s="150"/>
    </row>
    <row r="1464" customHeight="1" spans="1:2">
      <c r="A1464" s="157"/>
      <c r="B1464" s="150"/>
    </row>
    <row r="1465" customHeight="1" spans="1:2">
      <c r="A1465" s="157"/>
      <c r="B1465" s="150"/>
    </row>
    <row r="1466" customHeight="1" spans="1:2">
      <c r="A1466" s="157"/>
      <c r="B1466" s="150"/>
    </row>
    <row r="1467" customHeight="1" spans="1:2">
      <c r="A1467" s="157"/>
      <c r="B1467" s="150"/>
    </row>
    <row r="1468" customHeight="1" spans="1:2">
      <c r="A1468" s="157"/>
      <c r="B1468" s="150"/>
    </row>
    <row r="1469" customHeight="1" spans="1:2">
      <c r="A1469" s="157"/>
      <c r="B1469" s="150"/>
    </row>
    <row r="1470" customHeight="1" spans="1:2">
      <c r="A1470" s="157"/>
      <c r="B1470" s="150"/>
    </row>
    <row r="1471" customHeight="1" spans="1:2">
      <c r="A1471" s="157"/>
      <c r="B1471" s="150"/>
    </row>
    <row r="1472" customHeight="1" spans="1:2">
      <c r="A1472" s="157"/>
      <c r="B1472" s="150"/>
    </row>
    <row r="1473" customHeight="1" spans="1:2">
      <c r="A1473" s="157"/>
      <c r="B1473" s="150"/>
    </row>
    <row r="1474" customHeight="1" spans="1:2">
      <c r="A1474" s="157"/>
      <c r="B1474" s="150"/>
    </row>
    <row r="1475" customHeight="1" spans="1:2">
      <c r="A1475" s="157"/>
      <c r="B1475" s="150"/>
    </row>
    <row r="1476" customHeight="1" spans="1:2">
      <c r="A1476" s="157"/>
      <c r="B1476" s="150"/>
    </row>
    <row r="1477" customHeight="1" spans="1:2">
      <c r="A1477" s="157"/>
      <c r="B1477" s="150"/>
    </row>
    <row r="1478" customHeight="1" spans="1:2">
      <c r="A1478" s="157"/>
      <c r="B1478" s="150"/>
    </row>
    <row r="1479" customHeight="1" spans="1:2">
      <c r="A1479" s="157"/>
      <c r="B1479" s="150"/>
    </row>
    <row r="1480" customHeight="1" spans="1:2">
      <c r="A1480" s="157"/>
      <c r="B1480" s="150"/>
    </row>
    <row r="1481" customHeight="1" spans="1:2">
      <c r="A1481" s="157"/>
      <c r="B1481" s="150"/>
    </row>
    <row r="1482" customHeight="1" spans="1:2">
      <c r="A1482" s="157"/>
      <c r="B1482" s="150"/>
    </row>
    <row r="1483" customHeight="1" spans="1:2">
      <c r="A1483" s="157"/>
      <c r="B1483" s="150"/>
    </row>
    <row r="1484" customHeight="1" spans="1:2">
      <c r="A1484" s="157"/>
      <c r="B1484" s="150"/>
    </row>
    <row r="1485" customHeight="1" spans="1:2">
      <c r="A1485" s="157"/>
      <c r="B1485" s="150"/>
    </row>
    <row r="1486" customHeight="1" spans="1:2">
      <c r="A1486" s="157"/>
      <c r="B1486" s="150"/>
    </row>
    <row r="1487" customHeight="1" spans="1:2">
      <c r="A1487" s="157"/>
      <c r="B1487" s="150"/>
    </row>
    <row r="1488" customHeight="1" spans="1:2">
      <c r="A1488" s="157"/>
      <c r="B1488" s="150"/>
    </row>
    <row r="1489" customHeight="1" spans="1:2">
      <c r="A1489" s="157"/>
      <c r="B1489" s="150"/>
    </row>
    <row r="1490" customHeight="1" spans="1:2">
      <c r="A1490" s="157"/>
      <c r="B1490" s="150"/>
    </row>
    <row r="1491" customHeight="1" spans="1:2">
      <c r="A1491" s="157"/>
      <c r="B1491" s="150"/>
    </row>
    <row r="1492" customHeight="1" spans="1:2">
      <c r="A1492" s="157"/>
      <c r="B1492" s="150"/>
    </row>
    <row r="1493" customHeight="1" spans="1:2">
      <c r="A1493" s="157"/>
      <c r="B1493" s="150"/>
    </row>
    <row r="1494" customHeight="1" spans="1:2">
      <c r="A1494" s="157"/>
      <c r="B1494" s="150"/>
    </row>
    <row r="1495" customHeight="1" spans="1:2">
      <c r="A1495" s="157"/>
      <c r="B1495" s="150"/>
    </row>
    <row r="1496" customHeight="1" spans="1:2">
      <c r="A1496" s="157"/>
      <c r="B1496" s="150"/>
    </row>
    <row r="1497" customHeight="1" spans="1:2">
      <c r="A1497" s="157"/>
      <c r="B1497" s="150"/>
    </row>
    <row r="1498" customHeight="1" spans="1:2">
      <c r="A1498" s="157"/>
      <c r="B1498" s="150"/>
    </row>
    <row r="1499" customHeight="1" spans="1:2">
      <c r="A1499" s="157"/>
      <c r="B1499" s="150"/>
    </row>
    <row r="1500" customHeight="1" spans="1:2">
      <c r="A1500" s="157"/>
      <c r="B1500" s="150"/>
    </row>
    <row r="1501" customHeight="1" spans="1:2">
      <c r="A1501" s="157"/>
      <c r="B1501" s="150"/>
    </row>
    <row r="1502" customHeight="1" spans="1:2">
      <c r="A1502" s="157"/>
      <c r="B1502" s="150"/>
    </row>
    <row r="1503" customHeight="1" spans="1:2">
      <c r="A1503" s="157"/>
      <c r="B1503" s="150"/>
    </row>
    <row r="1504" customHeight="1" spans="1:2">
      <c r="A1504" s="157"/>
      <c r="B1504" s="150"/>
    </row>
    <row r="1505" customHeight="1" spans="1:2">
      <c r="A1505" s="157"/>
      <c r="B1505" s="150"/>
    </row>
    <row r="1506" customHeight="1" spans="1:2">
      <c r="A1506" s="157"/>
      <c r="B1506" s="150"/>
    </row>
    <row r="1507" customHeight="1" spans="1:2">
      <c r="A1507" s="157"/>
      <c r="B1507" s="150"/>
    </row>
    <row r="1508" customHeight="1" spans="1:2">
      <c r="A1508" s="157"/>
      <c r="B1508" s="150"/>
    </row>
    <row r="1509" customHeight="1" spans="1:2">
      <c r="A1509" s="157"/>
      <c r="B1509" s="150"/>
    </row>
    <row r="1510" customHeight="1" spans="1:2">
      <c r="A1510" s="157"/>
      <c r="B1510" s="150"/>
    </row>
    <row r="1511" customHeight="1" spans="1:2">
      <c r="A1511" s="157"/>
      <c r="B1511" s="150"/>
    </row>
    <row r="1512" customHeight="1" spans="1:2">
      <c r="A1512" s="157"/>
      <c r="B1512" s="150"/>
    </row>
    <row r="1513" customHeight="1" spans="1:2">
      <c r="A1513" s="157"/>
      <c r="B1513" s="150"/>
    </row>
    <row r="1514" customHeight="1" spans="1:2">
      <c r="A1514" s="157"/>
      <c r="B1514" s="150"/>
    </row>
    <row r="1515" customHeight="1" spans="1:2">
      <c r="A1515" s="157"/>
      <c r="B1515" s="150"/>
    </row>
    <row r="1516" customHeight="1" spans="1:2">
      <c r="A1516" s="157"/>
      <c r="B1516" s="150"/>
    </row>
    <row r="1517" customHeight="1" spans="1:2">
      <c r="A1517" s="157"/>
      <c r="B1517" s="150"/>
    </row>
    <row r="1518" customHeight="1" spans="1:2">
      <c r="A1518" s="157"/>
      <c r="B1518" s="150"/>
    </row>
    <row r="1519" customHeight="1" spans="1:2">
      <c r="A1519" s="157"/>
      <c r="B1519" s="150"/>
    </row>
    <row r="1520" customHeight="1" spans="1:2">
      <c r="A1520" s="157"/>
      <c r="B1520" s="150"/>
    </row>
    <row r="1521" customHeight="1" spans="1:2">
      <c r="A1521" s="157"/>
      <c r="B1521" s="150"/>
    </row>
    <row r="1522" customHeight="1" spans="1:2">
      <c r="A1522" s="157"/>
      <c r="B1522" s="150"/>
    </row>
    <row r="1523" customHeight="1" spans="1:2">
      <c r="A1523" s="157"/>
      <c r="B1523" s="150"/>
    </row>
    <row r="1524" customHeight="1" spans="1:2">
      <c r="A1524" s="157"/>
      <c r="B1524" s="150"/>
    </row>
    <row r="1525" customHeight="1" spans="1:2">
      <c r="A1525" s="157"/>
      <c r="B1525" s="150"/>
    </row>
    <row r="1526" customHeight="1" spans="1:2">
      <c r="A1526" s="157"/>
      <c r="B1526" s="150"/>
    </row>
    <row r="1527" customHeight="1" spans="1:2">
      <c r="A1527" s="157"/>
      <c r="B1527" s="150"/>
    </row>
    <row r="1528" customHeight="1" spans="1:2">
      <c r="A1528" s="157"/>
      <c r="B1528" s="150"/>
    </row>
    <row r="1529" customHeight="1" spans="1:2">
      <c r="A1529" s="157"/>
      <c r="B1529" s="150"/>
    </row>
    <row r="1530" customHeight="1" spans="1:2">
      <c r="A1530" s="157"/>
      <c r="B1530" s="150"/>
    </row>
    <row r="1531" customHeight="1" spans="1:2">
      <c r="A1531" s="157"/>
      <c r="B1531" s="150"/>
    </row>
    <row r="1532" customHeight="1" spans="1:2">
      <c r="A1532" s="157"/>
      <c r="B1532" s="150"/>
    </row>
    <row r="1533" customHeight="1" spans="1:2">
      <c r="A1533" s="157"/>
      <c r="B1533" s="150"/>
    </row>
    <row r="1534" customHeight="1" spans="1:2">
      <c r="A1534" s="157"/>
      <c r="B1534" s="150"/>
    </row>
    <row r="1535" customHeight="1" spans="1:2">
      <c r="A1535" s="157"/>
      <c r="B1535" s="150"/>
    </row>
    <row r="1536" customHeight="1" spans="1:2">
      <c r="A1536" s="157"/>
      <c r="B1536" s="150"/>
    </row>
    <row r="1537" customHeight="1" spans="1:2">
      <c r="A1537" s="157"/>
      <c r="B1537" s="150"/>
    </row>
    <row r="1538" customHeight="1" spans="1:2">
      <c r="A1538" s="157"/>
      <c r="B1538" s="150"/>
    </row>
    <row r="1539" customHeight="1" spans="1:2">
      <c r="A1539" s="157"/>
      <c r="B1539" s="150"/>
    </row>
    <row r="1540" customHeight="1" spans="1:2">
      <c r="A1540" s="157"/>
      <c r="B1540" s="150"/>
    </row>
    <row r="1541" customHeight="1" spans="1:2">
      <c r="A1541" s="157"/>
      <c r="B1541" s="150"/>
    </row>
    <row r="1542" customHeight="1" spans="1:2">
      <c r="A1542" s="157"/>
      <c r="B1542" s="150"/>
    </row>
    <row r="1543" customHeight="1" spans="1:2">
      <c r="A1543" s="157"/>
      <c r="B1543" s="150"/>
    </row>
    <row r="1544" customHeight="1" spans="1:2">
      <c r="A1544" s="157"/>
      <c r="B1544" s="150"/>
    </row>
    <row r="1545" customHeight="1" spans="1:2">
      <c r="A1545" s="157"/>
      <c r="B1545" s="150"/>
    </row>
    <row r="1546" customHeight="1" spans="1:2">
      <c r="A1546" s="157"/>
      <c r="B1546" s="150"/>
    </row>
    <row r="1547" customHeight="1" spans="1:2">
      <c r="A1547" s="157"/>
      <c r="B1547" s="150"/>
    </row>
    <row r="1548" customHeight="1" spans="1:2">
      <c r="A1548" s="157"/>
      <c r="B1548" s="150"/>
    </row>
    <row r="1549" customHeight="1" spans="1:2">
      <c r="A1549" s="157"/>
      <c r="B1549" s="150"/>
    </row>
    <row r="1550" customHeight="1" spans="1:2">
      <c r="A1550" s="157"/>
      <c r="B1550" s="150"/>
    </row>
    <row r="1551" customHeight="1" spans="1:2">
      <c r="A1551" s="157"/>
      <c r="B1551" s="150"/>
    </row>
    <row r="1552" customHeight="1" spans="1:2">
      <c r="A1552" s="157"/>
      <c r="B1552" s="150"/>
    </row>
    <row r="1553" customHeight="1" spans="1:2">
      <c r="A1553" s="155"/>
      <c r="B1553" s="156"/>
    </row>
    <row r="1554" customHeight="1" spans="1:2">
      <c r="A1554" s="155"/>
      <c r="B1554" s="156"/>
    </row>
    <row r="1555" customHeight="1" spans="1:2">
      <c r="A1555" s="155"/>
      <c r="B1555" s="156"/>
    </row>
    <row r="1556" customHeight="1" spans="1:2">
      <c r="A1556" s="157"/>
      <c r="B1556" s="150"/>
    </row>
    <row r="1557" customHeight="1" spans="1:2">
      <c r="A1557" s="157"/>
      <c r="B1557" s="150"/>
    </row>
    <row r="1558" customHeight="1" spans="1:2">
      <c r="A1558" s="157"/>
      <c r="B1558" s="150"/>
    </row>
    <row r="1559" customHeight="1" spans="1:2">
      <c r="A1559" s="157"/>
      <c r="B1559" s="150"/>
    </row>
    <row r="1560" customHeight="1" spans="1:2">
      <c r="A1560" s="157"/>
      <c r="B1560" s="150"/>
    </row>
    <row r="1561" customHeight="1" spans="1:2">
      <c r="A1561" s="157"/>
      <c r="B1561" s="150"/>
    </row>
    <row r="1562" customHeight="1" spans="1:2">
      <c r="A1562" s="157"/>
      <c r="B1562" s="157"/>
    </row>
    <row r="1563" customHeight="1" spans="1:2">
      <c r="A1563" s="157"/>
      <c r="B1563" s="157"/>
    </row>
    <row r="1564" customHeight="1" spans="1:2">
      <c r="A1564" s="157"/>
      <c r="B1564" s="150"/>
    </row>
    <row r="1565" customHeight="1" spans="1:2">
      <c r="A1565" s="157"/>
      <c r="B1565" s="150"/>
    </row>
    <row r="1566" customHeight="1" spans="1:2">
      <c r="A1566" s="157"/>
      <c r="B1566" s="150"/>
    </row>
    <row r="1567" customHeight="1" spans="1:2">
      <c r="A1567" s="157"/>
      <c r="B1567" s="150"/>
    </row>
    <row r="1568" customHeight="1" spans="1:2">
      <c r="A1568" s="157"/>
      <c r="B1568" s="150"/>
    </row>
    <row r="1569" customHeight="1" spans="1:2">
      <c r="A1569" s="157"/>
      <c r="B1569" s="150"/>
    </row>
    <row r="1570" customHeight="1" spans="1:2">
      <c r="A1570" s="157"/>
      <c r="B1570" s="150"/>
    </row>
    <row r="1571" customHeight="1" spans="1:2">
      <c r="A1571" s="158"/>
      <c r="B1571" s="156"/>
    </row>
    <row r="1572" customHeight="1" spans="1:2">
      <c r="A1572" s="150"/>
      <c r="B1572" s="150"/>
    </row>
    <row r="1573" customHeight="1" spans="1:2">
      <c r="A1573" s="150"/>
      <c r="B1573" s="150"/>
    </row>
    <row r="1574" customHeight="1" spans="1:2">
      <c r="A1574" s="150"/>
      <c r="B1574" s="150"/>
    </row>
    <row r="1575" customHeight="1" spans="1:2">
      <c r="A1575" s="150"/>
      <c r="B1575" s="150"/>
    </row>
    <row r="1576" customHeight="1" spans="1:2">
      <c r="A1576" s="150"/>
      <c r="B1576" s="150"/>
    </row>
    <row r="1577" customHeight="1" spans="1:2">
      <c r="A1577" s="150"/>
      <c r="B1577" s="150"/>
    </row>
    <row r="1578" customHeight="1" spans="1:2">
      <c r="A1578" s="150"/>
      <c r="B1578" s="150"/>
    </row>
    <row r="1579" customHeight="1" spans="1:2">
      <c r="A1579" s="150"/>
      <c r="B1579" s="150"/>
    </row>
    <row r="1580" customHeight="1" spans="1:2">
      <c r="A1580" s="150"/>
      <c r="B1580" s="150"/>
    </row>
    <row r="1581" customHeight="1" spans="1:2">
      <c r="A1581" s="150"/>
      <c r="B1581" s="150"/>
    </row>
    <row r="1582" customHeight="1" spans="1:2">
      <c r="A1582" s="150"/>
      <c r="B1582" s="150"/>
    </row>
    <row r="1583" customHeight="1" spans="1:2">
      <c r="A1583" s="150"/>
      <c r="B1583" s="150"/>
    </row>
    <row r="1584" customHeight="1" spans="1:2">
      <c r="A1584" s="150"/>
      <c r="B1584" s="150"/>
    </row>
    <row r="1585" customHeight="1" spans="1:2">
      <c r="A1585" s="150"/>
      <c r="B1585" s="150"/>
    </row>
    <row r="1586" customHeight="1" spans="1:2">
      <c r="A1586" s="150"/>
      <c r="B1586" s="150"/>
    </row>
    <row r="1587" customHeight="1" spans="1:2">
      <c r="A1587" s="150"/>
      <c r="B1587" s="150"/>
    </row>
    <row r="1588" customHeight="1" spans="1:2">
      <c r="A1588" s="150"/>
      <c r="B1588" s="150"/>
    </row>
    <row r="1589" customHeight="1" spans="1:2">
      <c r="A1589" s="150"/>
      <c r="B1589" s="150"/>
    </row>
    <row r="1590" customHeight="1" spans="1:2">
      <c r="A1590" s="150"/>
      <c r="B1590" s="150"/>
    </row>
    <row r="1591" customHeight="1" spans="1:2">
      <c r="A1591" s="150"/>
      <c r="B1591" s="150"/>
    </row>
    <row r="1592" customHeight="1" spans="1:2">
      <c r="A1592" s="150"/>
      <c r="B1592" s="150"/>
    </row>
    <row r="1593" customHeight="1" spans="1:2">
      <c r="A1593" s="150"/>
      <c r="B1593" s="150"/>
    </row>
    <row r="1594" customHeight="1" spans="1:2">
      <c r="A1594" s="150"/>
      <c r="B1594" s="150"/>
    </row>
    <row r="1595" customHeight="1" spans="1:2">
      <c r="A1595" s="150"/>
      <c r="B1595" s="150"/>
    </row>
    <row r="1596" customHeight="1" spans="1:2">
      <c r="A1596" s="150"/>
      <c r="B1596" s="150"/>
    </row>
    <row r="1597" customHeight="1" spans="1:2">
      <c r="A1597" s="150"/>
      <c r="B1597" s="150"/>
    </row>
    <row r="1598" customHeight="1" spans="1:2">
      <c r="A1598" s="150"/>
      <c r="B1598" s="150"/>
    </row>
    <row r="1599" customHeight="1" spans="1:2">
      <c r="A1599" s="155"/>
      <c r="B1599" s="156"/>
    </row>
    <row r="1600" customHeight="1" spans="1:2">
      <c r="A1600" s="150"/>
      <c r="B1600" s="150"/>
    </row>
    <row r="1601" customHeight="1" spans="1:2">
      <c r="A1601" s="155"/>
      <c r="B1601" s="156"/>
    </row>
    <row r="1602" customHeight="1" spans="1:2">
      <c r="A1602" s="150"/>
      <c r="B1602" s="150"/>
    </row>
    <row r="1603" customHeight="1" spans="1:2">
      <c r="A1603" s="150"/>
      <c r="B1603" s="150"/>
    </row>
    <row r="1604" customHeight="1" spans="1:2">
      <c r="A1604" s="150"/>
      <c r="B1604" s="150"/>
    </row>
    <row r="1605" customHeight="1" spans="1:2">
      <c r="A1605" s="157"/>
      <c r="B1605" s="157"/>
    </row>
    <row r="1606" customHeight="1" spans="1:2">
      <c r="A1606" s="150"/>
      <c r="B1606" s="157"/>
    </row>
    <row r="1607" customHeight="1" spans="1:2">
      <c r="A1607" s="155"/>
      <c r="B1607" s="156"/>
    </row>
    <row r="1608" customHeight="1" spans="1:2">
      <c r="A1608" s="150"/>
      <c r="B1608" s="150"/>
    </row>
    <row r="1609" customHeight="1" spans="1:2">
      <c r="A1609" s="150"/>
      <c r="B1609" s="150"/>
    </row>
    <row r="1610" customHeight="1" spans="1:2">
      <c r="A1610" s="150"/>
      <c r="B1610" s="150"/>
    </row>
    <row r="1611" customHeight="1" spans="1:2">
      <c r="A1611" s="157"/>
      <c r="B1611" s="157"/>
    </row>
    <row r="1612" customHeight="1" spans="1:2">
      <c r="A1612" s="150"/>
      <c r="B1612" s="157"/>
    </row>
    <row r="1613" customHeight="1" spans="1:2">
      <c r="A1613" s="159"/>
      <c r="B1613" s="160"/>
    </row>
  </sheetData>
  <pageMargins left="0.75" right="0.75" top="1" bottom="1" header="0.510416666666667" footer="0.510416666666667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F103"/>
  <sheetViews>
    <sheetView workbookViewId="0">
      <selection activeCell="AJ7" sqref="AJ7"/>
    </sheetView>
  </sheetViews>
  <sheetFormatPr defaultColWidth="9" defaultRowHeight="14.25"/>
  <cols>
    <col min="1" max="3" width="9" style="13"/>
    <col min="4" max="4" width="9" style="14"/>
    <col min="5" max="8" width="9" style="13"/>
    <col min="10" max="12" width="9" style="15"/>
    <col min="13" max="13" width="9" style="16"/>
    <col min="14" max="17" width="9" style="15"/>
    <col min="19" max="21" width="9" style="17"/>
    <col min="22" max="22" width="9" style="18"/>
    <col min="23" max="26" width="9" style="17"/>
    <col min="28" max="35" width="9" style="19"/>
    <col min="37" max="39" width="9" style="20"/>
    <col min="40" max="40" width="9" style="21"/>
    <col min="41" max="44" width="9" style="20"/>
    <col min="46" max="48" width="9" style="22"/>
    <col min="49" max="49" width="9" style="23"/>
    <col min="50" max="53" width="9" style="22"/>
    <col min="55" max="62" width="9" style="24"/>
    <col min="64" max="71" width="9" style="25"/>
    <col min="73" max="80" width="9" style="26"/>
    <col min="81" max="81" width="12.625"/>
    <col min="82" max="89" width="9" style="27"/>
    <col min="91" max="98" width="9" style="28"/>
    <col min="100" max="102" width="9" style="29"/>
    <col min="103" max="103" width="9" style="30"/>
    <col min="104" max="107" width="9" style="29"/>
    <col min="109" max="111" width="9" style="31"/>
    <col min="112" max="112" width="9" style="32"/>
    <col min="113" max="116" width="9" style="31"/>
    <col min="118" max="120" width="9" style="33"/>
    <col min="121" max="121" width="9" style="34"/>
    <col min="122" max="125" width="9" style="33"/>
    <col min="127" max="129" width="9" style="35"/>
    <col min="130" max="130" width="9" style="36"/>
    <col min="131" max="134" width="9" style="35"/>
    <col min="136" max="143" width="9" style="37"/>
    <col min="145" max="145" width="9" style="38"/>
    <col min="146" max="150" width="9" style="39"/>
    <col min="151" max="151" width="9.125" style="39" customWidth="1"/>
    <col min="152" max="152" width="9" style="39"/>
    <col min="154" max="161" width="9" style="40"/>
  </cols>
  <sheetData>
    <row r="1" ht="15" spans="1:154">
      <c r="A1" s="13" t="s">
        <v>267</v>
      </c>
      <c r="J1" s="15" t="s">
        <v>269</v>
      </c>
      <c r="S1" s="17" t="s">
        <v>99</v>
      </c>
      <c r="AB1" s="19" t="s">
        <v>270</v>
      </c>
      <c r="AK1" s="20" t="s">
        <v>237</v>
      </c>
      <c r="AT1" s="22" t="s">
        <v>252</v>
      </c>
      <c r="BC1" s="24" t="s">
        <v>272</v>
      </c>
      <c r="BL1" s="25" t="s">
        <v>273</v>
      </c>
      <c r="BU1" s="26" t="s">
        <v>276</v>
      </c>
      <c r="CD1" s="27" t="s">
        <v>250</v>
      </c>
      <c r="CM1" s="28" t="s">
        <v>251</v>
      </c>
      <c r="CV1" s="29" t="s">
        <v>235</v>
      </c>
      <c r="DE1" s="31" t="s">
        <v>268</v>
      </c>
      <c r="DN1" s="33" t="s">
        <v>271</v>
      </c>
      <c r="DW1" s="35" t="s">
        <v>100</v>
      </c>
      <c r="EF1" s="37" t="s">
        <v>274</v>
      </c>
      <c r="EO1" s="38" t="s">
        <v>275</v>
      </c>
      <c r="EX1" s="40" t="s">
        <v>98</v>
      </c>
    </row>
    <row r="2" ht="72.75" spans="1:162">
      <c r="A2" t="s">
        <v>5031</v>
      </c>
      <c r="B2" s="41" t="s">
        <v>5032</v>
      </c>
      <c r="C2" s="41" t="s">
        <v>5033</v>
      </c>
      <c r="D2" s="42" t="s">
        <v>1</v>
      </c>
      <c r="E2" s="43">
        <v>102</v>
      </c>
      <c r="F2" s="43">
        <v>100</v>
      </c>
      <c r="G2" s="43">
        <v>20</v>
      </c>
      <c r="H2" s="44" t="s">
        <v>5034</v>
      </c>
      <c r="I2">
        <v>102</v>
      </c>
      <c r="J2" t="s">
        <v>5035</v>
      </c>
      <c r="K2" s="48" t="s">
        <v>5036</v>
      </c>
      <c r="L2" s="48" t="s">
        <v>5037</v>
      </c>
      <c r="M2" s="49" t="s">
        <v>1</v>
      </c>
      <c r="N2" s="50" t="s">
        <v>5038</v>
      </c>
      <c r="O2" s="50">
        <v>100</v>
      </c>
      <c r="P2" s="50">
        <v>20</v>
      </c>
      <c r="Q2" s="51" t="s">
        <v>5039</v>
      </c>
      <c r="R2">
        <f>IF(伤害计算器!F28=1,SUM(D90:D95),SUM(E90:E95))</f>
        <v>120</v>
      </c>
      <c r="S2" t="s">
        <v>5040</v>
      </c>
      <c r="T2" s="52" t="s">
        <v>5041</v>
      </c>
      <c r="U2" s="52" t="s">
        <v>5042</v>
      </c>
      <c r="V2" s="53" t="s">
        <v>1</v>
      </c>
      <c r="W2" s="54">
        <v>35</v>
      </c>
      <c r="X2" s="54">
        <v>100</v>
      </c>
      <c r="Y2" s="54">
        <v>35</v>
      </c>
      <c r="Z2" s="56" t="s">
        <v>5043</v>
      </c>
      <c r="AA2">
        <v>35</v>
      </c>
      <c r="AB2" t="s">
        <v>681</v>
      </c>
      <c r="AC2" s="57" t="s">
        <v>5044</v>
      </c>
      <c r="AD2" s="57" t="s">
        <v>5045</v>
      </c>
      <c r="AE2" s="58" t="s">
        <v>1</v>
      </c>
      <c r="AF2" s="59">
        <v>15</v>
      </c>
      <c r="AG2" s="59">
        <v>100</v>
      </c>
      <c r="AH2" s="59">
        <v>35</v>
      </c>
      <c r="AI2" s="61" t="s">
        <v>5046</v>
      </c>
      <c r="AJ2">
        <v>15</v>
      </c>
      <c r="AK2" t="s">
        <v>577</v>
      </c>
      <c r="AL2" s="62" t="s">
        <v>5047</v>
      </c>
      <c r="AM2" s="62" t="s">
        <v>5048</v>
      </c>
      <c r="AN2" s="63" t="s">
        <v>1</v>
      </c>
      <c r="AO2" s="64" t="s">
        <v>5038</v>
      </c>
      <c r="AP2" s="64">
        <v>30</v>
      </c>
      <c r="AQ2" s="64">
        <v>5</v>
      </c>
      <c r="AR2" s="65" t="s">
        <v>5049</v>
      </c>
      <c r="AS2" t="s">
        <v>86</v>
      </c>
      <c r="AT2" t="s">
        <v>667</v>
      </c>
      <c r="AU2" s="66" t="s">
        <v>5050</v>
      </c>
      <c r="AV2" s="66" t="s">
        <v>5051</v>
      </c>
      <c r="AW2" s="67" t="s">
        <v>1</v>
      </c>
      <c r="AX2" s="68">
        <v>25</v>
      </c>
      <c r="AY2" s="68">
        <v>90</v>
      </c>
      <c r="AZ2" s="68">
        <v>10</v>
      </c>
      <c r="BA2" s="69" t="s">
        <v>5052</v>
      </c>
      <c r="BB2">
        <v>25</v>
      </c>
      <c r="BC2" t="s">
        <v>675</v>
      </c>
      <c r="BD2" s="70" t="s">
        <v>5053</v>
      </c>
      <c r="BE2" s="70" t="s">
        <v>5054</v>
      </c>
      <c r="BF2" s="71" t="s">
        <v>1</v>
      </c>
      <c r="BG2" s="72">
        <v>25</v>
      </c>
      <c r="BH2" s="72">
        <v>85</v>
      </c>
      <c r="BI2" s="72">
        <v>20</v>
      </c>
      <c r="BJ2" s="73" t="s">
        <v>5055</v>
      </c>
      <c r="BK2">
        <v>25</v>
      </c>
      <c r="BL2" t="s">
        <v>832</v>
      </c>
      <c r="BM2" s="75" t="s">
        <v>5056</v>
      </c>
      <c r="BN2" s="75" t="s">
        <v>5057</v>
      </c>
      <c r="BO2" s="76" t="s">
        <v>1</v>
      </c>
      <c r="BP2" s="77">
        <v>30</v>
      </c>
      <c r="BQ2" s="77">
        <v>100</v>
      </c>
      <c r="BR2" s="77">
        <v>30</v>
      </c>
      <c r="BS2" s="78" t="s">
        <v>5058</v>
      </c>
      <c r="BT2">
        <v>30</v>
      </c>
      <c r="BU2" t="s">
        <v>5059</v>
      </c>
      <c r="BV2" s="80" t="s">
        <v>5060</v>
      </c>
      <c r="BW2" s="80" t="s">
        <v>5061</v>
      </c>
      <c r="BX2" s="81" t="s">
        <v>1</v>
      </c>
      <c r="BY2" s="82" t="s">
        <v>5038</v>
      </c>
      <c r="BZ2" s="82">
        <v>100</v>
      </c>
      <c r="CA2" s="82">
        <v>5</v>
      </c>
      <c r="CB2" s="83" t="s">
        <v>5062</v>
      </c>
      <c r="CC2" t="e">
        <f>MIN(150,IF(25*伤害计算器!J37/伤害计算器!C37&lt;1,1,INT(25*伤害计算器!J37/伤害计算器!C37)))</f>
        <v>#VALUE!</v>
      </c>
      <c r="CD2" t="s">
        <v>5063</v>
      </c>
      <c r="CE2" s="85" t="s">
        <v>5064</v>
      </c>
      <c r="CF2" s="85" t="s">
        <v>5065</v>
      </c>
      <c r="CG2" s="86" t="s">
        <v>1</v>
      </c>
      <c r="CH2" s="87" t="s">
        <v>5038</v>
      </c>
      <c r="CI2" s="87">
        <v>100</v>
      </c>
      <c r="CJ2" s="87">
        <v>10</v>
      </c>
      <c r="CK2" s="93" t="s">
        <v>5066</v>
      </c>
      <c r="CL2" t="e">
        <f>IF(伤害计算器!F28=1,SUM(G90:G94),SUM(H90:H94))</f>
        <v>#VALUE!</v>
      </c>
      <c r="CM2" t="s">
        <v>5067</v>
      </c>
      <c r="CN2" s="94" t="s">
        <v>5068</v>
      </c>
      <c r="CO2" s="94" t="s">
        <v>5069</v>
      </c>
      <c r="CP2" s="95" t="s">
        <v>1</v>
      </c>
      <c r="CQ2" s="96">
        <v>35</v>
      </c>
      <c r="CR2" s="96">
        <v>85</v>
      </c>
      <c r="CS2" s="96">
        <v>15</v>
      </c>
      <c r="CT2" s="99" t="s">
        <v>5070</v>
      </c>
      <c r="CU2">
        <v>35</v>
      </c>
      <c r="CV2" t="s">
        <v>625</v>
      </c>
      <c r="CW2" s="100" t="s">
        <v>5071</v>
      </c>
      <c r="CX2" s="100" t="s">
        <v>5072</v>
      </c>
      <c r="CY2" s="101" t="s">
        <v>1</v>
      </c>
      <c r="CZ2" s="102">
        <v>25</v>
      </c>
      <c r="DA2" s="102">
        <v>100</v>
      </c>
      <c r="DB2" s="102">
        <v>30</v>
      </c>
      <c r="DC2" s="103" t="s">
        <v>5073</v>
      </c>
      <c r="DD2">
        <v>25</v>
      </c>
      <c r="DE2" t="s">
        <v>1046</v>
      </c>
      <c r="DF2" s="104" t="s">
        <v>5074</v>
      </c>
      <c r="DG2" s="104" t="s">
        <v>5075</v>
      </c>
      <c r="DH2" s="105" t="s">
        <v>1</v>
      </c>
      <c r="DI2" s="106">
        <v>65</v>
      </c>
      <c r="DJ2" s="106">
        <v>100</v>
      </c>
      <c r="DK2" s="106">
        <v>20</v>
      </c>
      <c r="DL2" s="107" t="s">
        <v>5076</v>
      </c>
      <c r="DM2">
        <v>65</v>
      </c>
      <c r="DN2" t="s">
        <v>1114</v>
      </c>
      <c r="DO2" s="108" t="s">
        <v>5077</v>
      </c>
      <c r="DP2" s="108" t="s">
        <v>5078</v>
      </c>
      <c r="DQ2" s="109" t="s">
        <v>1</v>
      </c>
      <c r="DR2" s="110">
        <v>60</v>
      </c>
      <c r="DS2" s="110">
        <v>100</v>
      </c>
      <c r="DT2" s="110">
        <v>25</v>
      </c>
      <c r="DU2" s="111" t="s">
        <v>5079</v>
      </c>
      <c r="DV2">
        <v>60</v>
      </c>
      <c r="DW2" t="s">
        <v>633</v>
      </c>
      <c r="DX2" s="112" t="s">
        <v>5080</v>
      </c>
      <c r="DY2" s="112" t="s">
        <v>5081</v>
      </c>
      <c r="DZ2" s="113" t="s">
        <v>1</v>
      </c>
      <c r="EA2" s="114">
        <v>25</v>
      </c>
      <c r="EB2" s="114">
        <v>100</v>
      </c>
      <c r="EC2" s="114">
        <v>30</v>
      </c>
      <c r="ED2" s="115" t="s">
        <v>5082</v>
      </c>
      <c r="EE2">
        <v>25</v>
      </c>
      <c r="EF2" t="s">
        <v>580</v>
      </c>
      <c r="EG2" s="116" t="s">
        <v>5083</v>
      </c>
      <c r="EH2" s="116" t="s">
        <v>5084</v>
      </c>
      <c r="EI2" s="117" t="s">
        <v>1</v>
      </c>
      <c r="EJ2" s="118">
        <v>40</v>
      </c>
      <c r="EK2" s="118">
        <v>90</v>
      </c>
      <c r="EL2" s="118">
        <v>15</v>
      </c>
      <c r="EM2" s="119" t="s">
        <v>5085</v>
      </c>
      <c r="EN2">
        <v>40</v>
      </c>
      <c r="EO2" t="s">
        <v>746</v>
      </c>
      <c r="EP2" s="121" t="s">
        <v>5086</v>
      </c>
      <c r="EQ2" s="121" t="s">
        <v>5087</v>
      </c>
      <c r="ER2" s="122" t="s">
        <v>1</v>
      </c>
      <c r="ES2" s="123" t="s">
        <v>5038</v>
      </c>
      <c r="ET2" s="123">
        <v>100</v>
      </c>
      <c r="EU2" s="123">
        <v>10</v>
      </c>
      <c r="EV2" s="124" t="s">
        <v>5088</v>
      </c>
      <c r="EW2" t="s">
        <v>86</v>
      </c>
      <c r="EX2" t="s">
        <v>5089</v>
      </c>
      <c r="EY2" s="126" t="s">
        <v>5090</v>
      </c>
      <c r="EZ2" s="126" t="s">
        <v>5091</v>
      </c>
      <c r="FA2" s="127" t="s">
        <v>1</v>
      </c>
      <c r="FB2" s="128">
        <v>90</v>
      </c>
      <c r="FC2" s="128">
        <v>90</v>
      </c>
      <c r="FD2" s="128">
        <v>10</v>
      </c>
      <c r="FE2" s="130" t="s">
        <v>5092</v>
      </c>
      <c r="FF2">
        <v>90</v>
      </c>
    </row>
    <row r="3" ht="72.75" spans="1:162">
      <c r="A3" t="s">
        <v>589</v>
      </c>
      <c r="B3" s="45" t="s">
        <v>5093</v>
      </c>
      <c r="C3" s="45" t="s">
        <v>5094</v>
      </c>
      <c r="D3" s="42" t="s">
        <v>1</v>
      </c>
      <c r="E3" s="46">
        <v>15</v>
      </c>
      <c r="F3" s="46">
        <v>85</v>
      </c>
      <c r="G3" s="46">
        <v>10</v>
      </c>
      <c r="H3" s="47" t="s">
        <v>5095</v>
      </c>
      <c r="I3">
        <v>15</v>
      </c>
      <c r="J3" t="s">
        <v>5096</v>
      </c>
      <c r="K3" s="48" t="s">
        <v>5097</v>
      </c>
      <c r="L3" s="48" t="s">
        <v>5098</v>
      </c>
      <c r="M3" s="49" t="s">
        <v>1</v>
      </c>
      <c r="N3" s="50" t="s">
        <v>5038</v>
      </c>
      <c r="O3" s="50">
        <v>100</v>
      </c>
      <c r="P3" s="50">
        <v>20</v>
      </c>
      <c r="Q3" s="51" t="s">
        <v>5099</v>
      </c>
      <c r="R3" t="s">
        <v>86</v>
      </c>
      <c r="S3" t="s">
        <v>5100</v>
      </c>
      <c r="T3" s="52" t="s">
        <v>5101</v>
      </c>
      <c r="U3" s="52" t="s">
        <v>5102</v>
      </c>
      <c r="V3" s="53" t="s">
        <v>1</v>
      </c>
      <c r="W3" s="54">
        <v>55</v>
      </c>
      <c r="X3" s="54">
        <v>100</v>
      </c>
      <c r="Y3" s="54">
        <v>15</v>
      </c>
      <c r="Z3" s="56" t="s">
        <v>5103</v>
      </c>
      <c r="AA3">
        <f>IF(IF(伤害计算器!F28=1,ISBLANK(伤害计算器!B22),ISBLANK(伤害计算器!M22)),55,110)</f>
        <v>55</v>
      </c>
      <c r="AB3" t="s">
        <v>713</v>
      </c>
      <c r="AC3" s="57" t="s">
        <v>5104</v>
      </c>
      <c r="AD3" s="57" t="s">
        <v>5105</v>
      </c>
      <c r="AE3" s="58" t="s">
        <v>1</v>
      </c>
      <c r="AF3" s="59">
        <v>50</v>
      </c>
      <c r="AG3" s="59">
        <v>100</v>
      </c>
      <c r="AH3" s="59">
        <v>15</v>
      </c>
      <c r="AI3" s="61" t="s">
        <v>5106</v>
      </c>
      <c r="AJ3">
        <v>50</v>
      </c>
      <c r="AK3" t="s">
        <v>501</v>
      </c>
      <c r="AL3" s="62" t="s">
        <v>5107</v>
      </c>
      <c r="AM3" s="62" t="s">
        <v>5108</v>
      </c>
      <c r="AN3" s="63" t="s">
        <v>1</v>
      </c>
      <c r="AO3" s="64" t="s">
        <v>5038</v>
      </c>
      <c r="AP3" s="64">
        <v>100</v>
      </c>
      <c r="AQ3" s="64">
        <v>30</v>
      </c>
      <c r="AR3" s="65" t="s">
        <v>5109</v>
      </c>
      <c r="AS3" t="s">
        <v>86</v>
      </c>
      <c r="AT3" t="s">
        <v>5110</v>
      </c>
      <c r="AU3" s="66" t="s">
        <v>5111</v>
      </c>
      <c r="AV3" s="66" t="s">
        <v>5112</v>
      </c>
      <c r="AW3" s="67" t="s">
        <v>1</v>
      </c>
      <c r="AX3" s="68">
        <v>30</v>
      </c>
      <c r="AY3" s="68">
        <v>90</v>
      </c>
      <c r="AZ3" s="68">
        <v>20</v>
      </c>
      <c r="BA3" s="69" t="s">
        <v>5113</v>
      </c>
      <c r="BB3">
        <v>30</v>
      </c>
      <c r="BC3" t="s">
        <v>5114</v>
      </c>
      <c r="BD3" s="70" t="s">
        <v>5115</v>
      </c>
      <c r="BE3" s="70" t="s">
        <v>5116</v>
      </c>
      <c r="BF3" s="71" t="s">
        <v>1</v>
      </c>
      <c r="BG3" s="72">
        <v>20</v>
      </c>
      <c r="BH3" s="72">
        <v>100</v>
      </c>
      <c r="BI3" s="72">
        <v>15</v>
      </c>
      <c r="BJ3" s="73" t="s">
        <v>5117</v>
      </c>
      <c r="BK3">
        <v>20</v>
      </c>
      <c r="BL3" t="s">
        <v>842</v>
      </c>
      <c r="BM3" s="75" t="s">
        <v>5118</v>
      </c>
      <c r="BN3" s="75" t="s">
        <v>5119</v>
      </c>
      <c r="BO3" s="76" t="s">
        <v>1</v>
      </c>
      <c r="BP3" s="77">
        <v>30</v>
      </c>
      <c r="BQ3" s="77">
        <v>100</v>
      </c>
      <c r="BR3" s="77">
        <v>15</v>
      </c>
      <c r="BS3" s="78" t="s">
        <v>5120</v>
      </c>
      <c r="BT3">
        <v>30</v>
      </c>
      <c r="BU3" t="s">
        <v>616</v>
      </c>
      <c r="BV3" s="80" t="s">
        <v>5121</v>
      </c>
      <c r="BW3" s="80" t="s">
        <v>5122</v>
      </c>
      <c r="BX3" s="81" t="s">
        <v>1</v>
      </c>
      <c r="BY3" s="82" t="s">
        <v>5038</v>
      </c>
      <c r="BZ3" s="82">
        <v>100</v>
      </c>
      <c r="CA3" s="82">
        <v>10</v>
      </c>
      <c r="CB3" s="83" t="s">
        <v>5123</v>
      </c>
      <c r="CC3" t="s">
        <v>86</v>
      </c>
      <c r="CD3" t="s">
        <v>939</v>
      </c>
      <c r="CE3" s="85" t="s">
        <v>5124</v>
      </c>
      <c r="CF3" s="85" t="s">
        <v>5125</v>
      </c>
      <c r="CG3" s="86" t="s">
        <v>1</v>
      </c>
      <c r="CH3" s="87">
        <v>50</v>
      </c>
      <c r="CI3" s="87">
        <v>100</v>
      </c>
      <c r="CJ3" s="87">
        <v>20</v>
      </c>
      <c r="CK3" s="93" t="s">
        <v>5126</v>
      </c>
      <c r="CL3">
        <v>50</v>
      </c>
      <c r="CM3" t="s">
        <v>5127</v>
      </c>
      <c r="CN3" s="94" t="s">
        <v>5128</v>
      </c>
      <c r="CO3" s="94" t="s">
        <v>5129</v>
      </c>
      <c r="CP3" s="95" t="s">
        <v>1</v>
      </c>
      <c r="CQ3" s="96">
        <v>40</v>
      </c>
      <c r="CR3" s="96">
        <v>100</v>
      </c>
      <c r="CS3" s="96">
        <v>20</v>
      </c>
      <c r="CT3" s="99" t="s">
        <v>5130</v>
      </c>
      <c r="CU3">
        <v>40</v>
      </c>
      <c r="CV3" t="s">
        <v>5131</v>
      </c>
      <c r="CW3" s="100" t="s">
        <v>5132</v>
      </c>
      <c r="CX3" s="100" t="s">
        <v>5133</v>
      </c>
      <c r="CY3" s="101" t="s">
        <v>1</v>
      </c>
      <c r="CZ3" s="102">
        <v>35</v>
      </c>
      <c r="DA3" s="102">
        <v>100</v>
      </c>
      <c r="DB3" s="102">
        <v>15</v>
      </c>
      <c r="DC3" s="103" t="s">
        <v>5134</v>
      </c>
      <c r="DD3">
        <v>35</v>
      </c>
      <c r="DE3" t="s">
        <v>1056</v>
      </c>
      <c r="DF3" s="104" t="s">
        <v>5135</v>
      </c>
      <c r="DG3" s="104" t="s">
        <v>5136</v>
      </c>
      <c r="DH3" s="105" t="s">
        <v>1</v>
      </c>
      <c r="DI3" s="106">
        <v>65</v>
      </c>
      <c r="DJ3" s="106">
        <v>95</v>
      </c>
      <c r="DK3" s="106">
        <v>15</v>
      </c>
      <c r="DL3" s="107" t="s">
        <v>5137</v>
      </c>
      <c r="DM3">
        <v>65</v>
      </c>
      <c r="DN3" t="s">
        <v>547</v>
      </c>
      <c r="DO3" s="108" t="s">
        <v>5138</v>
      </c>
      <c r="DP3" s="108" t="s">
        <v>5139</v>
      </c>
      <c r="DQ3" s="109" t="s">
        <v>1</v>
      </c>
      <c r="DR3" s="110">
        <v>70</v>
      </c>
      <c r="DS3" s="110">
        <v>100</v>
      </c>
      <c r="DT3" s="110">
        <v>20</v>
      </c>
      <c r="DU3" s="111" t="s">
        <v>5140</v>
      </c>
      <c r="DV3">
        <v>70</v>
      </c>
      <c r="DW3" t="s">
        <v>5141</v>
      </c>
      <c r="DX3" s="112" t="s">
        <v>5142</v>
      </c>
      <c r="DY3" s="112" t="s">
        <v>5143</v>
      </c>
      <c r="DZ3" s="113" t="s">
        <v>1</v>
      </c>
      <c r="EA3" s="114">
        <v>30</v>
      </c>
      <c r="EB3" s="114">
        <v>90</v>
      </c>
      <c r="EC3" s="114">
        <v>20</v>
      </c>
      <c r="ED3" s="115" t="s">
        <v>5113</v>
      </c>
      <c r="EE3">
        <v>90</v>
      </c>
      <c r="EF3" t="s">
        <v>5144</v>
      </c>
      <c r="EG3" s="116" t="s">
        <v>5145</v>
      </c>
      <c r="EH3" s="116" t="s">
        <v>5146</v>
      </c>
      <c r="EI3" s="117" t="s">
        <v>1</v>
      </c>
      <c r="EJ3" s="118">
        <v>60</v>
      </c>
      <c r="EK3" s="118">
        <v>90</v>
      </c>
      <c r="EL3" s="118">
        <v>10</v>
      </c>
      <c r="EM3" s="119" t="s">
        <v>5147</v>
      </c>
      <c r="EN3">
        <v>60</v>
      </c>
      <c r="EO3" t="s">
        <v>799</v>
      </c>
      <c r="EP3" s="121" t="s">
        <v>5148</v>
      </c>
      <c r="EQ3" s="121" t="s">
        <v>5149</v>
      </c>
      <c r="ER3" s="122" t="s">
        <v>1</v>
      </c>
      <c r="ES3" s="123" t="s">
        <v>5038</v>
      </c>
      <c r="ET3" s="123">
        <v>100</v>
      </c>
      <c r="EU3" s="123">
        <v>10</v>
      </c>
      <c r="EV3" s="124" t="s">
        <v>5150</v>
      </c>
      <c r="EW3" t="s">
        <v>86</v>
      </c>
      <c r="EX3" t="s">
        <v>5151</v>
      </c>
      <c r="EY3" s="126" t="s">
        <v>5152</v>
      </c>
      <c r="EZ3" s="126" t="s">
        <v>5153</v>
      </c>
      <c r="FA3" s="129" t="s">
        <v>2</v>
      </c>
      <c r="FB3" s="128">
        <v>40</v>
      </c>
      <c r="FC3" s="128" t="s">
        <v>5038</v>
      </c>
      <c r="FD3" s="128">
        <v>15</v>
      </c>
      <c r="FE3" s="130" t="s">
        <v>5154</v>
      </c>
      <c r="FF3">
        <v>40</v>
      </c>
    </row>
    <row r="4" ht="72.75" spans="1:162">
      <c r="A4" t="s">
        <v>480</v>
      </c>
      <c r="B4" s="45" t="s">
        <v>5155</v>
      </c>
      <c r="C4" s="45" t="s">
        <v>5156</v>
      </c>
      <c r="D4" s="42" t="s">
        <v>1</v>
      </c>
      <c r="E4" s="46">
        <v>15</v>
      </c>
      <c r="F4" s="46">
        <v>85</v>
      </c>
      <c r="G4" s="46">
        <v>20</v>
      </c>
      <c r="H4" s="47" t="s">
        <v>5157</v>
      </c>
      <c r="I4">
        <v>15</v>
      </c>
      <c r="J4" t="s">
        <v>5158</v>
      </c>
      <c r="K4" s="48" t="s">
        <v>5159</v>
      </c>
      <c r="L4" s="48" t="s">
        <v>5160</v>
      </c>
      <c r="M4" s="49" t="s">
        <v>1</v>
      </c>
      <c r="N4" s="50" t="s">
        <v>5038</v>
      </c>
      <c r="O4" s="50">
        <v>100</v>
      </c>
      <c r="P4" s="50">
        <v>20</v>
      </c>
      <c r="Q4" s="51" t="s">
        <v>5161</v>
      </c>
      <c r="R4" t="s">
        <v>86</v>
      </c>
      <c r="S4" t="s">
        <v>5162</v>
      </c>
      <c r="T4" s="52" t="s">
        <v>5163</v>
      </c>
      <c r="U4" s="52" t="s">
        <v>5164</v>
      </c>
      <c r="V4" s="53" t="s">
        <v>1</v>
      </c>
      <c r="W4" s="54">
        <v>60</v>
      </c>
      <c r="X4" s="54">
        <v>100</v>
      </c>
      <c r="Y4" s="54">
        <v>35</v>
      </c>
      <c r="Z4" s="56" t="s">
        <v>5165</v>
      </c>
      <c r="AA4">
        <v>60</v>
      </c>
      <c r="AB4" t="s">
        <v>718</v>
      </c>
      <c r="AC4" s="57" t="s">
        <v>5166</v>
      </c>
      <c r="AD4" s="57" t="s">
        <v>5167</v>
      </c>
      <c r="AE4" s="58" t="s">
        <v>1</v>
      </c>
      <c r="AF4" s="59">
        <v>50</v>
      </c>
      <c r="AG4" s="59">
        <v>100</v>
      </c>
      <c r="AH4" s="59">
        <v>25</v>
      </c>
      <c r="AI4" s="61" t="s">
        <v>5168</v>
      </c>
      <c r="AJ4">
        <v>50</v>
      </c>
      <c r="AK4" t="s">
        <v>659</v>
      </c>
      <c r="AL4" s="62" t="s">
        <v>5169</v>
      </c>
      <c r="AM4" s="62" t="s">
        <v>5170</v>
      </c>
      <c r="AN4" s="63" t="s">
        <v>1</v>
      </c>
      <c r="AO4" s="64">
        <v>25</v>
      </c>
      <c r="AP4" s="64">
        <v>90</v>
      </c>
      <c r="AQ4" s="64">
        <v>10</v>
      </c>
      <c r="AR4" s="65" t="s">
        <v>5171</v>
      </c>
      <c r="AS4">
        <v>25</v>
      </c>
      <c r="AT4" t="s">
        <v>510</v>
      </c>
      <c r="AU4" s="66" t="s">
        <v>5172</v>
      </c>
      <c r="AV4" s="66" t="s">
        <v>5173</v>
      </c>
      <c r="AW4" s="67" t="s">
        <v>1</v>
      </c>
      <c r="AX4" s="68">
        <v>50</v>
      </c>
      <c r="AY4" s="68">
        <v>90</v>
      </c>
      <c r="AZ4" s="68">
        <v>15</v>
      </c>
      <c r="BA4" s="69" t="s">
        <v>5174</v>
      </c>
      <c r="BB4">
        <v>50</v>
      </c>
      <c r="BC4" t="s">
        <v>5175</v>
      </c>
      <c r="BD4" s="70" t="s">
        <v>5176</v>
      </c>
      <c r="BE4" s="70" t="s">
        <v>5177</v>
      </c>
      <c r="BF4" s="71" t="s">
        <v>1</v>
      </c>
      <c r="BG4" s="72">
        <v>40</v>
      </c>
      <c r="BH4" s="72">
        <v>95</v>
      </c>
      <c r="BI4" s="72">
        <v>20</v>
      </c>
      <c r="BJ4" s="73" t="s">
        <v>5178</v>
      </c>
      <c r="BK4">
        <v>40</v>
      </c>
      <c r="BL4" t="s">
        <v>5179</v>
      </c>
      <c r="BM4" s="75" t="s">
        <v>5180</v>
      </c>
      <c r="BN4" s="75" t="s">
        <v>5181</v>
      </c>
      <c r="BO4" s="76" t="s">
        <v>1</v>
      </c>
      <c r="BP4" s="77">
        <v>40</v>
      </c>
      <c r="BQ4" s="77">
        <v>100</v>
      </c>
      <c r="BR4" s="77">
        <v>30</v>
      </c>
      <c r="BS4" s="78" t="s">
        <v>5182</v>
      </c>
      <c r="BT4">
        <v>40</v>
      </c>
      <c r="BU4" t="s">
        <v>5183</v>
      </c>
      <c r="BV4" s="80" t="s">
        <v>5184</v>
      </c>
      <c r="BW4" s="80" t="s">
        <v>5185</v>
      </c>
      <c r="BX4" s="81" t="s">
        <v>1</v>
      </c>
      <c r="BY4" s="82" t="s">
        <v>5038</v>
      </c>
      <c r="BZ4" s="82">
        <v>100</v>
      </c>
      <c r="CA4" s="82">
        <v>10</v>
      </c>
      <c r="CB4" s="83" t="s">
        <v>5186</v>
      </c>
      <c r="CC4" t="e">
        <f>IF(伤害计算器!F28=1,SUM(G90:G94),SUM(H90:H94))</f>
        <v>#VALUE!</v>
      </c>
      <c r="CD4" t="s">
        <v>907</v>
      </c>
      <c r="CE4" s="85" t="s">
        <v>5187</v>
      </c>
      <c r="CF4" s="85" t="s">
        <v>5188</v>
      </c>
      <c r="CG4" s="86" t="s">
        <v>1</v>
      </c>
      <c r="CH4" s="87">
        <v>60</v>
      </c>
      <c r="CI4" s="87">
        <v>100</v>
      </c>
      <c r="CJ4" s="87">
        <v>25</v>
      </c>
      <c r="CK4" s="93" t="s">
        <v>5189</v>
      </c>
      <c r="CL4">
        <v>60</v>
      </c>
      <c r="CM4" t="s">
        <v>996</v>
      </c>
      <c r="CN4" s="94" t="s">
        <v>5190</v>
      </c>
      <c r="CO4" s="94" t="s">
        <v>5191</v>
      </c>
      <c r="CP4" s="95" t="s">
        <v>1</v>
      </c>
      <c r="CQ4" s="96">
        <v>75</v>
      </c>
      <c r="CR4" s="96">
        <v>95</v>
      </c>
      <c r="CS4" s="96">
        <v>10</v>
      </c>
      <c r="CT4" s="99" t="s">
        <v>5192</v>
      </c>
      <c r="CU4">
        <v>75</v>
      </c>
      <c r="CV4" t="s">
        <v>538</v>
      </c>
      <c r="CW4" s="100" t="s">
        <v>5193</v>
      </c>
      <c r="CX4" s="100" t="s">
        <v>5194</v>
      </c>
      <c r="CY4" s="101" t="s">
        <v>1</v>
      </c>
      <c r="CZ4" s="102">
        <v>55</v>
      </c>
      <c r="DA4" s="102">
        <v>95</v>
      </c>
      <c r="DB4" s="102">
        <v>25</v>
      </c>
      <c r="DC4" s="103" t="s">
        <v>5195</v>
      </c>
      <c r="DD4">
        <v>55</v>
      </c>
      <c r="DE4" t="s">
        <v>1021</v>
      </c>
      <c r="DF4" s="104" t="s">
        <v>5196</v>
      </c>
      <c r="DG4" s="104" t="s">
        <v>5197</v>
      </c>
      <c r="DH4" s="105" t="s">
        <v>1</v>
      </c>
      <c r="DI4" s="106">
        <v>75</v>
      </c>
      <c r="DJ4" s="106">
        <v>100</v>
      </c>
      <c r="DK4" s="106">
        <v>15</v>
      </c>
      <c r="DL4" s="107" t="s">
        <v>5198</v>
      </c>
      <c r="DM4">
        <v>75</v>
      </c>
      <c r="DN4" t="s">
        <v>1109</v>
      </c>
      <c r="DO4" s="108" t="s">
        <v>5199</v>
      </c>
      <c r="DP4" s="108" t="s">
        <v>5200</v>
      </c>
      <c r="DQ4" s="109" t="s">
        <v>1</v>
      </c>
      <c r="DR4" s="110">
        <v>80</v>
      </c>
      <c r="DS4" s="110">
        <v>90</v>
      </c>
      <c r="DT4" s="110">
        <v>15</v>
      </c>
      <c r="DU4" s="111" t="s">
        <v>5201</v>
      </c>
      <c r="DV4">
        <v>80</v>
      </c>
      <c r="DW4" t="s">
        <v>699</v>
      </c>
      <c r="DX4" s="112" t="s">
        <v>5202</v>
      </c>
      <c r="DY4" s="112" t="s">
        <v>5203</v>
      </c>
      <c r="DZ4" s="113" t="s">
        <v>1</v>
      </c>
      <c r="EA4" s="114">
        <v>40</v>
      </c>
      <c r="EB4" s="114">
        <v>100</v>
      </c>
      <c r="EC4" s="114">
        <v>30</v>
      </c>
      <c r="ED4" s="115" t="s">
        <v>5204</v>
      </c>
      <c r="EE4">
        <v>40</v>
      </c>
      <c r="EF4" t="s">
        <v>5205</v>
      </c>
      <c r="EG4" s="116" t="s">
        <v>5206</v>
      </c>
      <c r="EH4" s="116" t="s">
        <v>5207</v>
      </c>
      <c r="EI4" s="117" t="s">
        <v>1</v>
      </c>
      <c r="EJ4" s="118">
        <v>80</v>
      </c>
      <c r="EK4" s="118">
        <v>100</v>
      </c>
      <c r="EL4" s="118">
        <v>15</v>
      </c>
      <c r="EM4" s="119" t="s">
        <v>5208</v>
      </c>
      <c r="EN4">
        <v>80</v>
      </c>
      <c r="EO4" t="s">
        <v>5209</v>
      </c>
      <c r="EP4" s="121" t="s">
        <v>5210</v>
      </c>
      <c r="EQ4" s="121" t="s">
        <v>5211</v>
      </c>
      <c r="ER4" s="122" t="s">
        <v>1</v>
      </c>
      <c r="ES4" s="123" t="s">
        <v>5038</v>
      </c>
      <c r="ET4" s="123">
        <v>100</v>
      </c>
      <c r="EU4" s="123">
        <v>5</v>
      </c>
      <c r="EV4" s="124" t="s">
        <v>5212</v>
      </c>
      <c r="EW4" t="s">
        <v>86</v>
      </c>
      <c r="EX4" t="s">
        <v>5213</v>
      </c>
      <c r="EY4" s="126" t="s">
        <v>5214</v>
      </c>
      <c r="EZ4" s="126" t="s">
        <v>5215</v>
      </c>
      <c r="FA4" s="129" t="s">
        <v>2</v>
      </c>
      <c r="FB4" s="128">
        <v>50</v>
      </c>
      <c r="FC4" s="128">
        <v>100</v>
      </c>
      <c r="FD4" s="128">
        <v>20</v>
      </c>
      <c r="FE4" s="130" t="s">
        <v>5216</v>
      </c>
      <c r="FF4">
        <v>50</v>
      </c>
    </row>
    <row r="5" ht="61.5" spans="1:162">
      <c r="A5" t="s">
        <v>609</v>
      </c>
      <c r="B5" s="45" t="s">
        <v>5217</v>
      </c>
      <c r="C5" s="45" t="s">
        <v>5218</v>
      </c>
      <c r="D5" s="42" t="s">
        <v>1</v>
      </c>
      <c r="E5" s="46">
        <v>15</v>
      </c>
      <c r="F5" s="46">
        <v>85</v>
      </c>
      <c r="G5" s="46">
        <v>20</v>
      </c>
      <c r="H5" s="47" t="s">
        <v>5219</v>
      </c>
      <c r="I5">
        <v>15</v>
      </c>
      <c r="J5" t="s">
        <v>5220</v>
      </c>
      <c r="K5" s="48" t="s">
        <v>5221</v>
      </c>
      <c r="L5" s="48" t="s">
        <v>5222</v>
      </c>
      <c r="M5" s="49" t="s">
        <v>1</v>
      </c>
      <c r="N5" s="50" t="s">
        <v>5038</v>
      </c>
      <c r="O5" s="50">
        <v>100</v>
      </c>
      <c r="P5" s="50">
        <v>15</v>
      </c>
      <c r="Q5" s="51" t="s">
        <v>5223</v>
      </c>
      <c r="R5">
        <f>IF(伤害计算器!F28=1,SUM(A90:A95),SUM(B90:B95))</f>
        <v>20</v>
      </c>
      <c r="S5" t="s">
        <v>5224</v>
      </c>
      <c r="T5" s="52" t="s">
        <v>5225</v>
      </c>
      <c r="U5" s="52" t="s">
        <v>5226</v>
      </c>
      <c r="V5" s="53" t="s">
        <v>1</v>
      </c>
      <c r="W5" s="54">
        <v>60</v>
      </c>
      <c r="X5" s="54" t="s">
        <v>5038</v>
      </c>
      <c r="Y5" s="54">
        <v>20</v>
      </c>
      <c r="Z5" s="56" t="s">
        <v>5227</v>
      </c>
      <c r="AA5">
        <v>60</v>
      </c>
      <c r="AB5" t="s">
        <v>730</v>
      </c>
      <c r="AC5" s="57" t="s">
        <v>5228</v>
      </c>
      <c r="AD5" s="57" t="s">
        <v>5229</v>
      </c>
      <c r="AE5" s="58" t="s">
        <v>1</v>
      </c>
      <c r="AF5" s="59">
        <v>70</v>
      </c>
      <c r="AG5" s="59">
        <v>100</v>
      </c>
      <c r="AH5" s="59">
        <v>20</v>
      </c>
      <c r="AI5" s="61" t="s">
        <v>5230</v>
      </c>
      <c r="AJ5">
        <v>70</v>
      </c>
      <c r="AK5" t="s">
        <v>587</v>
      </c>
      <c r="AL5" s="62" t="s">
        <v>5231</v>
      </c>
      <c r="AM5" s="62" t="s">
        <v>5232</v>
      </c>
      <c r="AN5" s="63" t="s">
        <v>1</v>
      </c>
      <c r="AO5" s="64">
        <v>35</v>
      </c>
      <c r="AP5" s="64">
        <v>85</v>
      </c>
      <c r="AQ5" s="64">
        <v>15</v>
      </c>
      <c r="AR5" s="65" t="s">
        <v>5233</v>
      </c>
      <c r="AS5">
        <v>35</v>
      </c>
      <c r="AT5" t="s">
        <v>673</v>
      </c>
      <c r="AU5" s="66" t="s">
        <v>5234</v>
      </c>
      <c r="AV5" s="66" t="s">
        <v>5235</v>
      </c>
      <c r="AW5" s="67" t="s">
        <v>1</v>
      </c>
      <c r="AX5" s="68">
        <v>50</v>
      </c>
      <c r="AY5" s="68">
        <v>80</v>
      </c>
      <c r="AZ5" s="68">
        <v>10</v>
      </c>
      <c r="BA5" s="69" t="s">
        <v>5236</v>
      </c>
      <c r="BB5">
        <v>50</v>
      </c>
      <c r="BC5" t="s">
        <v>560</v>
      </c>
      <c r="BD5" s="70" t="s">
        <v>5237</v>
      </c>
      <c r="BE5" s="70" t="s">
        <v>5238</v>
      </c>
      <c r="BF5" s="71" t="s">
        <v>1</v>
      </c>
      <c r="BG5" s="72">
        <v>25</v>
      </c>
      <c r="BH5" s="72">
        <v>100</v>
      </c>
      <c r="BI5" s="72">
        <v>20</v>
      </c>
      <c r="BJ5" s="73" t="s">
        <v>5239</v>
      </c>
      <c r="BK5">
        <v>25</v>
      </c>
      <c r="BL5" t="s">
        <v>5240</v>
      </c>
      <c r="BM5" s="75" t="s">
        <v>5241</v>
      </c>
      <c r="BN5" s="75" t="s">
        <v>5242</v>
      </c>
      <c r="BO5" s="76" t="s">
        <v>1</v>
      </c>
      <c r="BP5" s="77">
        <v>60</v>
      </c>
      <c r="BQ5" s="77" t="s">
        <v>5038</v>
      </c>
      <c r="BR5" s="77">
        <v>20</v>
      </c>
      <c r="BS5" s="78" t="s">
        <v>5243</v>
      </c>
      <c r="BT5">
        <v>60</v>
      </c>
      <c r="BU5" t="s">
        <v>5244</v>
      </c>
      <c r="BV5" s="80" t="s">
        <v>5245</v>
      </c>
      <c r="BW5" s="80" t="s">
        <v>5246</v>
      </c>
      <c r="BX5" s="81" t="s">
        <v>1</v>
      </c>
      <c r="BY5" s="82">
        <v>40</v>
      </c>
      <c r="BZ5" s="82">
        <v>100</v>
      </c>
      <c r="CA5" s="82">
        <v>30</v>
      </c>
      <c r="CB5" s="83" t="s">
        <v>5247</v>
      </c>
      <c r="CC5">
        <v>40</v>
      </c>
      <c r="CD5" t="s">
        <v>930</v>
      </c>
      <c r="CE5" s="85" t="s">
        <v>5248</v>
      </c>
      <c r="CF5" s="85" t="s">
        <v>5249</v>
      </c>
      <c r="CG5" s="86" t="s">
        <v>1</v>
      </c>
      <c r="CH5" s="87">
        <v>65</v>
      </c>
      <c r="CI5" s="87">
        <v>95</v>
      </c>
      <c r="CJ5" s="87">
        <v>15</v>
      </c>
      <c r="CK5" s="93" t="s">
        <v>5250</v>
      </c>
      <c r="CL5">
        <v>65</v>
      </c>
      <c r="CM5" t="s">
        <v>968</v>
      </c>
      <c r="CN5" s="94" t="s">
        <v>5251</v>
      </c>
      <c r="CO5" s="94" t="s">
        <v>5252</v>
      </c>
      <c r="CP5" s="95" t="s">
        <v>1</v>
      </c>
      <c r="CQ5" s="96">
        <v>80</v>
      </c>
      <c r="CR5" s="96">
        <v>100</v>
      </c>
      <c r="CS5" s="96">
        <v>15</v>
      </c>
      <c r="CT5" s="99" t="s">
        <v>5253</v>
      </c>
      <c r="CU5">
        <v>80</v>
      </c>
      <c r="CV5" t="s">
        <v>1001</v>
      </c>
      <c r="CW5" s="100" t="s">
        <v>5254</v>
      </c>
      <c r="CX5" s="100" t="s">
        <v>5255</v>
      </c>
      <c r="CY5" s="101" t="s">
        <v>1</v>
      </c>
      <c r="CZ5" s="102">
        <v>60</v>
      </c>
      <c r="DA5" s="102">
        <v>100</v>
      </c>
      <c r="DB5" s="102">
        <v>15</v>
      </c>
      <c r="DC5" s="103" t="s">
        <v>5256</v>
      </c>
      <c r="DD5">
        <v>60</v>
      </c>
      <c r="DE5" t="s">
        <v>5257</v>
      </c>
      <c r="DF5" s="104" t="s">
        <v>5258</v>
      </c>
      <c r="DG5" s="104" t="s">
        <v>5259</v>
      </c>
      <c r="DH5" s="105" t="s">
        <v>1</v>
      </c>
      <c r="DI5" s="106">
        <v>90</v>
      </c>
      <c r="DJ5" s="106">
        <v>100</v>
      </c>
      <c r="DK5" s="106">
        <v>15</v>
      </c>
      <c r="DL5" s="107" t="s">
        <v>5260</v>
      </c>
      <c r="DM5">
        <v>90</v>
      </c>
      <c r="DN5" t="s">
        <v>5261</v>
      </c>
      <c r="DO5" s="108" t="s">
        <v>5262</v>
      </c>
      <c r="DP5" s="108" t="s">
        <v>5263</v>
      </c>
      <c r="DQ5" s="109" t="s">
        <v>2</v>
      </c>
      <c r="DR5" s="110" t="s">
        <v>5038</v>
      </c>
      <c r="DS5" s="110">
        <v>80</v>
      </c>
      <c r="DT5" s="110">
        <v>15</v>
      </c>
      <c r="DU5" s="111" t="s">
        <v>5264</v>
      </c>
      <c r="DV5" t="s">
        <v>86</v>
      </c>
      <c r="DW5" t="s">
        <v>5265</v>
      </c>
      <c r="DX5" s="112" t="s">
        <v>5266</v>
      </c>
      <c r="DY5" s="112" t="s">
        <v>5267</v>
      </c>
      <c r="DZ5" s="113" t="s">
        <v>1</v>
      </c>
      <c r="EA5" s="114">
        <v>60</v>
      </c>
      <c r="EB5" s="114">
        <v>100</v>
      </c>
      <c r="EC5" s="114">
        <v>10</v>
      </c>
      <c r="ED5" s="115" t="s">
        <v>5268</v>
      </c>
      <c r="EE5">
        <v>60</v>
      </c>
      <c r="EF5" t="s">
        <v>1181</v>
      </c>
      <c r="EG5" s="116" t="s">
        <v>5269</v>
      </c>
      <c r="EH5" s="116" t="s">
        <v>5270</v>
      </c>
      <c r="EI5" s="117" t="s">
        <v>1</v>
      </c>
      <c r="EJ5" s="118">
        <v>100</v>
      </c>
      <c r="EK5" s="118">
        <v>75</v>
      </c>
      <c r="EL5" s="118">
        <v>10</v>
      </c>
      <c r="EM5" s="119" t="s">
        <v>5271</v>
      </c>
      <c r="EN5">
        <v>100</v>
      </c>
      <c r="EO5" t="s">
        <v>5272</v>
      </c>
      <c r="EP5" s="121" t="s">
        <v>5273</v>
      </c>
      <c r="EQ5" s="121" t="s">
        <v>5274</v>
      </c>
      <c r="ER5" s="122" t="s">
        <v>1</v>
      </c>
      <c r="ES5" s="123">
        <v>65</v>
      </c>
      <c r="ET5" s="123">
        <v>100</v>
      </c>
      <c r="EU5" s="123">
        <v>20</v>
      </c>
      <c r="EV5" s="124" t="s">
        <v>5275</v>
      </c>
      <c r="EW5">
        <v>65</v>
      </c>
      <c r="EX5" t="s">
        <v>5276</v>
      </c>
      <c r="EY5" s="126" t="s">
        <v>5277</v>
      </c>
      <c r="EZ5" s="126" t="s">
        <v>5278</v>
      </c>
      <c r="FA5" s="129" t="s">
        <v>2</v>
      </c>
      <c r="FB5" s="128">
        <v>80</v>
      </c>
      <c r="FC5" s="128">
        <v>100</v>
      </c>
      <c r="FD5" s="128">
        <v>10</v>
      </c>
      <c r="FE5" s="130" t="s">
        <v>5279</v>
      </c>
      <c r="FF5">
        <v>80</v>
      </c>
    </row>
    <row r="6" ht="74.25" spans="1:162">
      <c r="A6" t="s">
        <v>5280</v>
      </c>
      <c r="B6" s="45" t="s">
        <v>5281</v>
      </c>
      <c r="C6" s="45" t="s">
        <v>5282</v>
      </c>
      <c r="D6" s="42" t="s">
        <v>1</v>
      </c>
      <c r="E6" s="46">
        <v>15</v>
      </c>
      <c r="F6" s="46">
        <v>90</v>
      </c>
      <c r="G6" s="46">
        <v>20</v>
      </c>
      <c r="H6" s="47" t="s">
        <v>5283</v>
      </c>
      <c r="I6">
        <v>15</v>
      </c>
      <c r="J6" t="s">
        <v>5284</v>
      </c>
      <c r="K6" s="48" t="s">
        <v>5285</v>
      </c>
      <c r="L6" s="48" t="s">
        <v>5286</v>
      </c>
      <c r="M6" s="49" t="s">
        <v>1</v>
      </c>
      <c r="N6" s="50">
        <v>10</v>
      </c>
      <c r="O6" s="50">
        <v>90</v>
      </c>
      <c r="P6" s="50">
        <v>10</v>
      </c>
      <c r="Q6" s="51" t="s">
        <v>5287</v>
      </c>
      <c r="R6">
        <v>60</v>
      </c>
      <c r="S6" t="s">
        <v>5288</v>
      </c>
      <c r="T6" s="52" t="s">
        <v>5289</v>
      </c>
      <c r="U6" s="52" t="s">
        <v>5290</v>
      </c>
      <c r="V6" s="53" t="s">
        <v>1</v>
      </c>
      <c r="W6" s="54">
        <v>60</v>
      </c>
      <c r="X6" s="54">
        <v>100</v>
      </c>
      <c r="Y6" s="54">
        <v>20</v>
      </c>
      <c r="Z6" s="56" t="s">
        <v>5291</v>
      </c>
      <c r="AA6">
        <v>60</v>
      </c>
      <c r="AB6" t="s">
        <v>724</v>
      </c>
      <c r="AC6" s="57" t="s">
        <v>5292</v>
      </c>
      <c r="AD6" s="57" t="s">
        <v>5293</v>
      </c>
      <c r="AE6" s="58" t="s">
        <v>1</v>
      </c>
      <c r="AF6" s="59">
        <v>80</v>
      </c>
      <c r="AG6" s="59">
        <v>100</v>
      </c>
      <c r="AH6" s="59">
        <v>20</v>
      </c>
      <c r="AI6" s="61" t="s">
        <v>5294</v>
      </c>
      <c r="AJ6">
        <v>80</v>
      </c>
      <c r="AK6" t="s">
        <v>550</v>
      </c>
      <c r="AL6" s="62" t="s">
        <v>5295</v>
      </c>
      <c r="AM6" s="62" t="s">
        <v>5296</v>
      </c>
      <c r="AN6" s="63" t="s">
        <v>1</v>
      </c>
      <c r="AO6" s="64">
        <v>50</v>
      </c>
      <c r="AP6" s="64">
        <v>90</v>
      </c>
      <c r="AQ6" s="64">
        <v>10</v>
      </c>
      <c r="AR6" s="65" t="s">
        <v>5297</v>
      </c>
      <c r="AS6">
        <v>50</v>
      </c>
      <c r="AT6" t="s">
        <v>606</v>
      </c>
      <c r="AU6" s="66" t="s">
        <v>5298</v>
      </c>
      <c r="AV6" s="66" t="s">
        <v>5299</v>
      </c>
      <c r="AW6" s="67" t="s">
        <v>1</v>
      </c>
      <c r="AX6" s="68">
        <v>50</v>
      </c>
      <c r="AY6" s="68">
        <v>100</v>
      </c>
      <c r="AZ6" s="68">
        <v>15</v>
      </c>
      <c r="BA6" s="69" t="s">
        <v>5300</v>
      </c>
      <c r="BB6">
        <v>50</v>
      </c>
      <c r="BC6" t="s">
        <v>5301</v>
      </c>
      <c r="BD6" s="70" t="s">
        <v>5302</v>
      </c>
      <c r="BE6" s="70" t="s">
        <v>5303</v>
      </c>
      <c r="BF6" s="71" t="s">
        <v>1</v>
      </c>
      <c r="BG6" s="72">
        <v>30</v>
      </c>
      <c r="BH6" s="72">
        <v>100</v>
      </c>
      <c r="BI6" s="72">
        <v>25</v>
      </c>
      <c r="BJ6" s="73" t="s">
        <v>5304</v>
      </c>
      <c r="BK6">
        <v>30</v>
      </c>
      <c r="BL6" t="s">
        <v>5305</v>
      </c>
      <c r="BM6" s="75" t="s">
        <v>5306</v>
      </c>
      <c r="BN6" s="75" t="s">
        <v>5307</v>
      </c>
      <c r="BO6" s="76" t="s">
        <v>1</v>
      </c>
      <c r="BP6" s="77">
        <v>70</v>
      </c>
      <c r="BQ6" s="77">
        <v>100</v>
      </c>
      <c r="BR6" s="77">
        <v>15</v>
      </c>
      <c r="BS6" s="78" t="s">
        <v>5308</v>
      </c>
      <c r="BT6">
        <v>70</v>
      </c>
      <c r="BU6" t="s">
        <v>862</v>
      </c>
      <c r="BV6" s="80" t="s">
        <v>5309</v>
      </c>
      <c r="BW6" s="80" t="s">
        <v>5310</v>
      </c>
      <c r="BX6" s="81" t="s">
        <v>1</v>
      </c>
      <c r="BY6" s="82">
        <v>50</v>
      </c>
      <c r="BZ6" s="82">
        <v>95</v>
      </c>
      <c r="CA6" s="82">
        <v>35</v>
      </c>
      <c r="CB6" s="83" t="s">
        <v>5311</v>
      </c>
      <c r="CC6">
        <v>50</v>
      </c>
      <c r="CD6" t="s">
        <v>887</v>
      </c>
      <c r="CE6" s="85" t="s">
        <v>5312</v>
      </c>
      <c r="CF6" s="85" t="s">
        <v>5313</v>
      </c>
      <c r="CG6" s="86" t="s">
        <v>1</v>
      </c>
      <c r="CH6" s="87">
        <v>75</v>
      </c>
      <c r="CI6" s="87">
        <v>100</v>
      </c>
      <c r="CJ6" s="87">
        <v>15</v>
      </c>
      <c r="CK6" s="93" t="s">
        <v>5314</v>
      </c>
      <c r="CL6">
        <v>75</v>
      </c>
      <c r="CM6" t="s">
        <v>5315</v>
      </c>
      <c r="CN6" s="94" t="s">
        <v>5316</v>
      </c>
      <c r="CO6" s="94" t="s">
        <v>5317</v>
      </c>
      <c r="CP6" s="95" t="s">
        <v>1</v>
      </c>
      <c r="CQ6" s="96">
        <v>80</v>
      </c>
      <c r="CR6" s="96">
        <v>100</v>
      </c>
      <c r="CS6" s="96">
        <v>10</v>
      </c>
      <c r="CT6" s="99" t="s">
        <v>5318</v>
      </c>
      <c r="CU6">
        <v>80</v>
      </c>
      <c r="CV6" t="s">
        <v>5319</v>
      </c>
      <c r="CW6" s="100" t="s">
        <v>5320</v>
      </c>
      <c r="CX6" s="100" t="s">
        <v>5321</v>
      </c>
      <c r="CY6" s="101" t="s">
        <v>1</v>
      </c>
      <c r="CZ6" s="102">
        <v>75</v>
      </c>
      <c r="DA6" s="102">
        <v>100</v>
      </c>
      <c r="DB6" s="102">
        <v>10</v>
      </c>
      <c r="DC6" s="103" t="s">
        <v>5322</v>
      </c>
      <c r="DD6">
        <v>75</v>
      </c>
      <c r="DE6" t="s">
        <v>793</v>
      </c>
      <c r="DF6" s="104" t="s">
        <v>5323</v>
      </c>
      <c r="DG6" s="104" t="s">
        <v>5324</v>
      </c>
      <c r="DH6" s="105" t="s">
        <v>1</v>
      </c>
      <c r="DI6" s="106">
        <v>100</v>
      </c>
      <c r="DJ6" s="106">
        <v>100</v>
      </c>
      <c r="DK6" s="106">
        <v>5</v>
      </c>
      <c r="DL6" s="107" t="s">
        <v>5325</v>
      </c>
      <c r="DM6">
        <v>100</v>
      </c>
      <c r="DN6" t="s">
        <v>5326</v>
      </c>
      <c r="DO6" s="108" t="s">
        <v>5327</v>
      </c>
      <c r="DP6" s="108" t="s">
        <v>5328</v>
      </c>
      <c r="DQ6" s="109" t="s">
        <v>2</v>
      </c>
      <c r="DR6" s="110" t="s">
        <v>5038</v>
      </c>
      <c r="DS6" s="110">
        <v>100</v>
      </c>
      <c r="DT6" s="110">
        <v>20</v>
      </c>
      <c r="DU6" s="111" t="s">
        <v>5329</v>
      </c>
      <c r="DV6" t="s">
        <v>86</v>
      </c>
      <c r="DW6" t="s">
        <v>1148</v>
      </c>
      <c r="DX6" s="112" t="s">
        <v>5330</v>
      </c>
      <c r="DY6" s="112" t="s">
        <v>5331</v>
      </c>
      <c r="DZ6" s="113" t="s">
        <v>1</v>
      </c>
      <c r="EA6" s="114">
        <v>65</v>
      </c>
      <c r="EB6" s="114">
        <v>95</v>
      </c>
      <c r="EC6" s="114">
        <v>15</v>
      </c>
      <c r="ED6" s="115" t="s">
        <v>5332</v>
      </c>
      <c r="EE6">
        <v>65</v>
      </c>
      <c r="EF6" t="s">
        <v>5333</v>
      </c>
      <c r="EG6" s="116" t="s">
        <v>5334</v>
      </c>
      <c r="EH6" s="116" t="s">
        <v>5335</v>
      </c>
      <c r="EI6" s="117" t="s">
        <v>1</v>
      </c>
      <c r="EJ6" s="118">
        <v>120</v>
      </c>
      <c r="EK6" s="118">
        <v>100</v>
      </c>
      <c r="EL6" s="118">
        <v>10</v>
      </c>
      <c r="EM6" s="119" t="s">
        <v>5336</v>
      </c>
      <c r="EN6">
        <v>120</v>
      </c>
      <c r="EO6" t="s">
        <v>5337</v>
      </c>
      <c r="EP6" s="121" t="s">
        <v>5338</v>
      </c>
      <c r="EQ6" s="121" t="s">
        <v>5339</v>
      </c>
      <c r="ER6" s="122" t="s">
        <v>1</v>
      </c>
      <c r="ES6" s="123">
        <v>60</v>
      </c>
      <c r="ET6" s="123">
        <v>100</v>
      </c>
      <c r="EU6" s="123">
        <v>10</v>
      </c>
      <c r="EV6" s="124" t="s">
        <v>5340</v>
      </c>
      <c r="EW6">
        <v>60</v>
      </c>
      <c r="EX6" t="s">
        <v>5341</v>
      </c>
      <c r="EY6" s="126" t="s">
        <v>5342</v>
      </c>
      <c r="EZ6" s="126" t="s">
        <v>5343</v>
      </c>
      <c r="FA6" s="129" t="s">
        <v>2</v>
      </c>
      <c r="FB6" s="128">
        <v>95</v>
      </c>
      <c r="FC6" s="128">
        <v>100</v>
      </c>
      <c r="FD6" s="128">
        <v>15</v>
      </c>
      <c r="FE6" s="130" t="s">
        <v>5344</v>
      </c>
      <c r="FF6">
        <v>95</v>
      </c>
    </row>
    <row r="7" ht="84.75" spans="1:162">
      <c r="A7" t="s">
        <v>627</v>
      </c>
      <c r="B7" s="45" t="s">
        <v>5345</v>
      </c>
      <c r="C7" s="45" t="s">
        <v>5346</v>
      </c>
      <c r="D7" s="42" t="s">
        <v>1</v>
      </c>
      <c r="E7" s="46">
        <v>15</v>
      </c>
      <c r="F7" s="46">
        <v>85</v>
      </c>
      <c r="G7" s="46">
        <v>20</v>
      </c>
      <c r="H7" s="47" t="s">
        <v>5347</v>
      </c>
      <c r="I7">
        <v>15</v>
      </c>
      <c r="J7" t="s">
        <v>651</v>
      </c>
      <c r="K7" s="48" t="s">
        <v>5348</v>
      </c>
      <c r="L7" s="48" t="s">
        <v>5349</v>
      </c>
      <c r="M7" s="49" t="s">
        <v>1</v>
      </c>
      <c r="N7" s="50">
        <v>15</v>
      </c>
      <c r="O7" s="50">
        <v>100</v>
      </c>
      <c r="P7" s="50">
        <v>20</v>
      </c>
      <c r="Q7" s="51" t="s">
        <v>5350</v>
      </c>
      <c r="R7">
        <v>15</v>
      </c>
      <c r="S7" t="s">
        <v>5351</v>
      </c>
      <c r="T7" s="52" t="s">
        <v>5352</v>
      </c>
      <c r="U7" s="52" t="s">
        <v>5353</v>
      </c>
      <c r="V7" s="53" t="s">
        <v>1</v>
      </c>
      <c r="W7" s="54">
        <v>60</v>
      </c>
      <c r="X7" s="54">
        <v>100</v>
      </c>
      <c r="Y7" s="54">
        <v>10</v>
      </c>
      <c r="Z7" s="56" t="s">
        <v>5354</v>
      </c>
      <c r="AA7">
        <v>60</v>
      </c>
      <c r="AB7" t="s">
        <v>736</v>
      </c>
      <c r="AC7" s="57" t="s">
        <v>5355</v>
      </c>
      <c r="AD7" s="57" t="s">
        <v>5356</v>
      </c>
      <c r="AE7" s="58" t="s">
        <v>1</v>
      </c>
      <c r="AF7" s="59">
        <v>120</v>
      </c>
      <c r="AG7" s="59">
        <v>80</v>
      </c>
      <c r="AH7" s="59">
        <v>5</v>
      </c>
      <c r="AI7" s="61" t="s">
        <v>5357</v>
      </c>
      <c r="AJ7">
        <v>120</v>
      </c>
      <c r="AK7" t="s">
        <v>665</v>
      </c>
      <c r="AL7" s="62" t="s">
        <v>5358</v>
      </c>
      <c r="AM7" s="62" t="s">
        <v>5359</v>
      </c>
      <c r="AN7" s="63" t="s">
        <v>1</v>
      </c>
      <c r="AO7" s="64">
        <v>60</v>
      </c>
      <c r="AP7" s="64">
        <v>100</v>
      </c>
      <c r="AQ7" s="64">
        <v>20</v>
      </c>
      <c r="AR7" s="65" t="s">
        <v>5360</v>
      </c>
      <c r="AS7">
        <f>IF(伤害计算器!J23=3,30,60)</f>
        <v>60</v>
      </c>
      <c r="AT7" t="s">
        <v>596</v>
      </c>
      <c r="AU7" s="66" t="s">
        <v>5361</v>
      </c>
      <c r="AV7" s="66" t="s">
        <v>5362</v>
      </c>
      <c r="AW7" s="67" t="s">
        <v>1</v>
      </c>
      <c r="AX7" s="68">
        <v>75</v>
      </c>
      <c r="AY7" s="68">
        <v>90</v>
      </c>
      <c r="AZ7" s="68">
        <v>10</v>
      </c>
      <c r="BA7" s="69" t="s">
        <v>5363</v>
      </c>
      <c r="BB7">
        <v>75</v>
      </c>
      <c r="BC7" t="s">
        <v>5364</v>
      </c>
      <c r="BD7" s="70" t="s">
        <v>5365</v>
      </c>
      <c r="BE7" s="70" t="s">
        <v>5366</v>
      </c>
      <c r="BF7" s="71" t="s">
        <v>1</v>
      </c>
      <c r="BG7" s="72">
        <v>60</v>
      </c>
      <c r="BH7" s="72">
        <v>100</v>
      </c>
      <c r="BI7" s="72">
        <v>20</v>
      </c>
      <c r="BJ7" s="73" t="s">
        <v>5367</v>
      </c>
      <c r="BK7">
        <v>60</v>
      </c>
      <c r="BL7" t="s">
        <v>5368</v>
      </c>
      <c r="BM7" s="75" t="s">
        <v>5369</v>
      </c>
      <c r="BN7" s="75" t="s">
        <v>5370</v>
      </c>
      <c r="BO7" s="76" t="s">
        <v>1</v>
      </c>
      <c r="BP7" s="77">
        <v>90</v>
      </c>
      <c r="BQ7" s="77">
        <v>100</v>
      </c>
      <c r="BR7" s="77">
        <v>10</v>
      </c>
      <c r="BS7" s="78" t="s">
        <v>5371</v>
      </c>
      <c r="BT7">
        <v>90</v>
      </c>
      <c r="BU7" t="s">
        <v>570</v>
      </c>
      <c r="BV7" s="80" t="s">
        <v>5372</v>
      </c>
      <c r="BW7" s="80" t="s">
        <v>5373</v>
      </c>
      <c r="BX7" s="81" t="s">
        <v>1</v>
      </c>
      <c r="BY7" s="82">
        <v>50</v>
      </c>
      <c r="BZ7" s="82">
        <v>85</v>
      </c>
      <c r="CA7" s="82">
        <v>15</v>
      </c>
      <c r="CB7" s="83" t="s">
        <v>5374</v>
      </c>
      <c r="CC7">
        <v>50</v>
      </c>
      <c r="CD7" t="s">
        <v>920</v>
      </c>
      <c r="CE7" s="85" t="s">
        <v>5375</v>
      </c>
      <c r="CF7" s="85" t="s">
        <v>5376</v>
      </c>
      <c r="CG7" s="86" t="s">
        <v>1</v>
      </c>
      <c r="CH7" s="87">
        <v>85</v>
      </c>
      <c r="CI7" s="87">
        <v>90</v>
      </c>
      <c r="CJ7" s="87">
        <v>10</v>
      </c>
      <c r="CK7" s="93" t="s">
        <v>5377</v>
      </c>
      <c r="CL7">
        <v>85</v>
      </c>
      <c r="CM7" t="s">
        <v>5378</v>
      </c>
      <c r="CN7" s="94" t="s">
        <v>5379</v>
      </c>
      <c r="CO7" s="94" t="s">
        <v>5380</v>
      </c>
      <c r="CP7" s="95" t="s">
        <v>1</v>
      </c>
      <c r="CQ7" s="96">
        <v>100</v>
      </c>
      <c r="CR7" s="96">
        <v>90</v>
      </c>
      <c r="CS7" s="96">
        <v>10</v>
      </c>
      <c r="CT7" s="99" t="s">
        <v>5381</v>
      </c>
      <c r="CU7">
        <v>100</v>
      </c>
      <c r="CV7" t="s">
        <v>692</v>
      </c>
      <c r="CW7" s="100" t="s">
        <v>5382</v>
      </c>
      <c r="CX7" s="100" t="s">
        <v>5383</v>
      </c>
      <c r="CY7" s="101" t="s">
        <v>1</v>
      </c>
      <c r="CZ7" s="102">
        <v>80</v>
      </c>
      <c r="DA7" s="102">
        <v>100</v>
      </c>
      <c r="DB7" s="102">
        <v>15</v>
      </c>
      <c r="DC7" s="103" t="s">
        <v>5384</v>
      </c>
      <c r="DD7">
        <v>80</v>
      </c>
      <c r="DE7" t="s">
        <v>1051</v>
      </c>
      <c r="DF7" s="104" t="s">
        <v>5385</v>
      </c>
      <c r="DG7" s="104" t="s">
        <v>5386</v>
      </c>
      <c r="DH7" s="105" t="s">
        <v>1</v>
      </c>
      <c r="DI7" s="106">
        <v>120</v>
      </c>
      <c r="DJ7" s="106">
        <v>100</v>
      </c>
      <c r="DK7" s="106">
        <v>15</v>
      </c>
      <c r="DL7" s="107" t="s">
        <v>5387</v>
      </c>
      <c r="DM7">
        <v>120</v>
      </c>
      <c r="DN7" t="s">
        <v>5388</v>
      </c>
      <c r="DO7" s="108" t="s">
        <v>5389</v>
      </c>
      <c r="DP7" s="108" t="s">
        <v>5390</v>
      </c>
      <c r="DQ7" s="109" t="s">
        <v>2</v>
      </c>
      <c r="DR7" s="110">
        <v>20</v>
      </c>
      <c r="DS7" s="110">
        <v>100</v>
      </c>
      <c r="DT7" s="110">
        <v>10</v>
      </c>
      <c r="DU7" s="111" t="s">
        <v>5391</v>
      </c>
      <c r="DV7">
        <v>20</v>
      </c>
      <c r="DW7" t="s">
        <v>1119</v>
      </c>
      <c r="DX7" s="112" t="s">
        <v>5392</v>
      </c>
      <c r="DY7" s="112" t="s">
        <v>5393</v>
      </c>
      <c r="DZ7" s="113" t="s">
        <v>1</v>
      </c>
      <c r="EA7" s="114">
        <v>75</v>
      </c>
      <c r="EB7" s="114">
        <v>100</v>
      </c>
      <c r="EC7" s="114">
        <v>15</v>
      </c>
      <c r="ED7" s="115" t="s">
        <v>5394</v>
      </c>
      <c r="EE7">
        <v>75</v>
      </c>
      <c r="EF7" t="s">
        <v>5395</v>
      </c>
      <c r="EG7" s="116" t="s">
        <v>5396</v>
      </c>
      <c r="EH7" s="116" t="s">
        <v>5397</v>
      </c>
      <c r="EI7" s="120" t="s">
        <v>2</v>
      </c>
      <c r="EJ7" s="118" t="s">
        <v>5038</v>
      </c>
      <c r="EK7" s="118">
        <v>100</v>
      </c>
      <c r="EL7" s="118">
        <v>10</v>
      </c>
      <c r="EM7" s="119" t="s">
        <v>5398</v>
      </c>
      <c r="EN7" t="s">
        <v>86</v>
      </c>
      <c r="EO7" t="s">
        <v>5399</v>
      </c>
      <c r="EP7" s="121" t="s">
        <v>5400</v>
      </c>
      <c r="EQ7" s="121" t="s">
        <v>5401</v>
      </c>
      <c r="ER7" s="122" t="s">
        <v>1</v>
      </c>
      <c r="ES7" s="123">
        <v>40</v>
      </c>
      <c r="ET7" s="123">
        <v>100</v>
      </c>
      <c r="EU7" s="123">
        <v>20</v>
      </c>
      <c r="EV7" s="124" t="s">
        <v>5402</v>
      </c>
      <c r="EW7">
        <v>40</v>
      </c>
      <c r="EX7" t="s">
        <v>5403</v>
      </c>
      <c r="EY7" s="126" t="s">
        <v>5404</v>
      </c>
      <c r="EZ7" s="126" t="s">
        <v>5405</v>
      </c>
      <c r="FA7" s="129" t="s">
        <v>2</v>
      </c>
      <c r="FB7" s="128">
        <v>40</v>
      </c>
      <c r="FC7" s="128">
        <v>100</v>
      </c>
      <c r="FD7" s="128">
        <v>30</v>
      </c>
      <c r="FE7" s="130" t="s">
        <v>5406</v>
      </c>
      <c r="FF7">
        <v>40</v>
      </c>
    </row>
    <row r="8" ht="72.75" spans="1:153">
      <c r="A8" t="s">
        <v>599</v>
      </c>
      <c r="B8" s="45" t="s">
        <v>5407</v>
      </c>
      <c r="C8" s="45" t="s">
        <v>5408</v>
      </c>
      <c r="D8" s="42" t="s">
        <v>1</v>
      </c>
      <c r="E8" s="46">
        <v>18</v>
      </c>
      <c r="F8" s="46">
        <v>85</v>
      </c>
      <c r="G8" s="46">
        <v>15</v>
      </c>
      <c r="H8" s="47" t="s">
        <v>5409</v>
      </c>
      <c r="I8">
        <v>18</v>
      </c>
      <c r="J8" t="s">
        <v>540</v>
      </c>
      <c r="K8" s="48" t="s">
        <v>5410</v>
      </c>
      <c r="L8" s="48" t="s">
        <v>5411</v>
      </c>
      <c r="M8" s="49" t="s">
        <v>1</v>
      </c>
      <c r="N8" s="50">
        <v>30</v>
      </c>
      <c r="O8" s="50">
        <v>100</v>
      </c>
      <c r="P8" s="50">
        <v>30</v>
      </c>
      <c r="Q8" s="51" t="s">
        <v>5412</v>
      </c>
      <c r="R8">
        <v>30</v>
      </c>
      <c r="S8" t="s">
        <v>5413</v>
      </c>
      <c r="T8" s="52" t="s">
        <v>5414</v>
      </c>
      <c r="U8" s="52" t="s">
        <v>5415</v>
      </c>
      <c r="V8" s="53" t="s">
        <v>1</v>
      </c>
      <c r="W8" s="54">
        <v>80</v>
      </c>
      <c r="X8" s="54">
        <v>100</v>
      </c>
      <c r="Y8" s="54">
        <v>20</v>
      </c>
      <c r="Z8" s="56" t="s">
        <v>5416</v>
      </c>
      <c r="AA8">
        <v>80</v>
      </c>
      <c r="AB8" t="s">
        <v>693</v>
      </c>
      <c r="AC8" s="57" t="s">
        <v>5417</v>
      </c>
      <c r="AD8" s="57" t="s">
        <v>5418</v>
      </c>
      <c r="AE8" s="60" t="s">
        <v>2</v>
      </c>
      <c r="AF8" s="59">
        <v>20</v>
      </c>
      <c r="AG8" s="59">
        <v>70</v>
      </c>
      <c r="AH8" s="59">
        <v>20</v>
      </c>
      <c r="AI8" s="61" t="s">
        <v>5419</v>
      </c>
      <c r="AJ8">
        <v>20</v>
      </c>
      <c r="AK8" t="s">
        <v>657</v>
      </c>
      <c r="AL8" s="62" t="s">
        <v>5420</v>
      </c>
      <c r="AM8" s="62" t="s">
        <v>5421</v>
      </c>
      <c r="AN8" s="63" t="s">
        <v>1</v>
      </c>
      <c r="AO8" s="64">
        <v>65</v>
      </c>
      <c r="AP8" s="64">
        <v>85</v>
      </c>
      <c r="AQ8" s="64">
        <v>20</v>
      </c>
      <c r="AR8" s="65" t="s">
        <v>5422</v>
      </c>
      <c r="AS8">
        <v>65</v>
      </c>
      <c r="AT8" t="s">
        <v>518</v>
      </c>
      <c r="AU8" s="66" t="s">
        <v>5423</v>
      </c>
      <c r="AV8" s="66" t="s">
        <v>5424</v>
      </c>
      <c r="AW8" s="67" t="s">
        <v>1</v>
      </c>
      <c r="AX8" s="68">
        <v>100</v>
      </c>
      <c r="AY8" s="68">
        <v>80</v>
      </c>
      <c r="AZ8" s="68">
        <v>5</v>
      </c>
      <c r="BA8" s="69" t="s">
        <v>5425</v>
      </c>
      <c r="BB8">
        <v>100</v>
      </c>
      <c r="BC8" t="s">
        <v>827</v>
      </c>
      <c r="BD8" s="70" t="s">
        <v>5426</v>
      </c>
      <c r="BE8" s="70" t="s">
        <v>5427</v>
      </c>
      <c r="BF8" s="71" t="s">
        <v>1</v>
      </c>
      <c r="BG8" s="72">
        <v>65</v>
      </c>
      <c r="BH8" s="72">
        <v>100</v>
      </c>
      <c r="BI8" s="72">
        <v>20</v>
      </c>
      <c r="BJ8" s="73" t="s">
        <v>5428</v>
      </c>
      <c r="BK8">
        <v>65</v>
      </c>
      <c r="BL8" t="s">
        <v>5429</v>
      </c>
      <c r="BM8" s="75" t="s">
        <v>5430</v>
      </c>
      <c r="BN8" s="75" t="s">
        <v>5431</v>
      </c>
      <c r="BO8" s="76" t="s">
        <v>1</v>
      </c>
      <c r="BP8" s="77">
        <v>120</v>
      </c>
      <c r="BQ8" s="77">
        <v>100</v>
      </c>
      <c r="BR8" s="77">
        <v>5</v>
      </c>
      <c r="BS8" s="78" t="s">
        <v>5432</v>
      </c>
      <c r="BT8">
        <v>120</v>
      </c>
      <c r="BU8" t="s">
        <v>686</v>
      </c>
      <c r="BV8" s="80" t="s">
        <v>5433</v>
      </c>
      <c r="BW8" s="80" t="s">
        <v>5434</v>
      </c>
      <c r="BX8" s="81" t="s">
        <v>1</v>
      </c>
      <c r="BY8" s="82">
        <v>60</v>
      </c>
      <c r="BZ8" s="82" t="s">
        <v>5038</v>
      </c>
      <c r="CA8" s="82">
        <v>20</v>
      </c>
      <c r="CB8" s="83" t="s">
        <v>5435</v>
      </c>
      <c r="CC8">
        <v>60</v>
      </c>
      <c r="CD8" t="s">
        <v>741</v>
      </c>
      <c r="CE8" s="85" t="s">
        <v>5436</v>
      </c>
      <c r="CF8" s="85" t="s">
        <v>5437</v>
      </c>
      <c r="CG8" s="86" t="s">
        <v>1</v>
      </c>
      <c r="CH8" s="87">
        <v>100</v>
      </c>
      <c r="CI8" s="87">
        <v>95</v>
      </c>
      <c r="CJ8" s="87">
        <v>5</v>
      </c>
      <c r="CK8" s="93" t="s">
        <v>5438</v>
      </c>
      <c r="CL8">
        <v>100</v>
      </c>
      <c r="CM8" t="s">
        <v>5439</v>
      </c>
      <c r="CN8" s="94" t="s">
        <v>5440</v>
      </c>
      <c r="CO8" s="94" t="s">
        <v>5441</v>
      </c>
      <c r="CP8" s="95" t="s">
        <v>1</v>
      </c>
      <c r="CQ8" s="96">
        <v>90</v>
      </c>
      <c r="CR8" s="96">
        <v>90</v>
      </c>
      <c r="CS8" s="96">
        <v>10</v>
      </c>
      <c r="CT8" s="99" t="s">
        <v>5442</v>
      </c>
      <c r="CU8">
        <v>90</v>
      </c>
      <c r="CV8" t="s">
        <v>5443</v>
      </c>
      <c r="CW8" s="100" t="s">
        <v>5444</v>
      </c>
      <c r="CX8" s="100" t="s">
        <v>5445</v>
      </c>
      <c r="CY8" s="101" t="s">
        <v>1</v>
      </c>
      <c r="CZ8" s="102">
        <v>90</v>
      </c>
      <c r="DA8" s="102">
        <v>100</v>
      </c>
      <c r="DB8" s="102">
        <v>15</v>
      </c>
      <c r="DC8" s="103" t="s">
        <v>5446</v>
      </c>
      <c r="DD8">
        <v>90</v>
      </c>
      <c r="DE8" t="s">
        <v>1074</v>
      </c>
      <c r="DF8" s="104" t="s">
        <v>5447</v>
      </c>
      <c r="DG8" s="104" t="s">
        <v>5448</v>
      </c>
      <c r="DH8" s="105" t="s">
        <v>1</v>
      </c>
      <c r="DI8" s="106">
        <v>130</v>
      </c>
      <c r="DJ8" s="106">
        <v>85</v>
      </c>
      <c r="DK8" s="106">
        <v>5</v>
      </c>
      <c r="DL8" s="107" t="s">
        <v>5449</v>
      </c>
      <c r="DM8">
        <v>130</v>
      </c>
      <c r="DN8" t="s">
        <v>1084</v>
      </c>
      <c r="DO8" s="108" t="s">
        <v>5450</v>
      </c>
      <c r="DP8" s="108" t="s">
        <v>5451</v>
      </c>
      <c r="DQ8" s="109" t="s">
        <v>2</v>
      </c>
      <c r="DR8" s="110">
        <v>50</v>
      </c>
      <c r="DS8" s="110">
        <v>100</v>
      </c>
      <c r="DT8" s="110">
        <v>25</v>
      </c>
      <c r="DU8" s="111" t="s">
        <v>5452</v>
      </c>
      <c r="DV8">
        <v>50</v>
      </c>
      <c r="DW8" t="s">
        <v>804</v>
      </c>
      <c r="DX8" s="112" t="s">
        <v>5453</v>
      </c>
      <c r="DY8" s="112" t="s">
        <v>5454</v>
      </c>
      <c r="DZ8" s="113" t="s">
        <v>1</v>
      </c>
      <c r="EA8" s="114">
        <v>85</v>
      </c>
      <c r="EB8" s="114">
        <v>90</v>
      </c>
      <c r="EC8" s="114">
        <v>10</v>
      </c>
      <c r="ED8" s="115" t="s">
        <v>5455</v>
      </c>
      <c r="EE8">
        <v>85</v>
      </c>
      <c r="EF8" t="s">
        <v>1176</v>
      </c>
      <c r="EG8" s="116" t="s">
        <v>5456</v>
      </c>
      <c r="EH8" s="116" t="s">
        <v>5457</v>
      </c>
      <c r="EI8" s="120" t="s">
        <v>2</v>
      </c>
      <c r="EJ8" s="118">
        <v>40</v>
      </c>
      <c r="EK8" s="118">
        <v>100</v>
      </c>
      <c r="EL8" s="118">
        <v>20</v>
      </c>
      <c r="EM8" s="119" t="s">
        <v>5458</v>
      </c>
      <c r="EN8">
        <v>40</v>
      </c>
      <c r="EO8" t="s">
        <v>5459</v>
      </c>
      <c r="EP8" s="121" t="s">
        <v>5460</v>
      </c>
      <c r="EQ8" s="121" t="s">
        <v>5461</v>
      </c>
      <c r="ER8" s="122" t="s">
        <v>1</v>
      </c>
      <c r="ES8" s="123">
        <v>50</v>
      </c>
      <c r="ET8" s="123">
        <v>100</v>
      </c>
      <c r="EU8" s="123">
        <v>10</v>
      </c>
      <c r="EV8" s="124" t="s">
        <v>5462</v>
      </c>
      <c r="EW8" t="e">
        <f>IF(伤害计算器!C37&lt;伤害计算器!J37,100,50)</f>
        <v>#VALUE!</v>
      </c>
    </row>
    <row r="9" ht="61.5" spans="1:153">
      <c r="A9" t="s">
        <v>636</v>
      </c>
      <c r="B9" s="45" t="s">
        <v>5463</v>
      </c>
      <c r="C9" s="45" t="s">
        <v>5464</v>
      </c>
      <c r="D9" s="42" t="s">
        <v>1</v>
      </c>
      <c r="E9" s="46">
        <v>18</v>
      </c>
      <c r="F9" s="46">
        <v>80</v>
      </c>
      <c r="G9" s="46">
        <v>15</v>
      </c>
      <c r="H9" s="47" t="s">
        <v>5465</v>
      </c>
      <c r="I9">
        <v>18</v>
      </c>
      <c r="J9" t="s">
        <v>5466</v>
      </c>
      <c r="K9" s="48" t="s">
        <v>5467</v>
      </c>
      <c r="L9" s="48" t="s">
        <v>5468</v>
      </c>
      <c r="M9" s="49" t="s">
        <v>1</v>
      </c>
      <c r="N9" s="50">
        <v>40</v>
      </c>
      <c r="O9" s="50">
        <v>100</v>
      </c>
      <c r="P9" s="50">
        <v>30</v>
      </c>
      <c r="Q9" s="51" t="s">
        <v>5469</v>
      </c>
      <c r="R9">
        <v>40</v>
      </c>
      <c r="S9" t="s">
        <v>658</v>
      </c>
      <c r="T9" s="52" t="s">
        <v>5470</v>
      </c>
      <c r="U9" s="52" t="s">
        <v>5471</v>
      </c>
      <c r="V9" s="53" t="s">
        <v>1</v>
      </c>
      <c r="W9" s="54">
        <v>85</v>
      </c>
      <c r="X9" s="54">
        <v>85</v>
      </c>
      <c r="Y9" s="54">
        <v>5</v>
      </c>
      <c r="Z9" s="56" t="s">
        <v>5472</v>
      </c>
      <c r="AA9">
        <v>85</v>
      </c>
      <c r="AB9" t="s">
        <v>620</v>
      </c>
      <c r="AC9" s="57" t="s">
        <v>5473</v>
      </c>
      <c r="AD9" s="57" t="s">
        <v>5474</v>
      </c>
      <c r="AE9" s="60" t="s">
        <v>2</v>
      </c>
      <c r="AF9" s="59">
        <v>40</v>
      </c>
      <c r="AG9" s="59">
        <v>100</v>
      </c>
      <c r="AH9" s="59">
        <v>30</v>
      </c>
      <c r="AI9" s="61" t="s">
        <v>5475</v>
      </c>
      <c r="AJ9">
        <v>40</v>
      </c>
      <c r="AK9" t="s">
        <v>5476</v>
      </c>
      <c r="AL9" s="62" t="s">
        <v>5477</v>
      </c>
      <c r="AM9" s="62" t="s">
        <v>5478</v>
      </c>
      <c r="AN9" s="63" t="s">
        <v>1</v>
      </c>
      <c r="AO9" s="64">
        <v>80</v>
      </c>
      <c r="AP9" s="64">
        <v>100</v>
      </c>
      <c r="AQ9" s="64">
        <v>10</v>
      </c>
      <c r="AR9" s="65" t="s">
        <v>5479</v>
      </c>
      <c r="AS9">
        <v>80</v>
      </c>
      <c r="AT9" t="s">
        <v>781</v>
      </c>
      <c r="AU9" s="66" t="s">
        <v>5480</v>
      </c>
      <c r="AV9" s="66" t="s">
        <v>5481</v>
      </c>
      <c r="AW9" s="67" t="s">
        <v>1</v>
      </c>
      <c r="AX9" s="68">
        <v>150</v>
      </c>
      <c r="AY9" s="68">
        <v>90</v>
      </c>
      <c r="AZ9" s="68">
        <v>5</v>
      </c>
      <c r="BA9" s="69" t="s">
        <v>5482</v>
      </c>
      <c r="BB9">
        <v>150</v>
      </c>
      <c r="BC9" t="s">
        <v>5483</v>
      </c>
      <c r="BD9" s="70" t="s">
        <v>5484</v>
      </c>
      <c r="BE9" s="70" t="s">
        <v>5485</v>
      </c>
      <c r="BF9" s="71" t="s">
        <v>1</v>
      </c>
      <c r="BG9" s="72">
        <v>70</v>
      </c>
      <c r="BH9" s="72">
        <v>100</v>
      </c>
      <c r="BI9" s="72">
        <v>20</v>
      </c>
      <c r="BJ9" s="73" t="s">
        <v>5486</v>
      </c>
      <c r="BK9">
        <v>70</v>
      </c>
      <c r="BL9" t="s">
        <v>5487</v>
      </c>
      <c r="BM9" s="75" t="s">
        <v>5488</v>
      </c>
      <c r="BN9" s="75" t="s">
        <v>5489</v>
      </c>
      <c r="BO9" s="79" t="s">
        <v>2</v>
      </c>
      <c r="BP9" s="77" t="s">
        <v>5038</v>
      </c>
      <c r="BQ9" s="77">
        <v>100</v>
      </c>
      <c r="BR9" s="77">
        <v>15</v>
      </c>
      <c r="BS9" s="78" t="s">
        <v>5490</v>
      </c>
      <c r="BT9" t="s">
        <v>86</v>
      </c>
      <c r="BU9" t="s">
        <v>852</v>
      </c>
      <c r="BV9" s="80" t="s">
        <v>5491</v>
      </c>
      <c r="BW9" s="80" t="s">
        <v>5492</v>
      </c>
      <c r="BX9" s="81" t="s">
        <v>1</v>
      </c>
      <c r="BY9" s="82">
        <v>70</v>
      </c>
      <c r="BZ9" s="82">
        <v>90</v>
      </c>
      <c r="CA9" s="82">
        <v>25</v>
      </c>
      <c r="CB9" s="83" t="s">
        <v>5493</v>
      </c>
      <c r="CC9">
        <v>70</v>
      </c>
      <c r="CD9" t="s">
        <v>925</v>
      </c>
      <c r="CE9" s="85" t="s">
        <v>5494</v>
      </c>
      <c r="CF9" s="85" t="s">
        <v>5495</v>
      </c>
      <c r="CG9" s="86" t="s">
        <v>1</v>
      </c>
      <c r="CH9" s="87">
        <v>120</v>
      </c>
      <c r="CI9" s="87">
        <v>100</v>
      </c>
      <c r="CJ9" s="87">
        <v>15</v>
      </c>
      <c r="CK9" s="93" t="s">
        <v>5496</v>
      </c>
      <c r="CL9">
        <v>120</v>
      </c>
      <c r="CM9" t="s">
        <v>694</v>
      </c>
      <c r="CN9" s="94" t="s">
        <v>5497</v>
      </c>
      <c r="CO9" s="94" t="s">
        <v>5498</v>
      </c>
      <c r="CP9" s="95" t="s">
        <v>1</v>
      </c>
      <c r="CQ9" s="96">
        <v>15</v>
      </c>
      <c r="CR9" s="96">
        <v>100</v>
      </c>
      <c r="CS9" s="96">
        <v>20</v>
      </c>
      <c r="CT9" s="99" t="s">
        <v>5499</v>
      </c>
      <c r="CU9">
        <v>15</v>
      </c>
      <c r="CV9" t="s">
        <v>5500</v>
      </c>
      <c r="CW9" s="100" t="s">
        <v>5501</v>
      </c>
      <c r="CX9" s="100" t="s">
        <v>5502</v>
      </c>
      <c r="CY9" s="101" t="s">
        <v>1</v>
      </c>
      <c r="CZ9" s="102">
        <v>120</v>
      </c>
      <c r="DA9" s="102">
        <v>85</v>
      </c>
      <c r="DB9" s="102">
        <v>10</v>
      </c>
      <c r="DC9" s="103" t="s">
        <v>5503</v>
      </c>
      <c r="DD9">
        <v>120</v>
      </c>
      <c r="DE9" t="s">
        <v>5504</v>
      </c>
      <c r="DF9" s="104" t="s">
        <v>5505</v>
      </c>
      <c r="DG9" s="104" t="s">
        <v>5506</v>
      </c>
      <c r="DH9" s="105" t="s">
        <v>1</v>
      </c>
      <c r="DI9" s="106">
        <v>20</v>
      </c>
      <c r="DJ9" s="106">
        <v>100</v>
      </c>
      <c r="DK9" s="106">
        <v>20</v>
      </c>
      <c r="DL9" s="107" t="s">
        <v>5507</v>
      </c>
      <c r="DM9">
        <v>20</v>
      </c>
      <c r="DN9" t="s">
        <v>1079</v>
      </c>
      <c r="DO9" s="108" t="s">
        <v>5508</v>
      </c>
      <c r="DP9" s="108" t="s">
        <v>5509</v>
      </c>
      <c r="DQ9" s="109" t="s">
        <v>2</v>
      </c>
      <c r="DR9" s="110">
        <v>65</v>
      </c>
      <c r="DS9" s="110">
        <v>100</v>
      </c>
      <c r="DT9" s="110">
        <v>20</v>
      </c>
      <c r="DU9" s="111" t="s">
        <v>5510</v>
      </c>
      <c r="DV9">
        <v>65</v>
      </c>
      <c r="DW9" t="s">
        <v>752</v>
      </c>
      <c r="DX9" s="112" t="s">
        <v>5511</v>
      </c>
      <c r="DY9" s="112" t="s">
        <v>5512</v>
      </c>
      <c r="DZ9" s="113" t="s">
        <v>1</v>
      </c>
      <c r="EA9" s="114">
        <v>140</v>
      </c>
      <c r="EB9" s="114">
        <v>90</v>
      </c>
      <c r="EC9" s="114">
        <v>5</v>
      </c>
      <c r="ED9" s="115" t="s">
        <v>5513</v>
      </c>
      <c r="EE9">
        <v>140</v>
      </c>
      <c r="EF9" t="s">
        <v>1171</v>
      </c>
      <c r="EG9" s="116" t="s">
        <v>5514</v>
      </c>
      <c r="EH9" s="116" t="s">
        <v>5515</v>
      </c>
      <c r="EI9" s="120" t="s">
        <v>2</v>
      </c>
      <c r="EJ9" s="118">
        <v>60</v>
      </c>
      <c r="EK9" s="118">
        <v>100</v>
      </c>
      <c r="EL9" s="118">
        <v>20</v>
      </c>
      <c r="EM9" s="119" t="s">
        <v>5516</v>
      </c>
      <c r="EN9">
        <v>60</v>
      </c>
      <c r="EO9" t="s">
        <v>5517</v>
      </c>
      <c r="EP9" s="121" t="s">
        <v>5518</v>
      </c>
      <c r="EQ9" s="121" t="s">
        <v>5519</v>
      </c>
      <c r="ER9" s="122" t="s">
        <v>1</v>
      </c>
      <c r="ES9" s="123">
        <v>50</v>
      </c>
      <c r="ET9" s="123">
        <v>100</v>
      </c>
      <c r="EU9" s="123">
        <v>10</v>
      </c>
      <c r="EV9" s="124" t="s">
        <v>5520</v>
      </c>
      <c r="EW9">
        <v>50</v>
      </c>
    </row>
    <row r="10" ht="84.75" spans="1:153">
      <c r="A10" t="s">
        <v>5521</v>
      </c>
      <c r="B10" s="45" t="s">
        <v>5522</v>
      </c>
      <c r="C10" s="45" t="s">
        <v>5523</v>
      </c>
      <c r="D10" s="42" t="s">
        <v>1</v>
      </c>
      <c r="E10" s="46">
        <v>20</v>
      </c>
      <c r="F10" s="46">
        <v>100</v>
      </c>
      <c r="G10" s="46">
        <v>20</v>
      </c>
      <c r="H10" s="47" t="s">
        <v>5524</v>
      </c>
      <c r="I10">
        <v>20</v>
      </c>
      <c r="J10" t="s">
        <v>5525</v>
      </c>
      <c r="K10" s="48" t="s">
        <v>5526</v>
      </c>
      <c r="L10" s="48" t="s">
        <v>5527</v>
      </c>
      <c r="M10" s="49" t="s">
        <v>1</v>
      </c>
      <c r="N10" s="50">
        <v>40</v>
      </c>
      <c r="O10" s="50">
        <v>100</v>
      </c>
      <c r="P10" s="50">
        <v>30</v>
      </c>
      <c r="Q10" s="51" t="s">
        <v>5528</v>
      </c>
      <c r="R10">
        <v>40</v>
      </c>
      <c r="S10" t="s">
        <v>5529</v>
      </c>
      <c r="T10" s="52" t="s">
        <v>5530</v>
      </c>
      <c r="U10" s="52" t="s">
        <v>5531</v>
      </c>
      <c r="V10" s="53" t="s">
        <v>1</v>
      </c>
      <c r="W10" s="54">
        <v>90</v>
      </c>
      <c r="X10" s="54">
        <v>95</v>
      </c>
      <c r="Y10" s="54">
        <v>15</v>
      </c>
      <c r="Z10" s="56" t="s">
        <v>5532</v>
      </c>
      <c r="AA10">
        <v>90</v>
      </c>
      <c r="AB10" t="s">
        <v>747</v>
      </c>
      <c r="AC10" s="57" t="s">
        <v>5533</v>
      </c>
      <c r="AD10" s="57" t="s">
        <v>5534</v>
      </c>
      <c r="AE10" s="60" t="s">
        <v>2</v>
      </c>
      <c r="AF10" s="59">
        <v>40</v>
      </c>
      <c r="AG10" s="59">
        <v>100</v>
      </c>
      <c r="AH10" s="59">
        <v>20</v>
      </c>
      <c r="AI10" s="61" t="s">
        <v>5535</v>
      </c>
      <c r="AJ10">
        <v>40</v>
      </c>
      <c r="AK10" t="s">
        <v>5536</v>
      </c>
      <c r="AL10" s="62" t="s">
        <v>5537</v>
      </c>
      <c r="AM10" s="62" t="s">
        <v>5538</v>
      </c>
      <c r="AN10" s="63" t="s">
        <v>1</v>
      </c>
      <c r="AO10" s="64">
        <v>80</v>
      </c>
      <c r="AP10" s="64">
        <v>95</v>
      </c>
      <c r="AQ10" s="64">
        <v>10</v>
      </c>
      <c r="AR10" s="65" t="s">
        <v>5539</v>
      </c>
      <c r="AS10">
        <v>80</v>
      </c>
      <c r="AT10" t="s">
        <v>5540</v>
      </c>
      <c r="AU10" s="66" t="s">
        <v>5541</v>
      </c>
      <c r="AV10" s="66" t="s">
        <v>5542</v>
      </c>
      <c r="AW10" s="67" t="s">
        <v>1</v>
      </c>
      <c r="AX10" s="68">
        <v>150</v>
      </c>
      <c r="AY10" s="68">
        <v>80</v>
      </c>
      <c r="AZ10" s="68">
        <v>5</v>
      </c>
      <c r="BA10" s="69" t="s">
        <v>5543</v>
      </c>
      <c r="BB10">
        <v>150</v>
      </c>
      <c r="BC10" t="s">
        <v>5544</v>
      </c>
      <c r="BD10" s="70" t="s">
        <v>5545</v>
      </c>
      <c r="BE10" s="70" t="s">
        <v>5546</v>
      </c>
      <c r="BF10" s="71" t="s">
        <v>1</v>
      </c>
      <c r="BG10" s="72">
        <v>80</v>
      </c>
      <c r="BH10" s="72">
        <v>100</v>
      </c>
      <c r="BI10" s="72">
        <v>15</v>
      </c>
      <c r="BJ10" s="73" t="s">
        <v>5547</v>
      </c>
      <c r="BK10">
        <v>80</v>
      </c>
      <c r="BL10" t="s">
        <v>5548</v>
      </c>
      <c r="BM10" s="75" t="s">
        <v>5549</v>
      </c>
      <c r="BN10" s="75" t="s">
        <v>5550</v>
      </c>
      <c r="BO10" s="79" t="s">
        <v>2</v>
      </c>
      <c r="BP10" s="77">
        <v>60</v>
      </c>
      <c r="BQ10" s="77">
        <v>100</v>
      </c>
      <c r="BR10" s="77">
        <v>10</v>
      </c>
      <c r="BS10" s="78" t="s">
        <v>5551</v>
      </c>
      <c r="BT10">
        <f>IF(IF(伤害计算器!F28=1,ISBLANK(伤害计算器!Q14),ISBLANK(伤害计算器!F14)),60,120)</f>
        <v>60</v>
      </c>
      <c r="BU10" t="s">
        <v>882</v>
      </c>
      <c r="BV10" s="80" t="s">
        <v>5552</v>
      </c>
      <c r="BW10" s="80" t="s">
        <v>5553</v>
      </c>
      <c r="BX10" s="81" t="s">
        <v>1</v>
      </c>
      <c r="BY10" s="82">
        <v>80</v>
      </c>
      <c r="BZ10" s="82">
        <v>100</v>
      </c>
      <c r="CA10" s="82">
        <v>15</v>
      </c>
      <c r="CB10" s="83" t="s">
        <v>5554</v>
      </c>
      <c r="CC10">
        <v>80</v>
      </c>
      <c r="CD10" t="s">
        <v>5555</v>
      </c>
      <c r="CE10" s="85" t="s">
        <v>5556</v>
      </c>
      <c r="CF10" s="85" t="s">
        <v>5557</v>
      </c>
      <c r="CG10" s="86" t="s">
        <v>1</v>
      </c>
      <c r="CH10" s="87">
        <v>180</v>
      </c>
      <c r="CI10" s="87">
        <v>95</v>
      </c>
      <c r="CJ10" s="87">
        <v>5</v>
      </c>
      <c r="CK10" s="93" t="s">
        <v>5558</v>
      </c>
      <c r="CL10">
        <v>180</v>
      </c>
      <c r="CM10" t="s">
        <v>660</v>
      </c>
      <c r="CN10" s="94" t="s">
        <v>5559</v>
      </c>
      <c r="CO10" s="94" t="s">
        <v>5560</v>
      </c>
      <c r="CP10" s="97" t="s">
        <v>2</v>
      </c>
      <c r="CQ10" s="96">
        <v>40</v>
      </c>
      <c r="CR10" s="96">
        <v>100</v>
      </c>
      <c r="CS10" s="96">
        <v>40</v>
      </c>
      <c r="CT10" s="99" t="s">
        <v>5561</v>
      </c>
      <c r="CU10">
        <v>40</v>
      </c>
      <c r="CV10" t="s">
        <v>5562</v>
      </c>
      <c r="CW10" s="100" t="s">
        <v>5563</v>
      </c>
      <c r="CX10" s="100" t="s">
        <v>5564</v>
      </c>
      <c r="CY10" s="101" t="s">
        <v>1</v>
      </c>
      <c r="CZ10" s="102">
        <v>120</v>
      </c>
      <c r="DA10" s="102">
        <v>100</v>
      </c>
      <c r="DB10" s="102">
        <v>15</v>
      </c>
      <c r="DC10" s="103" t="s">
        <v>5565</v>
      </c>
      <c r="DD10">
        <v>120</v>
      </c>
      <c r="DE10" t="s">
        <v>5566</v>
      </c>
      <c r="DF10" s="104" t="s">
        <v>5567</v>
      </c>
      <c r="DG10" s="104" t="s">
        <v>5568</v>
      </c>
      <c r="DH10" s="105" t="s">
        <v>2</v>
      </c>
      <c r="DI10" s="106" t="s">
        <v>5038</v>
      </c>
      <c r="DJ10" s="106">
        <v>100</v>
      </c>
      <c r="DK10" s="106">
        <v>10</v>
      </c>
      <c r="DL10" s="107" t="s">
        <v>5569</v>
      </c>
      <c r="DM10" t="e">
        <f>SUM(A99:A103)</f>
        <v>#VALUE!</v>
      </c>
      <c r="DN10" t="s">
        <v>1094</v>
      </c>
      <c r="DO10" s="108" t="s">
        <v>5570</v>
      </c>
      <c r="DP10" s="108" t="s">
        <v>5571</v>
      </c>
      <c r="DQ10" s="109" t="s">
        <v>2</v>
      </c>
      <c r="DR10" s="110">
        <v>70</v>
      </c>
      <c r="DS10" s="110">
        <v>100</v>
      </c>
      <c r="DT10" s="110">
        <v>5</v>
      </c>
      <c r="DU10" s="111" t="s">
        <v>5572</v>
      </c>
      <c r="DV10">
        <v>70</v>
      </c>
      <c r="DW10" t="s">
        <v>5573</v>
      </c>
      <c r="DX10" s="112" t="s">
        <v>5574</v>
      </c>
      <c r="DY10" s="112" t="s">
        <v>5575</v>
      </c>
      <c r="DZ10" s="113" t="s">
        <v>2</v>
      </c>
      <c r="EA10" s="114" t="s">
        <v>5038</v>
      </c>
      <c r="EB10" s="114">
        <v>30</v>
      </c>
      <c r="EC10" s="114">
        <v>5</v>
      </c>
      <c r="ED10" s="115" t="s">
        <v>5576</v>
      </c>
      <c r="EE10" t="s">
        <v>86</v>
      </c>
      <c r="EF10" t="s">
        <v>5577</v>
      </c>
      <c r="EG10" s="116" t="s">
        <v>5578</v>
      </c>
      <c r="EH10" s="116" t="s">
        <v>5579</v>
      </c>
      <c r="EI10" s="120" t="s">
        <v>2</v>
      </c>
      <c r="EJ10" s="118">
        <v>85</v>
      </c>
      <c r="EK10" s="118">
        <v>100</v>
      </c>
      <c r="EL10" s="118">
        <v>10</v>
      </c>
      <c r="EM10" s="119" t="s">
        <v>5580</v>
      </c>
      <c r="EN10">
        <v>85</v>
      </c>
      <c r="EO10" t="s">
        <v>1186</v>
      </c>
      <c r="EP10" s="121" t="s">
        <v>5581</v>
      </c>
      <c r="EQ10" s="121" t="s">
        <v>5582</v>
      </c>
      <c r="ER10" s="122" t="s">
        <v>1</v>
      </c>
      <c r="ES10" s="123">
        <v>60</v>
      </c>
      <c r="ET10" s="123">
        <v>100</v>
      </c>
      <c r="EU10" s="123">
        <v>25</v>
      </c>
      <c r="EV10" s="124" t="s">
        <v>5583</v>
      </c>
      <c r="EW10">
        <v>60</v>
      </c>
    </row>
    <row r="11" ht="72.75" spans="1:153">
      <c r="A11" t="s">
        <v>619</v>
      </c>
      <c r="B11" s="45" t="s">
        <v>5584</v>
      </c>
      <c r="C11" s="45" t="s">
        <v>5585</v>
      </c>
      <c r="D11" s="42" t="s">
        <v>1</v>
      </c>
      <c r="E11" s="46">
        <v>20</v>
      </c>
      <c r="F11" s="46">
        <v>100</v>
      </c>
      <c r="G11" s="46">
        <v>15</v>
      </c>
      <c r="H11" s="47" t="s">
        <v>5586</v>
      </c>
      <c r="I11">
        <v>20</v>
      </c>
      <c r="J11" t="s">
        <v>618</v>
      </c>
      <c r="K11" s="48" t="s">
        <v>5587</v>
      </c>
      <c r="L11" s="48" t="s">
        <v>5588</v>
      </c>
      <c r="M11" s="49" t="s">
        <v>1</v>
      </c>
      <c r="N11" s="50">
        <v>40</v>
      </c>
      <c r="O11" s="50">
        <v>100</v>
      </c>
      <c r="P11" s="50">
        <v>15</v>
      </c>
      <c r="Q11" s="51" t="s">
        <v>5589</v>
      </c>
      <c r="R11">
        <v>40</v>
      </c>
      <c r="S11" t="s">
        <v>5590</v>
      </c>
      <c r="T11" s="52" t="s">
        <v>5591</v>
      </c>
      <c r="U11" s="52" t="s">
        <v>5592</v>
      </c>
      <c r="V11" s="53" t="s">
        <v>1</v>
      </c>
      <c r="W11" s="54">
        <v>120</v>
      </c>
      <c r="X11" s="54">
        <v>100</v>
      </c>
      <c r="Y11" s="54">
        <v>15</v>
      </c>
      <c r="Z11" s="56" t="s">
        <v>5593</v>
      </c>
      <c r="AA11">
        <v>120</v>
      </c>
      <c r="AB11" t="s">
        <v>5594</v>
      </c>
      <c r="AC11" s="57" t="s">
        <v>5595</v>
      </c>
      <c r="AD11" s="57" t="s">
        <v>5596</v>
      </c>
      <c r="AE11" s="60" t="s">
        <v>2</v>
      </c>
      <c r="AF11" s="59">
        <v>50</v>
      </c>
      <c r="AG11" s="59" t="s">
        <v>5038</v>
      </c>
      <c r="AH11" s="59">
        <v>15</v>
      </c>
      <c r="AI11" s="61" t="s">
        <v>5597</v>
      </c>
      <c r="AJ11">
        <v>50</v>
      </c>
      <c r="AK11" t="s">
        <v>782</v>
      </c>
      <c r="AL11" s="62" t="s">
        <v>5598</v>
      </c>
      <c r="AM11" s="62" t="s">
        <v>5599</v>
      </c>
      <c r="AN11" s="63" t="s">
        <v>1</v>
      </c>
      <c r="AO11" s="64">
        <v>90</v>
      </c>
      <c r="AP11" s="64">
        <v>100</v>
      </c>
      <c r="AQ11" s="64">
        <v>10</v>
      </c>
      <c r="AR11" s="65" t="s">
        <v>5600</v>
      </c>
      <c r="AS11">
        <v>90</v>
      </c>
      <c r="AT11" t="s">
        <v>794</v>
      </c>
      <c r="AU11" s="66" t="s">
        <v>5601</v>
      </c>
      <c r="AV11" s="66" t="s">
        <v>5602</v>
      </c>
      <c r="AW11" s="67" t="s">
        <v>2</v>
      </c>
      <c r="AX11" s="68">
        <v>60</v>
      </c>
      <c r="AY11" s="68">
        <v>100</v>
      </c>
      <c r="AZ11" s="68">
        <v>5</v>
      </c>
      <c r="BA11" s="69" t="s">
        <v>5603</v>
      </c>
      <c r="BB11">
        <v>60</v>
      </c>
      <c r="BC11" t="s">
        <v>787</v>
      </c>
      <c r="BD11" s="70" t="s">
        <v>5604</v>
      </c>
      <c r="BE11" s="70" t="s">
        <v>5605</v>
      </c>
      <c r="BF11" s="71" t="s">
        <v>1</v>
      </c>
      <c r="BG11" s="72">
        <v>90</v>
      </c>
      <c r="BH11" s="72">
        <v>100</v>
      </c>
      <c r="BI11" s="72">
        <v>15</v>
      </c>
      <c r="BJ11" s="73" t="s">
        <v>5606</v>
      </c>
      <c r="BK11">
        <v>90</v>
      </c>
      <c r="BL11" t="s">
        <v>847</v>
      </c>
      <c r="BM11" s="75" t="s">
        <v>5607</v>
      </c>
      <c r="BN11" s="75" t="s">
        <v>5608</v>
      </c>
      <c r="BO11" s="79" t="s">
        <v>2</v>
      </c>
      <c r="BP11" s="77">
        <v>60</v>
      </c>
      <c r="BQ11" s="77">
        <v>100</v>
      </c>
      <c r="BR11" s="77">
        <v>5</v>
      </c>
      <c r="BS11" s="78" t="s">
        <v>5609</v>
      </c>
      <c r="BT11">
        <v>60</v>
      </c>
      <c r="BU11" t="s">
        <v>857</v>
      </c>
      <c r="BV11" s="80" t="s">
        <v>5610</v>
      </c>
      <c r="BW11" s="80" t="s">
        <v>5611</v>
      </c>
      <c r="BX11" s="81" t="s">
        <v>1</v>
      </c>
      <c r="BY11" s="82">
        <v>100</v>
      </c>
      <c r="BZ11" s="82">
        <v>75</v>
      </c>
      <c r="CA11" s="82">
        <v>15</v>
      </c>
      <c r="CB11" s="83" t="s">
        <v>5612</v>
      </c>
      <c r="CC11">
        <v>100</v>
      </c>
      <c r="CD11" t="s">
        <v>628</v>
      </c>
      <c r="CE11" s="85" t="s">
        <v>5613</v>
      </c>
      <c r="CF11" s="85" t="s">
        <v>5614</v>
      </c>
      <c r="CG11" s="88" t="s">
        <v>2</v>
      </c>
      <c r="CH11" s="87">
        <v>60</v>
      </c>
      <c r="CI11" s="87">
        <v>100</v>
      </c>
      <c r="CJ11" s="87">
        <v>15</v>
      </c>
      <c r="CK11" s="93" t="s">
        <v>5615</v>
      </c>
      <c r="CL11">
        <v>60</v>
      </c>
      <c r="CM11" t="s">
        <v>5616</v>
      </c>
      <c r="CN11" s="94" t="s">
        <v>5617</v>
      </c>
      <c r="CO11" s="94" t="s">
        <v>5618</v>
      </c>
      <c r="CP11" s="97" t="s">
        <v>2</v>
      </c>
      <c r="CQ11" s="96">
        <v>35</v>
      </c>
      <c r="CR11" s="96">
        <v>85</v>
      </c>
      <c r="CS11" s="96">
        <v>15</v>
      </c>
      <c r="CT11" s="99" t="s">
        <v>5619</v>
      </c>
      <c r="CU11">
        <v>35</v>
      </c>
      <c r="CV11" t="s">
        <v>5620</v>
      </c>
      <c r="CW11" s="100" t="s">
        <v>5621</v>
      </c>
      <c r="CX11" s="100" t="s">
        <v>5622</v>
      </c>
      <c r="CY11" s="101" t="s">
        <v>1</v>
      </c>
      <c r="CZ11" s="102">
        <v>90</v>
      </c>
      <c r="DA11" s="102">
        <v>100</v>
      </c>
      <c r="DB11" s="102">
        <v>15</v>
      </c>
      <c r="DC11" s="103" t="s">
        <v>5623</v>
      </c>
      <c r="DD11">
        <v>90</v>
      </c>
      <c r="DE11" t="s">
        <v>1026</v>
      </c>
      <c r="DF11" s="104" t="s">
        <v>5624</v>
      </c>
      <c r="DG11" s="104" t="s">
        <v>5625</v>
      </c>
      <c r="DH11" s="105" t="s">
        <v>2</v>
      </c>
      <c r="DI11" s="106">
        <v>40</v>
      </c>
      <c r="DJ11" s="106">
        <v>100</v>
      </c>
      <c r="DK11" s="106">
        <v>30</v>
      </c>
      <c r="DL11" s="107" t="s">
        <v>5626</v>
      </c>
      <c r="DM11">
        <v>40</v>
      </c>
      <c r="DN11" t="s">
        <v>1099</v>
      </c>
      <c r="DO11" s="108" t="s">
        <v>5627</v>
      </c>
      <c r="DP11" s="108" t="s">
        <v>5628</v>
      </c>
      <c r="DQ11" s="109" t="s">
        <v>2</v>
      </c>
      <c r="DR11" s="110">
        <v>70</v>
      </c>
      <c r="DS11" s="110">
        <v>100</v>
      </c>
      <c r="DT11" s="110">
        <v>5</v>
      </c>
      <c r="DU11" s="111" t="s">
        <v>5629</v>
      </c>
      <c r="DV11">
        <v>70</v>
      </c>
      <c r="DW11" t="s">
        <v>1138</v>
      </c>
      <c r="DX11" s="112" t="s">
        <v>5630</v>
      </c>
      <c r="DY11" s="112" t="s">
        <v>5631</v>
      </c>
      <c r="DZ11" s="113" t="s">
        <v>2</v>
      </c>
      <c r="EA11" s="114">
        <v>40</v>
      </c>
      <c r="EB11" s="114">
        <v>100</v>
      </c>
      <c r="EC11" s="114">
        <v>25</v>
      </c>
      <c r="ED11" s="115" t="s">
        <v>5632</v>
      </c>
      <c r="EE11">
        <v>40</v>
      </c>
      <c r="EF11" t="s">
        <v>5633</v>
      </c>
      <c r="EG11" s="116" t="s">
        <v>5634</v>
      </c>
      <c r="EH11" s="116" t="s">
        <v>5635</v>
      </c>
      <c r="EI11" s="120" t="s">
        <v>2</v>
      </c>
      <c r="EJ11" s="118">
        <v>100</v>
      </c>
      <c r="EK11" s="118">
        <v>95</v>
      </c>
      <c r="EL11" s="118">
        <v>5</v>
      </c>
      <c r="EM11" s="119" t="s">
        <v>5636</v>
      </c>
      <c r="EN11">
        <v>100</v>
      </c>
      <c r="EO11" t="s">
        <v>5637</v>
      </c>
      <c r="EP11" s="121" t="s">
        <v>5638</v>
      </c>
      <c r="EQ11" s="121" t="s">
        <v>5639</v>
      </c>
      <c r="ER11" s="122" t="s">
        <v>1</v>
      </c>
      <c r="ES11" s="123">
        <v>60</v>
      </c>
      <c r="ET11" s="123" t="s">
        <v>5038</v>
      </c>
      <c r="EU11" s="123">
        <v>20</v>
      </c>
      <c r="EV11" s="124" t="s">
        <v>5640</v>
      </c>
      <c r="EW11">
        <v>60</v>
      </c>
    </row>
    <row r="12" ht="72.75" spans="1:153">
      <c r="A12" t="s">
        <v>5641</v>
      </c>
      <c r="B12" s="45" t="s">
        <v>5642</v>
      </c>
      <c r="C12" s="45" t="s">
        <v>5643</v>
      </c>
      <c r="D12" s="42" t="s">
        <v>1</v>
      </c>
      <c r="E12" s="46">
        <v>20</v>
      </c>
      <c r="F12" s="46">
        <v>100</v>
      </c>
      <c r="G12" s="46">
        <v>40</v>
      </c>
      <c r="H12" s="47" t="s">
        <v>5644</v>
      </c>
      <c r="I12">
        <v>20</v>
      </c>
      <c r="J12" t="s">
        <v>5645</v>
      </c>
      <c r="K12" s="48" t="s">
        <v>5646</v>
      </c>
      <c r="L12" s="48" t="s">
        <v>5647</v>
      </c>
      <c r="M12" s="49" t="s">
        <v>1</v>
      </c>
      <c r="N12" s="50">
        <v>60</v>
      </c>
      <c r="O12" s="50">
        <v>100</v>
      </c>
      <c r="P12" s="50">
        <v>10</v>
      </c>
      <c r="Q12" s="51" t="s">
        <v>5648</v>
      </c>
      <c r="R12">
        <v>60</v>
      </c>
      <c r="S12" t="s">
        <v>528</v>
      </c>
      <c r="T12" s="52" t="s">
        <v>5649</v>
      </c>
      <c r="U12" s="52" t="s">
        <v>5650</v>
      </c>
      <c r="V12" s="53" t="s">
        <v>1</v>
      </c>
      <c r="W12" s="54">
        <v>140</v>
      </c>
      <c r="X12" s="54">
        <v>90</v>
      </c>
      <c r="Y12" s="54">
        <v>5</v>
      </c>
      <c r="Z12" s="56" t="s">
        <v>5651</v>
      </c>
      <c r="AA12">
        <v>140</v>
      </c>
      <c r="AB12" t="s">
        <v>700</v>
      </c>
      <c r="AC12" s="57" t="s">
        <v>5652</v>
      </c>
      <c r="AD12" s="57" t="s">
        <v>5653</v>
      </c>
      <c r="AE12" s="60" t="s">
        <v>2</v>
      </c>
      <c r="AF12" s="59">
        <v>65</v>
      </c>
      <c r="AG12" s="59">
        <v>100</v>
      </c>
      <c r="AH12" s="59">
        <v>20</v>
      </c>
      <c r="AI12" s="61" t="s">
        <v>5654</v>
      </c>
      <c r="AJ12">
        <v>65</v>
      </c>
      <c r="AK12" t="s">
        <v>493</v>
      </c>
      <c r="AL12" s="62" t="s">
        <v>5655</v>
      </c>
      <c r="AM12" s="62" t="s">
        <v>5656</v>
      </c>
      <c r="AN12" s="63" t="s">
        <v>1</v>
      </c>
      <c r="AO12" s="64">
        <v>100</v>
      </c>
      <c r="AP12" s="64">
        <v>100</v>
      </c>
      <c r="AQ12" s="64">
        <v>10</v>
      </c>
      <c r="AR12" s="65" t="s">
        <v>5657</v>
      </c>
      <c r="AS12">
        <f>IF(伤害计算器!J23=3,50,100)</f>
        <v>100</v>
      </c>
      <c r="AT12" t="s">
        <v>5658</v>
      </c>
      <c r="AU12" s="66" t="s">
        <v>5659</v>
      </c>
      <c r="AV12" s="66" t="s">
        <v>5660</v>
      </c>
      <c r="AW12" s="67" t="s">
        <v>2</v>
      </c>
      <c r="AX12" s="68">
        <v>70</v>
      </c>
      <c r="AY12" s="68">
        <v>100</v>
      </c>
      <c r="AZ12" s="68">
        <v>20</v>
      </c>
      <c r="BA12" s="69" t="s">
        <v>5661</v>
      </c>
      <c r="BB12">
        <v>70</v>
      </c>
      <c r="BC12" t="s">
        <v>5662</v>
      </c>
      <c r="BD12" s="70" t="s">
        <v>5663</v>
      </c>
      <c r="BE12" s="70" t="s">
        <v>5664</v>
      </c>
      <c r="BF12" s="71" t="s">
        <v>1</v>
      </c>
      <c r="BG12" s="72">
        <v>120</v>
      </c>
      <c r="BH12" s="72">
        <v>85</v>
      </c>
      <c r="BI12" s="72">
        <v>10</v>
      </c>
      <c r="BJ12" s="73" t="s">
        <v>5665</v>
      </c>
      <c r="BK12">
        <v>120</v>
      </c>
      <c r="BL12" t="s">
        <v>837</v>
      </c>
      <c r="BM12" s="75" t="s">
        <v>5666</v>
      </c>
      <c r="BN12" s="75" t="s">
        <v>5667</v>
      </c>
      <c r="BO12" s="79" t="s">
        <v>2</v>
      </c>
      <c r="BP12" s="77">
        <v>80</v>
      </c>
      <c r="BQ12" s="77">
        <v>100</v>
      </c>
      <c r="BR12" s="77">
        <v>15</v>
      </c>
      <c r="BS12" s="78" t="s">
        <v>5668</v>
      </c>
      <c r="BT12">
        <v>80</v>
      </c>
      <c r="BU12" t="s">
        <v>867</v>
      </c>
      <c r="BV12" s="80" t="s">
        <v>5669</v>
      </c>
      <c r="BW12" s="80" t="s">
        <v>5670</v>
      </c>
      <c r="BX12" s="81" t="s">
        <v>1</v>
      </c>
      <c r="BY12" s="82">
        <v>90</v>
      </c>
      <c r="BZ12" s="82">
        <v>90</v>
      </c>
      <c r="CA12" s="82">
        <v>10</v>
      </c>
      <c r="CB12" s="83" t="s">
        <v>5671</v>
      </c>
      <c r="CC12">
        <v>90</v>
      </c>
      <c r="CD12" t="s">
        <v>5672</v>
      </c>
      <c r="CE12" s="85" t="s">
        <v>5673</v>
      </c>
      <c r="CF12" s="85" t="s">
        <v>5674</v>
      </c>
      <c r="CG12" s="88" t="s">
        <v>2</v>
      </c>
      <c r="CH12" s="87">
        <v>35</v>
      </c>
      <c r="CI12" s="87">
        <v>85</v>
      </c>
      <c r="CJ12" s="87">
        <v>15</v>
      </c>
      <c r="CK12" s="93" t="s">
        <v>5675</v>
      </c>
      <c r="CL12">
        <v>35</v>
      </c>
      <c r="CM12" t="s">
        <v>5676</v>
      </c>
      <c r="CN12" s="94" t="s">
        <v>5677</v>
      </c>
      <c r="CO12" s="94" t="s">
        <v>5678</v>
      </c>
      <c r="CP12" s="97" t="s">
        <v>2</v>
      </c>
      <c r="CQ12" s="96">
        <v>40</v>
      </c>
      <c r="CR12" s="96">
        <v>100</v>
      </c>
      <c r="CS12" s="96">
        <v>25</v>
      </c>
      <c r="CT12" s="99" t="s">
        <v>5679</v>
      </c>
      <c r="CU12">
        <v>40</v>
      </c>
      <c r="CV12" t="s">
        <v>511</v>
      </c>
      <c r="CW12" s="100" t="s">
        <v>5680</v>
      </c>
      <c r="CX12" s="100" t="s">
        <v>5681</v>
      </c>
      <c r="CY12" s="101" t="s">
        <v>2</v>
      </c>
      <c r="CZ12" s="102" t="s">
        <v>5038</v>
      </c>
      <c r="DA12" s="102">
        <v>100</v>
      </c>
      <c r="DB12" s="102">
        <v>20</v>
      </c>
      <c r="DC12" s="103" t="s">
        <v>5682</v>
      </c>
      <c r="DD12">
        <f>IF(伤害计算器!F28=1,SUM(D90:D95),SUM(E90:E95))</f>
        <v>120</v>
      </c>
      <c r="DE12" t="s">
        <v>1065</v>
      </c>
      <c r="DF12" s="104" t="s">
        <v>5683</v>
      </c>
      <c r="DG12" s="104" t="s">
        <v>5684</v>
      </c>
      <c r="DH12" s="105" t="s">
        <v>2</v>
      </c>
      <c r="DI12" s="106">
        <v>50</v>
      </c>
      <c r="DJ12" s="106">
        <v>90</v>
      </c>
      <c r="DK12" s="106">
        <v>10</v>
      </c>
      <c r="DL12" s="107" t="s">
        <v>5685</v>
      </c>
      <c r="DM12">
        <v>50</v>
      </c>
      <c r="DN12" t="s">
        <v>668</v>
      </c>
      <c r="DO12" s="108" t="s">
        <v>5686</v>
      </c>
      <c r="DP12" s="108" t="s">
        <v>5687</v>
      </c>
      <c r="DQ12" s="109" t="s">
        <v>2</v>
      </c>
      <c r="DR12" s="110">
        <v>120</v>
      </c>
      <c r="DS12" s="110">
        <v>100</v>
      </c>
      <c r="DT12" s="110">
        <v>15</v>
      </c>
      <c r="DU12" s="111" t="s">
        <v>5688</v>
      </c>
      <c r="DV12">
        <v>120</v>
      </c>
      <c r="DW12" t="s">
        <v>5689</v>
      </c>
      <c r="DX12" s="112" t="s">
        <v>5690</v>
      </c>
      <c r="DY12" s="112" t="s">
        <v>5691</v>
      </c>
      <c r="DZ12" s="113" t="s">
        <v>2</v>
      </c>
      <c r="EA12" s="114">
        <v>60</v>
      </c>
      <c r="EB12" s="114">
        <v>90</v>
      </c>
      <c r="EC12" s="114">
        <v>10</v>
      </c>
      <c r="ED12" s="115" t="s">
        <v>5692</v>
      </c>
      <c r="EE12">
        <v>60</v>
      </c>
      <c r="EF12" t="s">
        <v>5693</v>
      </c>
      <c r="EG12" s="116" t="s">
        <v>5694</v>
      </c>
      <c r="EH12" s="116" t="s">
        <v>5695</v>
      </c>
      <c r="EI12" s="120" t="s">
        <v>2</v>
      </c>
      <c r="EJ12" s="118">
        <v>130</v>
      </c>
      <c r="EK12" s="118">
        <v>90</v>
      </c>
      <c r="EL12" s="118">
        <v>5</v>
      </c>
      <c r="EM12" s="119" t="s">
        <v>5696</v>
      </c>
      <c r="EN12">
        <v>130</v>
      </c>
      <c r="EO12" t="s">
        <v>5697</v>
      </c>
      <c r="EP12" s="121" t="s">
        <v>5698</v>
      </c>
      <c r="EQ12" s="121" t="s">
        <v>5699</v>
      </c>
      <c r="ER12" s="122" t="s">
        <v>1</v>
      </c>
      <c r="ES12" s="123">
        <v>70</v>
      </c>
      <c r="ET12" s="123">
        <v>100</v>
      </c>
      <c r="EU12" s="123">
        <v>15</v>
      </c>
      <c r="EV12" s="124" t="s">
        <v>5700</v>
      </c>
      <c r="EW12">
        <v>70</v>
      </c>
    </row>
    <row r="13" ht="72.75" spans="1:153">
      <c r="A13" t="s">
        <v>645</v>
      </c>
      <c r="B13" s="45" t="s">
        <v>5701</v>
      </c>
      <c r="C13" s="45" t="s">
        <v>5702</v>
      </c>
      <c r="D13" s="42" t="s">
        <v>1</v>
      </c>
      <c r="E13" s="46">
        <v>25</v>
      </c>
      <c r="F13" s="46">
        <v>85</v>
      </c>
      <c r="G13" s="46">
        <v>10</v>
      </c>
      <c r="H13" s="47" t="s">
        <v>5703</v>
      </c>
      <c r="I13">
        <v>25</v>
      </c>
      <c r="J13" t="s">
        <v>5704</v>
      </c>
      <c r="K13" s="48" t="s">
        <v>5705</v>
      </c>
      <c r="L13" s="48" t="s">
        <v>5706</v>
      </c>
      <c r="M13" s="49" t="s">
        <v>1</v>
      </c>
      <c r="N13" s="50">
        <v>50</v>
      </c>
      <c r="O13" s="50">
        <v>100</v>
      </c>
      <c r="P13" s="50">
        <v>25</v>
      </c>
      <c r="Q13" s="51" t="s">
        <v>5707</v>
      </c>
      <c r="R13">
        <v>50</v>
      </c>
      <c r="S13" t="s">
        <v>5708</v>
      </c>
      <c r="T13" s="52" t="s">
        <v>5709</v>
      </c>
      <c r="U13" s="52" t="s">
        <v>5710</v>
      </c>
      <c r="V13" s="53" t="s">
        <v>2</v>
      </c>
      <c r="W13" s="54">
        <v>40</v>
      </c>
      <c r="X13" s="54">
        <v>100</v>
      </c>
      <c r="Y13" s="54">
        <v>35</v>
      </c>
      <c r="Z13" s="56" t="s">
        <v>5711</v>
      </c>
      <c r="AA13">
        <v>35</v>
      </c>
      <c r="AB13" t="s">
        <v>5712</v>
      </c>
      <c r="AC13" s="57" t="s">
        <v>5713</v>
      </c>
      <c r="AD13" s="57" t="s">
        <v>5714</v>
      </c>
      <c r="AE13" s="60" t="s">
        <v>2</v>
      </c>
      <c r="AF13" s="59">
        <v>65</v>
      </c>
      <c r="AG13" s="59">
        <v>100</v>
      </c>
      <c r="AH13" s="59">
        <v>10</v>
      </c>
      <c r="AI13" s="61" t="s">
        <v>5715</v>
      </c>
      <c r="AJ13">
        <f>IF(IF(伤害计算器!F28=1,伤害计算器!Q14="中毒",伤害计算器!F14="中毒"),130,65)</f>
        <v>65</v>
      </c>
      <c r="AK13" t="s">
        <v>758</v>
      </c>
      <c r="AL13" s="62" t="s">
        <v>5716</v>
      </c>
      <c r="AM13" s="62" t="s">
        <v>5717</v>
      </c>
      <c r="AN13" s="63" t="s">
        <v>2</v>
      </c>
      <c r="AO13" s="64">
        <v>20</v>
      </c>
      <c r="AP13" s="64">
        <v>100</v>
      </c>
      <c r="AQ13" s="64">
        <v>10</v>
      </c>
      <c r="AR13" s="65" t="s">
        <v>5718</v>
      </c>
      <c r="AS13">
        <v>20</v>
      </c>
      <c r="AT13" s="55" t="s">
        <v>788</v>
      </c>
      <c r="AU13" s="55" t="s">
        <v>5719</v>
      </c>
      <c r="AV13" s="55" t="s">
        <v>5720</v>
      </c>
      <c r="AW13" s="23" t="s">
        <v>1</v>
      </c>
      <c r="AX13" s="22">
        <v>100</v>
      </c>
      <c r="AY13" s="22">
        <v>95</v>
      </c>
      <c r="AZ13" s="22">
        <v>5</v>
      </c>
      <c r="BB13">
        <v>100</v>
      </c>
      <c r="BC13" t="s">
        <v>731</v>
      </c>
      <c r="BD13" s="70" t="s">
        <v>5721</v>
      </c>
      <c r="BE13" s="70" t="s">
        <v>5722</v>
      </c>
      <c r="BF13" s="74" t="s">
        <v>2</v>
      </c>
      <c r="BG13" s="72">
        <v>30</v>
      </c>
      <c r="BH13" s="72">
        <v>100</v>
      </c>
      <c r="BI13" s="72">
        <v>20</v>
      </c>
      <c r="BJ13" s="73" t="s">
        <v>5723</v>
      </c>
      <c r="BK13">
        <v>30</v>
      </c>
      <c r="BU13" t="s">
        <v>872</v>
      </c>
      <c r="BV13" s="80" t="s">
        <v>5724</v>
      </c>
      <c r="BW13" s="80" t="s">
        <v>5725</v>
      </c>
      <c r="BX13" s="84" t="s">
        <v>2</v>
      </c>
      <c r="BY13" s="82">
        <v>65</v>
      </c>
      <c r="BZ13" s="82">
        <v>85</v>
      </c>
      <c r="CA13" s="82">
        <v>10</v>
      </c>
      <c r="CB13" s="83" t="s">
        <v>5726</v>
      </c>
      <c r="CC13">
        <v>65</v>
      </c>
      <c r="CD13" t="s">
        <v>892</v>
      </c>
      <c r="CE13" s="85" t="s">
        <v>5727</v>
      </c>
      <c r="CF13" s="85" t="s">
        <v>5728</v>
      </c>
      <c r="CG13" s="88" t="s">
        <v>2</v>
      </c>
      <c r="CH13" s="87">
        <v>40</v>
      </c>
      <c r="CI13" s="87">
        <v>100</v>
      </c>
      <c r="CJ13" s="87">
        <v>25</v>
      </c>
      <c r="CK13" s="93" t="s">
        <v>5729</v>
      </c>
      <c r="CL13">
        <v>40</v>
      </c>
      <c r="CM13" t="s">
        <v>5730</v>
      </c>
      <c r="CN13" s="94" t="s">
        <v>5731</v>
      </c>
      <c r="CO13" s="94" t="s">
        <v>5732</v>
      </c>
      <c r="CP13" s="97" t="s">
        <v>2</v>
      </c>
      <c r="CQ13" s="96">
        <v>80</v>
      </c>
      <c r="CR13" s="96">
        <v>100</v>
      </c>
      <c r="CS13" s="96">
        <v>10</v>
      </c>
      <c r="CT13" s="99" t="s">
        <v>5733</v>
      </c>
      <c r="CU13">
        <v>80</v>
      </c>
      <c r="CV13" t="s">
        <v>5734</v>
      </c>
      <c r="CW13" s="100" t="s">
        <v>5735</v>
      </c>
      <c r="CX13" s="100" t="s">
        <v>5736</v>
      </c>
      <c r="CY13" s="101" t="s">
        <v>2</v>
      </c>
      <c r="CZ13" s="102">
        <v>20</v>
      </c>
      <c r="DA13" s="102">
        <v>100</v>
      </c>
      <c r="DB13" s="102">
        <v>25</v>
      </c>
      <c r="DC13" s="103" t="s">
        <v>5737</v>
      </c>
      <c r="DD13">
        <v>20</v>
      </c>
      <c r="DE13" t="s">
        <v>610</v>
      </c>
      <c r="DF13" s="104" t="s">
        <v>5738</v>
      </c>
      <c r="DG13" s="104" t="s">
        <v>5739</v>
      </c>
      <c r="DH13" s="105" t="s">
        <v>2</v>
      </c>
      <c r="DI13" s="106">
        <v>55</v>
      </c>
      <c r="DJ13" s="106">
        <v>95</v>
      </c>
      <c r="DK13" s="106">
        <v>15</v>
      </c>
      <c r="DL13" s="107" t="s">
        <v>5740</v>
      </c>
      <c r="DM13">
        <v>55</v>
      </c>
      <c r="DN13" t="s">
        <v>1104</v>
      </c>
      <c r="DO13" s="108" t="s">
        <v>5741</v>
      </c>
      <c r="DP13" s="108" t="s">
        <v>5742</v>
      </c>
      <c r="DQ13" s="109" t="s">
        <v>2</v>
      </c>
      <c r="DR13" s="110">
        <v>80</v>
      </c>
      <c r="DS13" s="110">
        <v>100</v>
      </c>
      <c r="DT13" s="110">
        <v>20</v>
      </c>
      <c r="DU13" s="111" t="s">
        <v>5743</v>
      </c>
      <c r="DV13">
        <v>80</v>
      </c>
      <c r="DW13" t="s">
        <v>1143</v>
      </c>
      <c r="DX13" s="112" t="s">
        <v>5744</v>
      </c>
      <c r="DY13" s="112" t="s">
        <v>5745</v>
      </c>
      <c r="DZ13" s="113" t="s">
        <v>2</v>
      </c>
      <c r="EA13" s="114">
        <v>55</v>
      </c>
      <c r="EB13" s="114">
        <v>95</v>
      </c>
      <c r="EC13" s="114">
        <v>15</v>
      </c>
      <c r="ED13" s="115" t="s">
        <v>5746</v>
      </c>
      <c r="EE13">
        <v>55</v>
      </c>
      <c r="EF13" t="s">
        <v>5747</v>
      </c>
      <c r="EG13" s="116" t="s">
        <v>5748</v>
      </c>
      <c r="EH13" s="116" t="s">
        <v>5749</v>
      </c>
      <c r="EI13" s="120" t="s">
        <v>2</v>
      </c>
      <c r="EJ13" s="118">
        <v>150</v>
      </c>
      <c r="EK13" s="118">
        <v>90</v>
      </c>
      <c r="EL13" s="118">
        <v>5</v>
      </c>
      <c r="EM13" s="119" t="s">
        <v>5750</v>
      </c>
      <c r="EN13">
        <v>150</v>
      </c>
      <c r="EO13" t="s">
        <v>1191</v>
      </c>
      <c r="EP13" s="121" t="s">
        <v>5751</v>
      </c>
      <c r="EQ13" s="121" t="s">
        <v>5752</v>
      </c>
      <c r="ER13" s="122" t="s">
        <v>1</v>
      </c>
      <c r="ES13" s="123">
        <v>80</v>
      </c>
      <c r="ET13" s="123">
        <v>100</v>
      </c>
      <c r="EU13" s="123">
        <v>15</v>
      </c>
      <c r="EV13" s="124" t="s">
        <v>5753</v>
      </c>
      <c r="EW13">
        <v>80</v>
      </c>
    </row>
    <row r="14" ht="60.75" spans="1:153">
      <c r="A14" t="s">
        <v>763</v>
      </c>
      <c r="B14" s="45" t="s">
        <v>5754</v>
      </c>
      <c r="C14" s="45" t="s">
        <v>5755</v>
      </c>
      <c r="D14" s="42" t="s">
        <v>1</v>
      </c>
      <c r="E14" s="46">
        <v>30</v>
      </c>
      <c r="F14" s="46">
        <v>100</v>
      </c>
      <c r="G14" s="46">
        <v>10</v>
      </c>
      <c r="H14" s="47" t="s">
        <v>5756</v>
      </c>
      <c r="I14">
        <v>30</v>
      </c>
      <c r="J14" t="s">
        <v>598</v>
      </c>
      <c r="K14" s="48" t="s">
        <v>5757</v>
      </c>
      <c r="L14" s="48" t="s">
        <v>5758</v>
      </c>
      <c r="M14" s="49" t="s">
        <v>1</v>
      </c>
      <c r="N14" s="50">
        <v>60</v>
      </c>
      <c r="O14" s="50">
        <v>85</v>
      </c>
      <c r="P14" s="50">
        <v>15</v>
      </c>
      <c r="Q14" s="51" t="s">
        <v>5759</v>
      </c>
      <c r="R14">
        <v>60</v>
      </c>
      <c r="S14" t="s">
        <v>581</v>
      </c>
      <c r="T14" s="52" t="s">
        <v>5760</v>
      </c>
      <c r="U14" s="52" t="s">
        <v>5761</v>
      </c>
      <c r="V14" s="53" t="s">
        <v>2</v>
      </c>
      <c r="W14" s="54">
        <v>60</v>
      </c>
      <c r="X14" s="54">
        <v>95</v>
      </c>
      <c r="Y14" s="54">
        <v>25</v>
      </c>
      <c r="Z14" s="56" t="s">
        <v>5762</v>
      </c>
      <c r="AA14">
        <v>60</v>
      </c>
      <c r="AB14" t="s">
        <v>706</v>
      </c>
      <c r="AC14" s="57" t="s">
        <v>5763</v>
      </c>
      <c r="AD14" s="57" t="s">
        <v>5764</v>
      </c>
      <c r="AE14" s="60" t="s">
        <v>2</v>
      </c>
      <c r="AF14" s="59">
        <v>90</v>
      </c>
      <c r="AG14" s="59">
        <v>100</v>
      </c>
      <c r="AH14" s="59">
        <v>10</v>
      </c>
      <c r="AI14" s="61" t="s">
        <v>5654</v>
      </c>
      <c r="AJ14">
        <v>90</v>
      </c>
      <c r="AK14" t="s">
        <v>764</v>
      </c>
      <c r="AL14" s="62" t="s">
        <v>5765</v>
      </c>
      <c r="AM14" s="62" t="s">
        <v>5766</v>
      </c>
      <c r="AN14" s="63" t="s">
        <v>2</v>
      </c>
      <c r="AO14" s="64">
        <v>55</v>
      </c>
      <c r="AP14" s="64">
        <v>95</v>
      </c>
      <c r="AQ14" s="64">
        <v>15</v>
      </c>
      <c r="AR14" s="65" t="s">
        <v>5767</v>
      </c>
      <c r="AS14">
        <v>55</v>
      </c>
      <c r="BC14" t="s">
        <v>809</v>
      </c>
      <c r="BD14" s="70" t="s">
        <v>5768</v>
      </c>
      <c r="BE14" s="70" t="s">
        <v>5769</v>
      </c>
      <c r="BF14" s="74" t="s">
        <v>2</v>
      </c>
      <c r="BG14" s="72">
        <v>60</v>
      </c>
      <c r="BH14" s="72">
        <v>100</v>
      </c>
      <c r="BI14" s="72">
        <v>5</v>
      </c>
      <c r="BJ14" s="73" t="s">
        <v>5770</v>
      </c>
      <c r="BK14">
        <v>60</v>
      </c>
      <c r="BU14" t="s">
        <v>877</v>
      </c>
      <c r="BV14" s="80" t="s">
        <v>5771</v>
      </c>
      <c r="BW14" s="80" t="s">
        <v>5772</v>
      </c>
      <c r="BX14" s="84" t="s">
        <v>2</v>
      </c>
      <c r="BY14" s="82">
        <v>80</v>
      </c>
      <c r="BZ14" s="82">
        <v>100</v>
      </c>
      <c r="CA14" s="82">
        <v>10</v>
      </c>
      <c r="CB14" s="83" t="s">
        <v>5773</v>
      </c>
      <c r="CC14">
        <v>80</v>
      </c>
      <c r="CD14" t="s">
        <v>5774</v>
      </c>
      <c r="CE14" s="85" t="s">
        <v>5775</v>
      </c>
      <c r="CF14" s="85" t="s">
        <v>5776</v>
      </c>
      <c r="CG14" s="88" t="s">
        <v>2</v>
      </c>
      <c r="CH14" s="87">
        <v>80</v>
      </c>
      <c r="CI14" s="87">
        <v>100</v>
      </c>
      <c r="CJ14" s="87">
        <v>10</v>
      </c>
      <c r="CK14" s="93" t="s">
        <v>5777</v>
      </c>
      <c r="CL14">
        <v>80</v>
      </c>
      <c r="CM14" t="s">
        <v>986</v>
      </c>
      <c r="CN14" s="94" t="s">
        <v>5778</v>
      </c>
      <c r="CO14" s="94" t="s">
        <v>5779</v>
      </c>
      <c r="CP14" s="97" t="s">
        <v>2</v>
      </c>
      <c r="CQ14" s="96">
        <v>60</v>
      </c>
      <c r="CR14" s="96">
        <v>100</v>
      </c>
      <c r="CS14" s="96">
        <v>20</v>
      </c>
      <c r="CT14" s="99" t="s">
        <v>5780</v>
      </c>
      <c r="CU14">
        <v>60</v>
      </c>
      <c r="CV14" t="s">
        <v>5781</v>
      </c>
      <c r="CW14" s="100" t="s">
        <v>5782</v>
      </c>
      <c r="CX14" s="100" t="s">
        <v>5783</v>
      </c>
      <c r="CY14" s="101" t="s">
        <v>2</v>
      </c>
      <c r="CZ14" s="102">
        <v>40</v>
      </c>
      <c r="DA14" s="102">
        <v>100</v>
      </c>
      <c r="DB14" s="102">
        <v>15</v>
      </c>
      <c r="DC14" s="103" t="s">
        <v>5737</v>
      </c>
      <c r="DD14">
        <v>40</v>
      </c>
      <c r="DE14" t="s">
        <v>5784</v>
      </c>
      <c r="DF14" s="104" t="s">
        <v>5785</v>
      </c>
      <c r="DG14" s="104" t="s">
        <v>5786</v>
      </c>
      <c r="DH14" s="105" t="s">
        <v>2</v>
      </c>
      <c r="DI14" s="106">
        <v>60</v>
      </c>
      <c r="DJ14" s="106" t="s">
        <v>5038</v>
      </c>
      <c r="DK14" s="106">
        <v>20</v>
      </c>
      <c r="DL14" s="107" t="s">
        <v>5787</v>
      </c>
      <c r="DM14">
        <v>60</v>
      </c>
      <c r="DN14" t="s">
        <v>5788</v>
      </c>
      <c r="DO14" s="108" t="s">
        <v>5789</v>
      </c>
      <c r="DP14" s="108" t="s">
        <v>5790</v>
      </c>
      <c r="DQ14" s="109" t="s">
        <v>2</v>
      </c>
      <c r="DR14" s="110">
        <v>80</v>
      </c>
      <c r="DS14" s="110">
        <v>100</v>
      </c>
      <c r="DT14" s="110">
        <v>10</v>
      </c>
      <c r="DU14" s="111" t="s">
        <v>5791</v>
      </c>
      <c r="DV14">
        <v>80</v>
      </c>
      <c r="DW14" t="s">
        <v>1133</v>
      </c>
      <c r="DX14" s="112" t="s">
        <v>5792</v>
      </c>
      <c r="DY14" s="112" t="s">
        <v>5793</v>
      </c>
      <c r="DZ14" s="113" t="s">
        <v>2</v>
      </c>
      <c r="EA14" s="114">
        <v>65</v>
      </c>
      <c r="EB14" s="114">
        <v>100</v>
      </c>
      <c r="EC14" s="114">
        <v>20</v>
      </c>
      <c r="ED14" s="115" t="s">
        <v>5794</v>
      </c>
      <c r="EE14">
        <v>65</v>
      </c>
      <c r="EO14" t="s">
        <v>5795</v>
      </c>
      <c r="EP14" s="121" t="s">
        <v>5796</v>
      </c>
      <c r="EQ14" s="121" t="s">
        <v>5797</v>
      </c>
      <c r="ER14" s="122" t="s">
        <v>1</v>
      </c>
      <c r="ES14" s="123">
        <v>80</v>
      </c>
      <c r="ET14" s="123">
        <v>100</v>
      </c>
      <c r="EU14" s="123">
        <v>5</v>
      </c>
      <c r="EV14" s="124" t="s">
        <v>5798</v>
      </c>
      <c r="EW14">
        <v>80</v>
      </c>
    </row>
    <row r="15" ht="84.75" spans="1:153">
      <c r="A15" t="s">
        <v>531</v>
      </c>
      <c r="B15" s="45" t="s">
        <v>5799</v>
      </c>
      <c r="C15" s="45" t="s">
        <v>5800</v>
      </c>
      <c r="D15" s="42" t="s">
        <v>1</v>
      </c>
      <c r="E15" s="46">
        <v>35</v>
      </c>
      <c r="F15" s="46">
        <v>90</v>
      </c>
      <c r="G15" s="46">
        <v>10</v>
      </c>
      <c r="H15" s="47" t="s">
        <v>5801</v>
      </c>
      <c r="I15">
        <v>35</v>
      </c>
      <c r="J15" t="s">
        <v>5802</v>
      </c>
      <c r="K15" s="48" t="s">
        <v>5803</v>
      </c>
      <c r="L15" s="48" t="s">
        <v>5804</v>
      </c>
      <c r="M15" s="49" t="s">
        <v>1</v>
      </c>
      <c r="N15" s="50">
        <v>60</v>
      </c>
      <c r="O15" s="50">
        <v>100</v>
      </c>
      <c r="P15" s="50">
        <v>10</v>
      </c>
      <c r="Q15" s="51" t="s">
        <v>5805</v>
      </c>
      <c r="R15">
        <v>60</v>
      </c>
      <c r="S15" t="s">
        <v>597</v>
      </c>
      <c r="T15" s="52" t="s">
        <v>5806</v>
      </c>
      <c r="U15" s="52" t="s">
        <v>5807</v>
      </c>
      <c r="V15" s="53" t="s">
        <v>2</v>
      </c>
      <c r="W15" s="54">
        <v>65</v>
      </c>
      <c r="X15" s="54">
        <v>100</v>
      </c>
      <c r="Y15" s="54">
        <v>20</v>
      </c>
      <c r="Z15" s="56" t="s">
        <v>5808</v>
      </c>
      <c r="AA15">
        <v>65</v>
      </c>
      <c r="AB15" t="s">
        <v>637</v>
      </c>
      <c r="AC15" s="57" t="s">
        <v>5809</v>
      </c>
      <c r="AD15" s="57" t="s">
        <v>5810</v>
      </c>
      <c r="AE15" s="60" t="s">
        <v>2</v>
      </c>
      <c r="AF15" s="59">
        <v>95</v>
      </c>
      <c r="AG15" s="59">
        <v>100</v>
      </c>
      <c r="AH15" s="59">
        <v>10</v>
      </c>
      <c r="AI15" s="61" t="s">
        <v>5811</v>
      </c>
      <c r="AJ15">
        <v>95</v>
      </c>
      <c r="AK15" t="s">
        <v>5812</v>
      </c>
      <c r="AL15" s="62" t="s">
        <v>5813</v>
      </c>
      <c r="AM15" s="62" t="s">
        <v>5814</v>
      </c>
      <c r="AN15" s="63" t="s">
        <v>2</v>
      </c>
      <c r="AO15" s="64">
        <v>65</v>
      </c>
      <c r="AP15" s="64">
        <v>85</v>
      </c>
      <c r="AQ15" s="64">
        <v>10</v>
      </c>
      <c r="AR15" s="65" t="s">
        <v>5815</v>
      </c>
      <c r="AS15">
        <v>65</v>
      </c>
      <c r="BC15" t="s">
        <v>814</v>
      </c>
      <c r="BD15" s="70" t="s">
        <v>5816</v>
      </c>
      <c r="BE15" s="70" t="s">
        <v>5817</v>
      </c>
      <c r="BF15" s="74" t="s">
        <v>2</v>
      </c>
      <c r="BG15" s="72">
        <v>75</v>
      </c>
      <c r="BH15" s="72">
        <v>100</v>
      </c>
      <c r="BI15" s="72">
        <v>15</v>
      </c>
      <c r="BJ15" s="73" t="s">
        <v>5818</v>
      </c>
      <c r="BK15">
        <v>75</v>
      </c>
      <c r="BU15" t="s">
        <v>5819</v>
      </c>
      <c r="BV15" s="80" t="s">
        <v>5820</v>
      </c>
      <c r="BW15" s="80" t="s">
        <v>5821</v>
      </c>
      <c r="BX15" s="84" t="s">
        <v>2</v>
      </c>
      <c r="BY15" s="82">
        <v>140</v>
      </c>
      <c r="BZ15" s="82">
        <v>100</v>
      </c>
      <c r="CA15" s="82">
        <v>5</v>
      </c>
      <c r="CB15" s="83" t="s">
        <v>5822</v>
      </c>
      <c r="CC15">
        <v>140</v>
      </c>
      <c r="CD15" t="s">
        <v>5823</v>
      </c>
      <c r="CE15" s="85" t="s">
        <v>5824</v>
      </c>
      <c r="CF15" s="85" t="s">
        <v>5825</v>
      </c>
      <c r="CG15" s="88" t="s">
        <v>2</v>
      </c>
      <c r="CH15" s="87">
        <v>70</v>
      </c>
      <c r="CI15" s="87">
        <v>100</v>
      </c>
      <c r="CJ15" s="87">
        <v>15</v>
      </c>
      <c r="CK15" s="93" t="s">
        <v>5826</v>
      </c>
      <c r="CL15">
        <v>70</v>
      </c>
      <c r="CM15" t="s">
        <v>963</v>
      </c>
      <c r="CN15" s="94" t="s">
        <v>5827</v>
      </c>
      <c r="CO15" s="94" t="s">
        <v>5828</v>
      </c>
      <c r="CP15" s="97" t="s">
        <v>2</v>
      </c>
      <c r="CQ15" s="96">
        <v>65</v>
      </c>
      <c r="CR15" s="96">
        <v>100</v>
      </c>
      <c r="CS15" s="96">
        <v>20</v>
      </c>
      <c r="CT15" s="99" t="s">
        <v>5829</v>
      </c>
      <c r="CU15">
        <v>65</v>
      </c>
      <c r="CV15" t="s">
        <v>5830</v>
      </c>
      <c r="CW15" s="100" t="s">
        <v>5831</v>
      </c>
      <c r="CX15" s="100" t="s">
        <v>5832</v>
      </c>
      <c r="CY15" s="101" t="s">
        <v>2</v>
      </c>
      <c r="CZ15" s="102">
        <v>80</v>
      </c>
      <c r="DA15" s="102">
        <v>100</v>
      </c>
      <c r="DB15" s="102">
        <v>10</v>
      </c>
      <c r="DC15" s="103" t="s">
        <v>5833</v>
      </c>
      <c r="DD15">
        <v>80</v>
      </c>
      <c r="DE15" t="s">
        <v>5834</v>
      </c>
      <c r="DF15" s="104" t="s">
        <v>5835</v>
      </c>
      <c r="DG15" s="104" t="s">
        <v>5836</v>
      </c>
      <c r="DH15" s="105" t="s">
        <v>2</v>
      </c>
      <c r="DI15" s="106">
        <v>70</v>
      </c>
      <c r="DJ15" s="106">
        <v>100</v>
      </c>
      <c r="DK15" s="106">
        <v>20</v>
      </c>
      <c r="DL15" s="107" t="s">
        <v>5837</v>
      </c>
      <c r="DM15">
        <v>70</v>
      </c>
      <c r="DN15" t="s">
        <v>1089</v>
      </c>
      <c r="DO15" s="108" t="s">
        <v>5838</v>
      </c>
      <c r="DP15" s="108" t="s">
        <v>5839</v>
      </c>
      <c r="DQ15" s="109" t="s">
        <v>2</v>
      </c>
      <c r="DR15" s="110">
        <v>90</v>
      </c>
      <c r="DS15" s="110">
        <v>100</v>
      </c>
      <c r="DT15" s="110">
        <v>10</v>
      </c>
      <c r="DU15" s="111" t="s">
        <v>5840</v>
      </c>
      <c r="DV15">
        <v>90</v>
      </c>
      <c r="DW15" t="s">
        <v>1153</v>
      </c>
      <c r="DX15" s="112" t="s">
        <v>5841</v>
      </c>
      <c r="DY15" s="112" t="s">
        <v>5842</v>
      </c>
      <c r="DZ15" s="113" t="s">
        <v>2</v>
      </c>
      <c r="EA15" s="114">
        <v>65</v>
      </c>
      <c r="EB15" s="114">
        <v>95</v>
      </c>
      <c r="EC15" s="114">
        <v>10</v>
      </c>
      <c r="ED15" s="115" t="s">
        <v>5843</v>
      </c>
      <c r="EE15">
        <v>65</v>
      </c>
      <c r="EO15" t="s">
        <v>5844</v>
      </c>
      <c r="EP15" s="121" t="s">
        <v>5845</v>
      </c>
      <c r="EQ15" s="121" t="s">
        <v>5846</v>
      </c>
      <c r="ER15" s="122" t="s">
        <v>1</v>
      </c>
      <c r="ES15" s="123">
        <v>95</v>
      </c>
      <c r="ET15" s="123">
        <v>100</v>
      </c>
      <c r="EU15" s="123">
        <v>15</v>
      </c>
      <c r="EV15" s="124" t="s">
        <v>5847</v>
      </c>
      <c r="EW15">
        <v>95</v>
      </c>
    </row>
    <row r="16" ht="72.75" spans="1:153">
      <c r="A16" t="s">
        <v>5848</v>
      </c>
      <c r="B16" s="45" t="s">
        <v>5849</v>
      </c>
      <c r="C16" s="45" t="s">
        <v>5850</v>
      </c>
      <c r="D16" s="42" t="s">
        <v>1</v>
      </c>
      <c r="E16" s="46">
        <v>40</v>
      </c>
      <c r="F16" s="46">
        <v>100</v>
      </c>
      <c r="G16" s="46">
        <v>35</v>
      </c>
      <c r="H16" s="47" t="s">
        <v>5851</v>
      </c>
      <c r="I16">
        <v>40</v>
      </c>
      <c r="J16" t="s">
        <v>5852</v>
      </c>
      <c r="K16" s="48" t="s">
        <v>5853</v>
      </c>
      <c r="L16" s="48" t="s">
        <v>5854</v>
      </c>
      <c r="M16" s="49" t="s">
        <v>1</v>
      </c>
      <c r="N16" s="50">
        <v>60</v>
      </c>
      <c r="O16" s="50">
        <v>100</v>
      </c>
      <c r="P16" s="50">
        <v>10</v>
      </c>
      <c r="Q16" s="51" t="s">
        <v>5855</v>
      </c>
      <c r="R16">
        <f>IF(IF(伤害计算器!F28=1,伤害计算器!Q14="睡眠",伤害计算器!F14="睡眠"),120,60)</f>
        <v>60</v>
      </c>
      <c r="S16" t="s">
        <v>666</v>
      </c>
      <c r="T16" s="52" t="s">
        <v>5856</v>
      </c>
      <c r="U16" s="52" t="s">
        <v>5857</v>
      </c>
      <c r="V16" s="53" t="s">
        <v>2</v>
      </c>
      <c r="W16" s="54">
        <v>75</v>
      </c>
      <c r="X16" s="54">
        <v>95</v>
      </c>
      <c r="Y16" s="54">
        <v>20</v>
      </c>
      <c r="Z16" s="56" t="s">
        <v>5858</v>
      </c>
      <c r="AA16">
        <v>75</v>
      </c>
      <c r="AB16" t="s">
        <v>5859</v>
      </c>
      <c r="AC16" s="57" t="s">
        <v>5860</v>
      </c>
      <c r="AD16" s="57" t="s">
        <v>5861</v>
      </c>
      <c r="AE16" s="60" t="s">
        <v>2</v>
      </c>
      <c r="AF16" s="59">
        <v>120</v>
      </c>
      <c r="AG16" s="59">
        <v>90</v>
      </c>
      <c r="AH16" s="59">
        <v>10</v>
      </c>
      <c r="AI16" s="61" t="s">
        <v>5862</v>
      </c>
      <c r="AJ16">
        <v>120</v>
      </c>
      <c r="AK16" t="s">
        <v>770</v>
      </c>
      <c r="AL16" s="62" t="s">
        <v>5863</v>
      </c>
      <c r="AM16" s="62" t="s">
        <v>5864</v>
      </c>
      <c r="AN16" s="63" t="s">
        <v>2</v>
      </c>
      <c r="AO16" s="64">
        <v>90</v>
      </c>
      <c r="AP16" s="64">
        <v>100</v>
      </c>
      <c r="AQ16" s="64">
        <v>10</v>
      </c>
      <c r="AR16" s="65" t="s">
        <v>5865</v>
      </c>
      <c r="AS16">
        <v>90</v>
      </c>
      <c r="BC16" t="s">
        <v>588</v>
      </c>
      <c r="BD16" s="70" t="s">
        <v>5866</v>
      </c>
      <c r="BE16" s="70" t="s">
        <v>5867</v>
      </c>
      <c r="BF16" s="74" t="s">
        <v>2</v>
      </c>
      <c r="BG16" s="72">
        <v>90</v>
      </c>
      <c r="BH16" s="72">
        <v>100</v>
      </c>
      <c r="BI16" s="72">
        <v>10</v>
      </c>
      <c r="BJ16" s="73" t="s">
        <v>5868</v>
      </c>
      <c r="BK16">
        <v>90</v>
      </c>
      <c r="CD16" t="s">
        <v>600</v>
      </c>
      <c r="CE16" s="85" t="s">
        <v>5869</v>
      </c>
      <c r="CF16" s="85" t="s">
        <v>5870</v>
      </c>
      <c r="CG16" s="88" t="s">
        <v>2</v>
      </c>
      <c r="CH16" s="87">
        <v>80</v>
      </c>
      <c r="CI16" s="87">
        <v>100</v>
      </c>
      <c r="CJ16" s="87">
        <v>15</v>
      </c>
      <c r="CK16" s="93" t="s">
        <v>5871</v>
      </c>
      <c r="CL16">
        <v>80</v>
      </c>
      <c r="CM16" t="s">
        <v>977</v>
      </c>
      <c r="CN16" s="94" t="s">
        <v>5872</v>
      </c>
      <c r="CO16" s="94" t="s">
        <v>5873</v>
      </c>
      <c r="CP16" s="97" t="s">
        <v>2</v>
      </c>
      <c r="CQ16" s="96">
        <v>65</v>
      </c>
      <c r="CR16" s="96">
        <v>85</v>
      </c>
      <c r="CS16" s="96">
        <v>10</v>
      </c>
      <c r="CT16" s="99" t="s">
        <v>5874</v>
      </c>
      <c r="CU16">
        <v>65</v>
      </c>
      <c r="CV16" t="s">
        <v>5875</v>
      </c>
      <c r="CW16" s="100" t="s">
        <v>5876</v>
      </c>
      <c r="CX16" s="100" t="s">
        <v>5877</v>
      </c>
      <c r="CY16" s="101" t="s">
        <v>2</v>
      </c>
      <c r="CZ16" s="102">
        <v>60</v>
      </c>
      <c r="DA16" s="102" t="s">
        <v>5038</v>
      </c>
      <c r="DB16" s="102">
        <v>20</v>
      </c>
      <c r="DC16" s="103" t="s">
        <v>5878</v>
      </c>
      <c r="DD16">
        <v>60</v>
      </c>
      <c r="DE16" t="s">
        <v>561</v>
      </c>
      <c r="DF16" s="104" t="s">
        <v>5879</v>
      </c>
      <c r="DG16" s="104" t="s">
        <v>5880</v>
      </c>
      <c r="DH16" s="105" t="s">
        <v>2</v>
      </c>
      <c r="DI16" s="106">
        <v>80</v>
      </c>
      <c r="DJ16" s="106">
        <v>100</v>
      </c>
      <c r="DK16" s="106">
        <v>15</v>
      </c>
      <c r="DL16" s="107" t="s">
        <v>5881</v>
      </c>
      <c r="DM16">
        <v>80</v>
      </c>
      <c r="DN16" t="s">
        <v>5882</v>
      </c>
      <c r="DO16" s="108" t="s">
        <v>5883</v>
      </c>
      <c r="DP16" s="108" t="s">
        <v>5884</v>
      </c>
      <c r="DQ16" s="109" t="s">
        <v>2</v>
      </c>
      <c r="DR16" s="110">
        <v>100</v>
      </c>
      <c r="DS16" s="110">
        <v>100</v>
      </c>
      <c r="DT16" s="110">
        <v>15</v>
      </c>
      <c r="DU16" s="111" t="s">
        <v>5885</v>
      </c>
      <c r="DV16">
        <v>100</v>
      </c>
      <c r="DW16" t="s">
        <v>1124</v>
      </c>
      <c r="DX16" s="112" t="s">
        <v>5886</v>
      </c>
      <c r="DY16" s="112" t="s">
        <v>5887</v>
      </c>
      <c r="DZ16" s="113" t="s">
        <v>2</v>
      </c>
      <c r="EA16" s="114">
        <v>90</v>
      </c>
      <c r="EB16" s="114">
        <v>100</v>
      </c>
      <c r="EC16" s="114">
        <v>10</v>
      </c>
      <c r="ED16" s="115" t="s">
        <v>5888</v>
      </c>
      <c r="EE16">
        <v>90</v>
      </c>
      <c r="EO16" t="s">
        <v>634</v>
      </c>
      <c r="EP16" s="121" t="s">
        <v>5889</v>
      </c>
      <c r="EQ16" s="121" t="s">
        <v>5890</v>
      </c>
      <c r="ER16" s="125" t="s">
        <v>2</v>
      </c>
      <c r="ES16" s="123">
        <v>55</v>
      </c>
      <c r="ET16" s="123">
        <v>95</v>
      </c>
      <c r="EU16" s="123">
        <v>15</v>
      </c>
      <c r="EV16" s="124" t="s">
        <v>5891</v>
      </c>
      <c r="EW16">
        <v>55</v>
      </c>
    </row>
    <row r="17" ht="62.25" spans="1:153">
      <c r="A17" t="s">
        <v>477</v>
      </c>
      <c r="B17" s="45" t="s">
        <v>5892</v>
      </c>
      <c r="C17" s="45" t="s">
        <v>5893</v>
      </c>
      <c r="D17" s="42" t="s">
        <v>1</v>
      </c>
      <c r="E17" s="46">
        <v>40</v>
      </c>
      <c r="F17" s="46">
        <v>100</v>
      </c>
      <c r="G17" s="46">
        <v>20</v>
      </c>
      <c r="H17" s="47" t="s">
        <v>5894</v>
      </c>
      <c r="I17">
        <v>40</v>
      </c>
      <c r="J17" t="s">
        <v>626</v>
      </c>
      <c r="K17" s="48" t="s">
        <v>5895</v>
      </c>
      <c r="L17" s="48" t="s">
        <v>5896</v>
      </c>
      <c r="M17" s="49" t="s">
        <v>1</v>
      </c>
      <c r="N17" s="50">
        <v>60</v>
      </c>
      <c r="O17" s="50">
        <v>100</v>
      </c>
      <c r="P17" s="50">
        <v>10</v>
      </c>
      <c r="Q17" s="51" t="s">
        <v>5897</v>
      </c>
      <c r="R17">
        <v>60</v>
      </c>
      <c r="S17" t="s">
        <v>5898</v>
      </c>
      <c r="T17" s="52" t="s">
        <v>5899</v>
      </c>
      <c r="U17" s="52" t="s">
        <v>5900</v>
      </c>
      <c r="V17" s="53" t="s">
        <v>2</v>
      </c>
      <c r="W17" s="54">
        <v>100</v>
      </c>
      <c r="X17" s="54">
        <v>95</v>
      </c>
      <c r="Y17" s="54">
        <v>5</v>
      </c>
      <c r="Z17" s="56" t="s">
        <v>5901</v>
      </c>
      <c r="AA17">
        <v>100</v>
      </c>
      <c r="AK17" s="55" t="s">
        <v>245</v>
      </c>
      <c r="AL17" s="55" t="s">
        <v>5902</v>
      </c>
      <c r="AM17" s="55" t="s">
        <v>5903</v>
      </c>
      <c r="AN17" s="21" t="s">
        <v>1</v>
      </c>
      <c r="AO17" s="20">
        <v>120</v>
      </c>
      <c r="AP17" s="20">
        <v>85</v>
      </c>
      <c r="AQ17" s="20">
        <v>10</v>
      </c>
      <c r="AS17">
        <v>120</v>
      </c>
      <c r="BC17" t="s">
        <v>5904</v>
      </c>
      <c r="BD17" s="70" t="s">
        <v>5905</v>
      </c>
      <c r="BE17" s="70" t="s">
        <v>5906</v>
      </c>
      <c r="BF17" s="74" t="s">
        <v>2</v>
      </c>
      <c r="BG17" s="72">
        <v>20</v>
      </c>
      <c r="BH17" s="72">
        <v>100</v>
      </c>
      <c r="BI17" s="72">
        <v>35</v>
      </c>
      <c r="BJ17" s="73" t="s">
        <v>5907</v>
      </c>
      <c r="BK17">
        <v>20</v>
      </c>
      <c r="CD17" t="s">
        <v>958</v>
      </c>
      <c r="CE17" s="85" t="s">
        <v>5908</v>
      </c>
      <c r="CF17" s="85" t="s">
        <v>5909</v>
      </c>
      <c r="CG17" s="88" t="s">
        <v>2</v>
      </c>
      <c r="CH17" s="87">
        <v>80</v>
      </c>
      <c r="CI17" s="87">
        <v>100</v>
      </c>
      <c r="CJ17" s="87">
        <v>10</v>
      </c>
      <c r="CK17" s="93" t="s">
        <v>5910</v>
      </c>
      <c r="CL17">
        <v>80</v>
      </c>
      <c r="CM17" t="s">
        <v>5911</v>
      </c>
      <c r="CN17" s="94" t="s">
        <v>5912</v>
      </c>
      <c r="CO17" s="94" t="s">
        <v>5913</v>
      </c>
      <c r="CP17" s="97" t="s">
        <v>2</v>
      </c>
      <c r="CQ17" s="96">
        <v>65</v>
      </c>
      <c r="CR17" s="96">
        <v>100</v>
      </c>
      <c r="CS17" s="96">
        <v>10</v>
      </c>
      <c r="CT17" s="99" t="s">
        <v>5914</v>
      </c>
      <c r="CU17">
        <f>IF(IF(伤害计算器!F28=1,伤害计算器!R13,伤害计算器!G13)&lt;0.5,130,65)</f>
        <v>65</v>
      </c>
      <c r="CV17" t="s">
        <v>1016</v>
      </c>
      <c r="CW17" s="100" t="s">
        <v>5915</v>
      </c>
      <c r="CX17" s="100" t="s">
        <v>5916</v>
      </c>
      <c r="CY17" s="101" t="s">
        <v>2</v>
      </c>
      <c r="CZ17" s="102">
        <v>65</v>
      </c>
      <c r="DA17" s="102">
        <v>90</v>
      </c>
      <c r="DB17" s="102">
        <v>10</v>
      </c>
      <c r="DC17" s="103" t="s">
        <v>5917</v>
      </c>
      <c r="DD17">
        <v>65</v>
      </c>
      <c r="DE17" t="s">
        <v>1031</v>
      </c>
      <c r="DF17" s="104" t="s">
        <v>5918</v>
      </c>
      <c r="DG17" s="104" t="s">
        <v>5919</v>
      </c>
      <c r="DH17" s="105" t="s">
        <v>2</v>
      </c>
      <c r="DI17" s="106">
        <v>90</v>
      </c>
      <c r="DJ17" s="106">
        <v>100</v>
      </c>
      <c r="DK17" s="106">
        <v>15</v>
      </c>
      <c r="DL17" s="107" t="s">
        <v>5920</v>
      </c>
      <c r="DM17">
        <v>90</v>
      </c>
      <c r="DN17" t="s">
        <v>5921</v>
      </c>
      <c r="DO17" s="108" t="s">
        <v>5922</v>
      </c>
      <c r="DP17" s="108" t="s">
        <v>5923</v>
      </c>
      <c r="DQ17" s="109" t="s">
        <v>2</v>
      </c>
      <c r="DR17" s="110">
        <v>120</v>
      </c>
      <c r="DS17" s="110">
        <v>100</v>
      </c>
      <c r="DT17" s="110">
        <v>10</v>
      </c>
      <c r="DU17" s="111" t="s">
        <v>5924</v>
      </c>
      <c r="DV17">
        <v>120</v>
      </c>
      <c r="DW17" t="s">
        <v>676</v>
      </c>
      <c r="DX17" s="112" t="s">
        <v>5925</v>
      </c>
      <c r="DY17" s="112" t="s">
        <v>5926</v>
      </c>
      <c r="DZ17" s="113" t="s">
        <v>2</v>
      </c>
      <c r="EA17" s="114">
        <v>110</v>
      </c>
      <c r="EB17" s="114">
        <v>70</v>
      </c>
      <c r="EC17" s="114">
        <v>5</v>
      </c>
      <c r="ED17" s="115" t="s">
        <v>5927</v>
      </c>
      <c r="EE17">
        <v>110</v>
      </c>
      <c r="EO17" t="s">
        <v>1196</v>
      </c>
      <c r="EP17" s="121" t="s">
        <v>5928</v>
      </c>
      <c r="EQ17" s="121" t="s">
        <v>5929</v>
      </c>
      <c r="ER17" s="125" t="s">
        <v>2</v>
      </c>
      <c r="ES17" s="123">
        <v>80</v>
      </c>
      <c r="ET17" s="123">
        <v>100</v>
      </c>
      <c r="EU17" s="123">
        <v>15</v>
      </c>
      <c r="EV17" s="124" t="s">
        <v>5930</v>
      </c>
      <c r="EW17">
        <v>80</v>
      </c>
    </row>
    <row r="18" ht="72.75" spans="1:153">
      <c r="A18" t="s">
        <v>5931</v>
      </c>
      <c r="B18" s="45" t="s">
        <v>5932</v>
      </c>
      <c r="C18" s="45" t="s">
        <v>5933</v>
      </c>
      <c r="D18" s="42" t="s">
        <v>1</v>
      </c>
      <c r="E18" s="46">
        <v>40</v>
      </c>
      <c r="F18" s="46">
        <v>100</v>
      </c>
      <c r="G18" s="46">
        <v>35</v>
      </c>
      <c r="H18" s="47" t="s">
        <v>5934</v>
      </c>
      <c r="I18">
        <v>40</v>
      </c>
      <c r="J18" t="s">
        <v>644</v>
      </c>
      <c r="K18" s="48" t="s">
        <v>5935</v>
      </c>
      <c r="L18" s="48" t="s">
        <v>5936</v>
      </c>
      <c r="M18" s="49" t="s">
        <v>1</v>
      </c>
      <c r="N18" s="50">
        <v>65</v>
      </c>
      <c r="O18" s="50">
        <v>100</v>
      </c>
      <c r="P18" s="50">
        <v>20</v>
      </c>
      <c r="Q18" s="51" t="s">
        <v>5937</v>
      </c>
      <c r="R18">
        <v>65</v>
      </c>
      <c r="S18" t="s">
        <v>674</v>
      </c>
      <c r="T18" s="52" t="s">
        <v>5938</v>
      </c>
      <c r="U18" s="52" t="s">
        <v>5939</v>
      </c>
      <c r="V18" s="53" t="s">
        <v>2</v>
      </c>
      <c r="W18" s="54">
        <v>110</v>
      </c>
      <c r="X18" s="54">
        <v>70</v>
      </c>
      <c r="Y18" s="54">
        <v>10</v>
      </c>
      <c r="Z18" s="56" t="s">
        <v>5940</v>
      </c>
      <c r="AA18">
        <v>110</v>
      </c>
      <c r="AK18" s="55" t="s">
        <v>782</v>
      </c>
      <c r="AL18" s="55" t="s">
        <v>5598</v>
      </c>
      <c r="AM18" s="55" t="s">
        <v>5599</v>
      </c>
      <c r="AN18" s="21" t="s">
        <v>1</v>
      </c>
      <c r="AO18" s="20">
        <v>90</v>
      </c>
      <c r="AP18" s="20">
        <v>100</v>
      </c>
      <c r="AQ18" s="20">
        <v>10</v>
      </c>
      <c r="AS18">
        <v>90</v>
      </c>
      <c r="CD18" t="s">
        <v>897</v>
      </c>
      <c r="CE18" s="85" t="s">
        <v>5941</v>
      </c>
      <c r="CF18" s="85" t="s">
        <v>5942</v>
      </c>
      <c r="CG18" s="88" t="s">
        <v>2</v>
      </c>
      <c r="CH18" s="87">
        <v>90</v>
      </c>
      <c r="CI18" s="87">
        <v>100</v>
      </c>
      <c r="CJ18" s="87">
        <v>15</v>
      </c>
      <c r="CK18" s="93" t="s">
        <v>5943</v>
      </c>
      <c r="CL18">
        <v>90</v>
      </c>
      <c r="CM18" t="s">
        <v>991</v>
      </c>
      <c r="CN18" s="94" t="s">
        <v>5944</v>
      </c>
      <c r="CO18" s="94" t="s">
        <v>5945</v>
      </c>
      <c r="CP18" s="97" t="s">
        <v>2</v>
      </c>
      <c r="CQ18" s="96">
        <v>80</v>
      </c>
      <c r="CR18" s="96">
        <v>100</v>
      </c>
      <c r="CS18" s="96">
        <v>15</v>
      </c>
      <c r="CT18" s="99" t="s">
        <v>5946</v>
      </c>
      <c r="CU18">
        <v>80</v>
      </c>
      <c r="CV18" t="s">
        <v>243</v>
      </c>
      <c r="CW18" s="100" t="s">
        <v>5947</v>
      </c>
      <c r="CX18" s="100" t="s">
        <v>5948</v>
      </c>
      <c r="CY18" s="101" t="s">
        <v>2</v>
      </c>
      <c r="CZ18" s="102">
        <v>75</v>
      </c>
      <c r="DA18" s="102">
        <v>100</v>
      </c>
      <c r="DB18" s="102">
        <v>10</v>
      </c>
      <c r="DC18" s="103" t="s">
        <v>5737</v>
      </c>
      <c r="DD18">
        <v>75</v>
      </c>
      <c r="DE18" t="s">
        <v>1036</v>
      </c>
      <c r="DF18" s="104" t="s">
        <v>5949</v>
      </c>
      <c r="DG18" s="104" t="s">
        <v>5950</v>
      </c>
      <c r="DH18" s="105" t="s">
        <v>2</v>
      </c>
      <c r="DI18" s="106">
        <v>110</v>
      </c>
      <c r="DJ18" s="106">
        <v>70</v>
      </c>
      <c r="DK18" s="106">
        <v>10</v>
      </c>
      <c r="DL18" s="107" t="s">
        <v>5951</v>
      </c>
      <c r="DM18">
        <v>110</v>
      </c>
      <c r="DN18" t="s">
        <v>5952</v>
      </c>
      <c r="DO18" s="108" t="s">
        <v>5953</v>
      </c>
      <c r="DP18" s="108" t="s">
        <v>5954</v>
      </c>
      <c r="DQ18" s="109" t="s">
        <v>2</v>
      </c>
      <c r="DR18" s="110">
        <v>100</v>
      </c>
      <c r="DS18" s="110">
        <v>100</v>
      </c>
      <c r="DT18" s="110">
        <v>10</v>
      </c>
      <c r="DU18" s="111" t="s">
        <v>5791</v>
      </c>
      <c r="DV18">
        <v>100</v>
      </c>
      <c r="DW18" t="s">
        <v>1162</v>
      </c>
      <c r="DX18" s="112" t="s">
        <v>5955</v>
      </c>
      <c r="DY18" s="112" t="s">
        <v>5956</v>
      </c>
      <c r="DZ18" s="113" t="s">
        <v>2</v>
      </c>
      <c r="EA18" s="114">
        <v>140</v>
      </c>
      <c r="EB18" s="114">
        <v>90</v>
      </c>
      <c r="EC18" s="114">
        <v>5</v>
      </c>
      <c r="ED18" s="115" t="s">
        <v>5957</v>
      </c>
      <c r="EE18">
        <v>140</v>
      </c>
      <c r="EO18" t="s">
        <v>1201</v>
      </c>
      <c r="EP18" s="121" t="s">
        <v>5958</v>
      </c>
      <c r="EQ18" s="121" t="s">
        <v>5959</v>
      </c>
      <c r="ER18" s="125" t="s">
        <v>2</v>
      </c>
      <c r="ES18" s="123">
        <v>85</v>
      </c>
      <c r="ET18" s="123">
        <v>95</v>
      </c>
      <c r="EU18" s="123">
        <v>10</v>
      </c>
      <c r="EV18" s="124" t="s">
        <v>5960</v>
      </c>
      <c r="EW18">
        <v>85</v>
      </c>
    </row>
    <row r="19" ht="74.25" spans="1:135">
      <c r="A19" t="s">
        <v>5961</v>
      </c>
      <c r="B19" s="45" t="s">
        <v>5962</v>
      </c>
      <c r="C19" s="45" t="s">
        <v>5963</v>
      </c>
      <c r="D19" s="42" t="s">
        <v>1</v>
      </c>
      <c r="E19" s="46">
        <v>40</v>
      </c>
      <c r="F19" s="46">
        <v>100</v>
      </c>
      <c r="G19" s="46">
        <v>30</v>
      </c>
      <c r="H19" s="47" t="s">
        <v>5964</v>
      </c>
      <c r="I19">
        <v>40</v>
      </c>
      <c r="J19" t="s">
        <v>5965</v>
      </c>
      <c r="K19" s="48" t="s">
        <v>5966</v>
      </c>
      <c r="L19" s="48" t="s">
        <v>5967</v>
      </c>
      <c r="M19" s="49" t="s">
        <v>1</v>
      </c>
      <c r="N19" s="50">
        <v>60</v>
      </c>
      <c r="O19" s="50">
        <v>90</v>
      </c>
      <c r="P19" s="50">
        <v>10</v>
      </c>
      <c r="Q19" s="51" t="s">
        <v>5968</v>
      </c>
      <c r="R19">
        <v>60</v>
      </c>
      <c r="S19" t="s">
        <v>5969</v>
      </c>
      <c r="T19" s="52" t="s">
        <v>5970</v>
      </c>
      <c r="U19" s="52" t="s">
        <v>5971</v>
      </c>
      <c r="V19" s="53" t="s">
        <v>2</v>
      </c>
      <c r="W19" s="54">
        <v>80</v>
      </c>
      <c r="X19" s="54">
        <v>100</v>
      </c>
      <c r="Y19" s="54">
        <v>10</v>
      </c>
      <c r="Z19" s="56" t="s">
        <v>5972</v>
      </c>
      <c r="AA19">
        <v>80</v>
      </c>
      <c r="CD19" t="s">
        <v>551</v>
      </c>
      <c r="CE19" s="85" t="s">
        <v>5973</v>
      </c>
      <c r="CF19" s="85" t="s">
        <v>5974</v>
      </c>
      <c r="CG19" s="88" t="s">
        <v>2</v>
      </c>
      <c r="CH19" s="87">
        <v>95</v>
      </c>
      <c r="CI19" s="87">
        <v>90</v>
      </c>
      <c r="CJ19" s="87">
        <v>10</v>
      </c>
      <c r="CK19" s="93" t="s">
        <v>5975</v>
      </c>
      <c r="CL19">
        <v>95</v>
      </c>
      <c r="CM19" t="s">
        <v>687</v>
      </c>
      <c r="CN19" s="94" t="s">
        <v>5976</v>
      </c>
      <c r="CO19" s="94" t="s">
        <v>5977</v>
      </c>
      <c r="CP19" s="97" t="s">
        <v>2</v>
      </c>
      <c r="CQ19" s="96">
        <v>90</v>
      </c>
      <c r="CR19" s="96">
        <v>100</v>
      </c>
      <c r="CS19" s="96">
        <v>15</v>
      </c>
      <c r="CT19" s="99" t="s">
        <v>5978</v>
      </c>
      <c r="CU19">
        <v>90</v>
      </c>
      <c r="CV19" t="s">
        <v>1006</v>
      </c>
      <c r="CW19" s="100" t="s">
        <v>5979</v>
      </c>
      <c r="CX19" s="100" t="s">
        <v>5980</v>
      </c>
      <c r="CY19" s="101" t="s">
        <v>2</v>
      </c>
      <c r="CZ19" s="102">
        <v>90</v>
      </c>
      <c r="DA19" s="102">
        <v>100</v>
      </c>
      <c r="DB19" s="102">
        <v>10</v>
      </c>
      <c r="DC19" s="103" t="s">
        <v>5981</v>
      </c>
      <c r="DD19">
        <v>90</v>
      </c>
      <c r="DE19" t="s">
        <v>1041</v>
      </c>
      <c r="DF19" s="104" t="s">
        <v>5982</v>
      </c>
      <c r="DG19" s="104" t="s">
        <v>5983</v>
      </c>
      <c r="DH19" s="105" t="s">
        <v>2</v>
      </c>
      <c r="DI19" s="106">
        <v>120</v>
      </c>
      <c r="DJ19" s="106">
        <v>50</v>
      </c>
      <c r="DK19" s="106">
        <v>5</v>
      </c>
      <c r="DL19" s="107" t="s">
        <v>5984</v>
      </c>
      <c r="DM19">
        <v>120</v>
      </c>
      <c r="DN19" t="s">
        <v>5985</v>
      </c>
      <c r="DO19" s="108" t="s">
        <v>5986</v>
      </c>
      <c r="DP19" s="108" t="s">
        <v>5987</v>
      </c>
      <c r="DQ19" s="109" t="s">
        <v>2</v>
      </c>
      <c r="DR19" s="110">
        <v>140</v>
      </c>
      <c r="DS19" s="110">
        <v>90</v>
      </c>
      <c r="DT19" s="110">
        <v>5</v>
      </c>
      <c r="DU19" s="111" t="s">
        <v>5988</v>
      </c>
      <c r="DV19">
        <v>140</v>
      </c>
      <c r="DW19" t="s">
        <v>5989</v>
      </c>
      <c r="DX19" s="112" t="s">
        <v>5990</v>
      </c>
      <c r="DY19" s="112" t="s">
        <v>5991</v>
      </c>
      <c r="DZ19" s="113" t="s">
        <v>2</v>
      </c>
      <c r="EA19" s="114">
        <v>70</v>
      </c>
      <c r="EB19" s="114">
        <v>100</v>
      </c>
      <c r="EC19" s="114">
        <v>20</v>
      </c>
      <c r="ED19" s="115" t="s">
        <v>5992</v>
      </c>
      <c r="EE19">
        <v>70</v>
      </c>
    </row>
    <row r="20" ht="61.5" spans="1:117">
      <c r="A20" t="s">
        <v>5993</v>
      </c>
      <c r="B20" s="45" t="s">
        <v>5994</v>
      </c>
      <c r="C20" s="45" t="s">
        <v>5995</v>
      </c>
      <c r="D20" s="42" t="s">
        <v>1</v>
      </c>
      <c r="E20" s="46">
        <v>40</v>
      </c>
      <c r="F20" s="46">
        <v>100</v>
      </c>
      <c r="G20" s="46">
        <v>40</v>
      </c>
      <c r="H20" s="47" t="s">
        <v>5996</v>
      </c>
      <c r="I20">
        <v>40</v>
      </c>
      <c r="J20" t="s">
        <v>5997</v>
      </c>
      <c r="K20" s="48" t="s">
        <v>5998</v>
      </c>
      <c r="L20" s="48" t="s">
        <v>5999</v>
      </c>
      <c r="M20" s="49" t="s">
        <v>1</v>
      </c>
      <c r="N20" s="50">
        <v>70</v>
      </c>
      <c r="O20" s="50" t="s">
        <v>5038</v>
      </c>
      <c r="P20" s="50">
        <v>10</v>
      </c>
      <c r="Q20" s="51" t="s">
        <v>6000</v>
      </c>
      <c r="R20">
        <v>70</v>
      </c>
      <c r="S20" s="17" t="s">
        <v>6001</v>
      </c>
      <c r="T20" s="55" t="s">
        <v>6002</v>
      </c>
      <c r="U20" s="55" t="s">
        <v>6003</v>
      </c>
      <c r="V20" s="18" t="s">
        <v>1</v>
      </c>
      <c r="W20" s="17">
        <v>120</v>
      </c>
      <c r="X20" s="17">
        <v>100</v>
      </c>
      <c r="Y20" s="17">
        <v>5</v>
      </c>
      <c r="AA20">
        <v>120</v>
      </c>
      <c r="CD20" t="s">
        <v>944</v>
      </c>
      <c r="CE20" s="85" t="s">
        <v>6004</v>
      </c>
      <c r="CF20" s="85" t="s">
        <v>6005</v>
      </c>
      <c r="CG20" s="88" t="s">
        <v>2</v>
      </c>
      <c r="CH20" s="87">
        <v>100</v>
      </c>
      <c r="CI20" s="87">
        <v>50</v>
      </c>
      <c r="CJ20" s="87">
        <v>5</v>
      </c>
      <c r="CK20" s="93" t="s">
        <v>6006</v>
      </c>
      <c r="CL20">
        <v>100</v>
      </c>
      <c r="CM20" t="s">
        <v>571</v>
      </c>
      <c r="CN20" s="94" t="s">
        <v>6007</v>
      </c>
      <c r="CO20" s="94" t="s">
        <v>6008</v>
      </c>
      <c r="CP20" s="97" t="s">
        <v>2</v>
      </c>
      <c r="CQ20" s="96">
        <v>90</v>
      </c>
      <c r="CR20" s="96">
        <v>85</v>
      </c>
      <c r="CS20" s="96">
        <v>10</v>
      </c>
      <c r="CT20" s="99" t="s">
        <v>6009</v>
      </c>
      <c r="CU20">
        <v>90</v>
      </c>
      <c r="CV20" t="s">
        <v>6010</v>
      </c>
      <c r="CW20" s="100" t="s">
        <v>6011</v>
      </c>
      <c r="CX20" s="100" t="s">
        <v>6012</v>
      </c>
      <c r="CY20" s="101" t="s">
        <v>2</v>
      </c>
      <c r="CZ20" s="102">
        <v>120</v>
      </c>
      <c r="DA20" s="102">
        <v>100</v>
      </c>
      <c r="DB20" s="102">
        <v>10</v>
      </c>
      <c r="DC20" s="103" t="s">
        <v>6013</v>
      </c>
      <c r="DD20">
        <v>120</v>
      </c>
      <c r="DE20" t="s">
        <v>6014</v>
      </c>
      <c r="DF20" s="104" t="s">
        <v>6015</v>
      </c>
      <c r="DG20" s="104" t="s">
        <v>6016</v>
      </c>
      <c r="DH20" s="105" t="s">
        <v>2</v>
      </c>
      <c r="DI20" s="106">
        <v>50</v>
      </c>
      <c r="DJ20" s="106">
        <v>100</v>
      </c>
      <c r="DK20" s="106">
        <v>20</v>
      </c>
      <c r="DL20" s="107" t="s">
        <v>6017</v>
      </c>
      <c r="DM20">
        <v>50</v>
      </c>
    </row>
    <row r="21" ht="72.75" spans="1:108">
      <c r="A21" t="s">
        <v>549</v>
      </c>
      <c r="B21" s="45" t="s">
        <v>6018</v>
      </c>
      <c r="C21" s="45" t="s">
        <v>6019</v>
      </c>
      <c r="D21" s="42" t="s">
        <v>1</v>
      </c>
      <c r="E21" s="46">
        <v>40</v>
      </c>
      <c r="F21" s="46">
        <v>100</v>
      </c>
      <c r="G21" s="46">
        <v>10</v>
      </c>
      <c r="H21" s="47" t="s">
        <v>6020</v>
      </c>
      <c r="I21">
        <v>40</v>
      </c>
      <c r="J21" t="s">
        <v>6021</v>
      </c>
      <c r="K21" s="48" t="s">
        <v>6022</v>
      </c>
      <c r="L21" s="48" t="s">
        <v>6023</v>
      </c>
      <c r="M21" s="49" t="s">
        <v>1</v>
      </c>
      <c r="N21" s="50">
        <v>75</v>
      </c>
      <c r="O21" s="50">
        <v>100</v>
      </c>
      <c r="P21" s="50">
        <v>15</v>
      </c>
      <c r="Q21" s="51" t="s">
        <v>6024</v>
      </c>
      <c r="R21">
        <v>75</v>
      </c>
      <c r="CD21" t="s">
        <v>719</v>
      </c>
      <c r="CE21" s="85" t="s">
        <v>6025</v>
      </c>
      <c r="CF21" s="85" t="s">
        <v>6026</v>
      </c>
      <c r="CG21" s="88" t="s">
        <v>2</v>
      </c>
      <c r="CH21" s="87">
        <v>100</v>
      </c>
      <c r="CI21" s="87">
        <v>100</v>
      </c>
      <c r="CJ21" s="87">
        <v>5</v>
      </c>
      <c r="CK21" s="93" t="s">
        <v>6027</v>
      </c>
      <c r="CL21">
        <v>100</v>
      </c>
      <c r="CM21" t="s">
        <v>6028</v>
      </c>
      <c r="CN21" s="94" t="s">
        <v>6029</v>
      </c>
      <c r="CO21" s="94" t="s">
        <v>6030</v>
      </c>
      <c r="CP21" s="97" t="s">
        <v>2</v>
      </c>
      <c r="CQ21" s="96">
        <v>110</v>
      </c>
      <c r="CR21" s="96">
        <v>80</v>
      </c>
      <c r="CS21" s="96">
        <v>5</v>
      </c>
      <c r="CT21" s="99" t="s">
        <v>6031</v>
      </c>
      <c r="CU21">
        <v>110</v>
      </c>
      <c r="CV21" t="s">
        <v>502</v>
      </c>
      <c r="CW21" s="100" t="s">
        <v>6032</v>
      </c>
      <c r="CX21" s="100" t="s">
        <v>6033</v>
      </c>
      <c r="CY21" s="101" t="s">
        <v>2</v>
      </c>
      <c r="CZ21" s="102">
        <v>120</v>
      </c>
      <c r="DA21" s="102">
        <v>100</v>
      </c>
      <c r="DB21" s="102">
        <v>10</v>
      </c>
      <c r="DC21" s="103" t="s">
        <v>6034</v>
      </c>
      <c r="DD21">
        <v>120</v>
      </c>
    </row>
    <row r="22" ht="72.75" spans="1:108">
      <c r="A22" t="s">
        <v>6035</v>
      </c>
      <c r="B22" s="45" t="s">
        <v>6036</v>
      </c>
      <c r="C22" s="45" t="s">
        <v>6037</v>
      </c>
      <c r="D22" s="42" t="s">
        <v>1</v>
      </c>
      <c r="E22" s="46">
        <v>50</v>
      </c>
      <c r="F22" s="46">
        <v>95</v>
      </c>
      <c r="G22" s="46">
        <v>30</v>
      </c>
      <c r="H22" s="47" t="s">
        <v>6038</v>
      </c>
      <c r="I22">
        <v>50</v>
      </c>
      <c r="J22" t="s">
        <v>6039</v>
      </c>
      <c r="K22" s="48" t="s">
        <v>6040</v>
      </c>
      <c r="L22" s="48" t="s">
        <v>6041</v>
      </c>
      <c r="M22" s="49" t="s">
        <v>1</v>
      </c>
      <c r="N22" s="50">
        <v>75</v>
      </c>
      <c r="O22" s="50">
        <v>100</v>
      </c>
      <c r="P22" s="50">
        <v>10</v>
      </c>
      <c r="Q22" s="51" t="s">
        <v>6042</v>
      </c>
      <c r="R22">
        <v>75</v>
      </c>
      <c r="CD22" t="s">
        <v>6043</v>
      </c>
      <c r="CE22" s="85" t="s">
        <v>6044</v>
      </c>
      <c r="CF22" s="85" t="s">
        <v>6045</v>
      </c>
      <c r="CG22" s="88" t="s">
        <v>2</v>
      </c>
      <c r="CH22" s="87">
        <v>100</v>
      </c>
      <c r="CI22" s="87">
        <v>100</v>
      </c>
      <c r="CJ22" s="87">
        <v>5</v>
      </c>
      <c r="CK22" s="93" t="s">
        <v>6046</v>
      </c>
      <c r="CL22">
        <v>100</v>
      </c>
      <c r="CM22" t="s">
        <v>6047</v>
      </c>
      <c r="CN22" s="94" t="s">
        <v>6048</v>
      </c>
      <c r="CO22" s="94" t="s">
        <v>6049</v>
      </c>
      <c r="CP22" s="97" t="s">
        <v>2</v>
      </c>
      <c r="CQ22" s="96">
        <v>150</v>
      </c>
      <c r="CR22" s="96">
        <v>90</v>
      </c>
      <c r="CS22" s="96">
        <v>5</v>
      </c>
      <c r="CT22" s="99" t="s">
        <v>6050</v>
      </c>
      <c r="CU22">
        <v>150</v>
      </c>
      <c r="CV22" t="s">
        <v>1011</v>
      </c>
      <c r="CW22" s="100" t="s">
        <v>6051</v>
      </c>
      <c r="CX22" s="100" t="s">
        <v>6052</v>
      </c>
      <c r="CY22" s="101" t="s">
        <v>2</v>
      </c>
      <c r="CZ22" s="102">
        <v>120</v>
      </c>
      <c r="DA22" s="102">
        <v>85</v>
      </c>
      <c r="DB22" s="102">
        <v>5</v>
      </c>
      <c r="DC22" s="103" t="s">
        <v>6053</v>
      </c>
      <c r="DD22">
        <v>120</v>
      </c>
    </row>
    <row r="23" ht="72.75" spans="1:108">
      <c r="A23" t="s">
        <v>6054</v>
      </c>
      <c r="B23" s="45" t="s">
        <v>6055</v>
      </c>
      <c r="C23" s="45" t="s">
        <v>6056</v>
      </c>
      <c r="D23" s="42" t="s">
        <v>1</v>
      </c>
      <c r="E23" s="46">
        <v>50</v>
      </c>
      <c r="F23" s="46">
        <v>100</v>
      </c>
      <c r="G23" s="46">
        <v>35</v>
      </c>
      <c r="H23" s="47" t="s">
        <v>6057</v>
      </c>
      <c r="I23">
        <v>50</v>
      </c>
      <c r="J23" t="s">
        <v>6058</v>
      </c>
      <c r="K23" s="48" t="s">
        <v>6059</v>
      </c>
      <c r="L23" s="48" t="s">
        <v>6060</v>
      </c>
      <c r="M23" s="49" t="s">
        <v>1</v>
      </c>
      <c r="N23" s="50">
        <v>80</v>
      </c>
      <c r="O23" s="50">
        <v>80</v>
      </c>
      <c r="P23" s="50">
        <v>25</v>
      </c>
      <c r="Q23" s="51" t="s">
        <v>6061</v>
      </c>
      <c r="R23">
        <v>80</v>
      </c>
      <c r="CD23" t="s">
        <v>902</v>
      </c>
      <c r="CE23" s="85" t="s">
        <v>6062</v>
      </c>
      <c r="CF23" s="85" t="s">
        <v>6063</v>
      </c>
      <c r="CG23" s="88" t="s">
        <v>2</v>
      </c>
      <c r="CH23" s="87">
        <v>110</v>
      </c>
      <c r="CI23" s="87">
        <v>85</v>
      </c>
      <c r="CJ23" s="87">
        <v>5</v>
      </c>
      <c r="CK23" s="93" t="s">
        <v>6064</v>
      </c>
      <c r="CL23">
        <v>110</v>
      </c>
      <c r="CM23" t="s">
        <v>532</v>
      </c>
      <c r="CN23" s="94" t="s">
        <v>6065</v>
      </c>
      <c r="CO23" s="94" t="s">
        <v>6066</v>
      </c>
      <c r="CP23" s="97" t="s">
        <v>2</v>
      </c>
      <c r="CQ23" s="96">
        <v>150</v>
      </c>
      <c r="CR23" s="96">
        <v>100</v>
      </c>
      <c r="CS23" s="96">
        <v>5</v>
      </c>
      <c r="CT23" s="99" t="s">
        <v>6067</v>
      </c>
      <c r="CU23">
        <f>MAX(1,150*IF(伤害计算器!F28=1,伤害计算器!G13,伤害计算器!R13))</f>
        <v>150</v>
      </c>
      <c r="CV23" t="s">
        <v>6068</v>
      </c>
      <c r="CW23" s="100" t="s">
        <v>6069</v>
      </c>
      <c r="CX23" s="100" t="s">
        <v>6070</v>
      </c>
      <c r="CY23" s="101" t="s">
        <v>2</v>
      </c>
      <c r="CZ23" s="102">
        <v>130</v>
      </c>
      <c r="DA23" s="102">
        <v>90</v>
      </c>
      <c r="DB23" s="102">
        <v>5</v>
      </c>
      <c r="DC23" s="103" t="s">
        <v>6071</v>
      </c>
      <c r="DD23">
        <v>130</v>
      </c>
    </row>
    <row r="24" ht="73.5" spans="1:108">
      <c r="A24" t="s">
        <v>6072</v>
      </c>
      <c r="B24" s="45" t="s">
        <v>6073</v>
      </c>
      <c r="C24" s="45" t="s">
        <v>6074</v>
      </c>
      <c r="D24" s="42" t="s">
        <v>1</v>
      </c>
      <c r="E24" s="46">
        <v>50</v>
      </c>
      <c r="F24" s="46" t="s">
        <v>5038</v>
      </c>
      <c r="G24" s="46" t="s">
        <v>5038</v>
      </c>
      <c r="H24" s="47" t="s">
        <v>6075</v>
      </c>
      <c r="I24">
        <v>50</v>
      </c>
      <c r="J24" t="s">
        <v>6076</v>
      </c>
      <c r="K24" s="48" t="s">
        <v>6077</v>
      </c>
      <c r="L24" s="48" t="s">
        <v>6078</v>
      </c>
      <c r="M24" s="49" t="s">
        <v>1</v>
      </c>
      <c r="N24" s="50">
        <v>80</v>
      </c>
      <c r="O24" s="50">
        <v>95</v>
      </c>
      <c r="P24" s="50">
        <v>10</v>
      </c>
      <c r="Q24" s="51" t="s">
        <v>6079</v>
      </c>
      <c r="R24">
        <v>80</v>
      </c>
      <c r="CD24" t="s">
        <v>6080</v>
      </c>
      <c r="CE24" s="85" t="s">
        <v>6081</v>
      </c>
      <c r="CF24" s="85" t="s">
        <v>6082</v>
      </c>
      <c r="CG24" s="88" t="s">
        <v>2</v>
      </c>
      <c r="CH24" s="87">
        <v>100</v>
      </c>
      <c r="CI24" s="87">
        <v>75</v>
      </c>
      <c r="CJ24" s="87">
        <v>5</v>
      </c>
      <c r="CK24" s="93" t="s">
        <v>6083</v>
      </c>
      <c r="CL24">
        <v>100</v>
      </c>
      <c r="CM24" s="55" t="s">
        <v>771</v>
      </c>
      <c r="CN24" s="55" t="s">
        <v>6084</v>
      </c>
      <c r="CO24" s="55" t="s">
        <v>6085</v>
      </c>
      <c r="CP24" s="97" t="s">
        <v>2</v>
      </c>
      <c r="CQ24" s="28">
        <v>110</v>
      </c>
      <c r="CR24" s="28">
        <v>85</v>
      </c>
      <c r="CS24" s="28">
        <v>10</v>
      </c>
      <c r="CU24">
        <v>110</v>
      </c>
      <c r="CV24" t="s">
        <v>6086</v>
      </c>
      <c r="CW24" s="100" t="s">
        <v>6087</v>
      </c>
      <c r="CX24" s="100" t="s">
        <v>6088</v>
      </c>
      <c r="CY24" s="101" t="s">
        <v>2</v>
      </c>
      <c r="CZ24" s="102">
        <v>150</v>
      </c>
      <c r="DA24" s="102">
        <v>90</v>
      </c>
      <c r="DB24" s="102">
        <v>5</v>
      </c>
      <c r="DC24" s="103" t="s">
        <v>6089</v>
      </c>
      <c r="DD24">
        <v>150</v>
      </c>
    </row>
    <row r="25" ht="60.75" spans="1:90">
      <c r="A25" t="s">
        <v>6090</v>
      </c>
      <c r="B25" s="45" t="s">
        <v>6091</v>
      </c>
      <c r="C25" s="45" t="s">
        <v>6092</v>
      </c>
      <c r="D25" s="42" t="s">
        <v>1</v>
      </c>
      <c r="E25" s="46">
        <v>55</v>
      </c>
      <c r="F25" s="46">
        <v>100</v>
      </c>
      <c r="G25" s="46">
        <v>30</v>
      </c>
      <c r="H25" s="47" t="s">
        <v>6093</v>
      </c>
      <c r="I25">
        <v>55</v>
      </c>
      <c r="J25" t="s">
        <v>6094</v>
      </c>
      <c r="K25" s="48" t="s">
        <v>6095</v>
      </c>
      <c r="L25" s="48" t="s">
        <v>6096</v>
      </c>
      <c r="M25" s="49" t="s">
        <v>1</v>
      </c>
      <c r="N25" s="50">
        <v>85</v>
      </c>
      <c r="O25" s="50">
        <v>90</v>
      </c>
      <c r="P25" s="50">
        <v>15</v>
      </c>
      <c r="Q25" s="51" t="s">
        <v>6097</v>
      </c>
      <c r="R25">
        <v>85</v>
      </c>
      <c r="CD25" t="s">
        <v>953</v>
      </c>
      <c r="CE25" s="85" t="s">
        <v>6098</v>
      </c>
      <c r="CF25" s="85" t="s">
        <v>6099</v>
      </c>
      <c r="CG25" s="88" t="s">
        <v>2</v>
      </c>
      <c r="CH25" s="87">
        <v>130</v>
      </c>
      <c r="CI25" s="87">
        <v>85</v>
      </c>
      <c r="CJ25" s="87">
        <v>5</v>
      </c>
      <c r="CK25" s="93" t="s">
        <v>6100</v>
      </c>
      <c r="CL25">
        <v>130</v>
      </c>
    </row>
    <row r="26" ht="60.75" spans="1:90">
      <c r="A26" t="s">
        <v>6101</v>
      </c>
      <c r="B26" s="45" t="s">
        <v>6102</v>
      </c>
      <c r="C26" s="45" t="s">
        <v>6103</v>
      </c>
      <c r="D26" s="42" t="s">
        <v>1</v>
      </c>
      <c r="E26" s="46">
        <v>60</v>
      </c>
      <c r="F26" s="46">
        <v>100</v>
      </c>
      <c r="G26" s="46">
        <v>10</v>
      </c>
      <c r="H26" s="47" t="s">
        <v>6104</v>
      </c>
      <c r="I26">
        <f>IF(IF(伤害计算器!F28=1,伤害计算器!Q14="麻痹",伤害计算器!F14="麻痹"),120,60)</f>
        <v>60</v>
      </c>
      <c r="J26" t="s">
        <v>6105</v>
      </c>
      <c r="K26" s="48" t="s">
        <v>6106</v>
      </c>
      <c r="L26" s="48" t="s">
        <v>6107</v>
      </c>
      <c r="M26" s="49" t="s">
        <v>1</v>
      </c>
      <c r="N26" s="50">
        <v>90</v>
      </c>
      <c r="O26" s="50">
        <v>100</v>
      </c>
      <c r="P26" s="50">
        <v>20</v>
      </c>
      <c r="Q26" s="51" t="s">
        <v>6108</v>
      </c>
      <c r="R26">
        <v>90</v>
      </c>
      <c r="CD26" t="s">
        <v>6109</v>
      </c>
      <c r="CE26" s="85" t="s">
        <v>6110</v>
      </c>
      <c r="CF26" s="85" t="s">
        <v>6111</v>
      </c>
      <c r="CG26" s="88" t="s">
        <v>2</v>
      </c>
      <c r="CH26" s="87">
        <v>130</v>
      </c>
      <c r="CI26" s="87">
        <v>90</v>
      </c>
      <c r="CJ26" s="87">
        <v>5</v>
      </c>
      <c r="CK26" s="93" t="s">
        <v>5988</v>
      </c>
      <c r="CL26">
        <v>130</v>
      </c>
    </row>
    <row r="27" ht="60.75" spans="1:90">
      <c r="A27" t="s">
        <v>6112</v>
      </c>
      <c r="B27" s="45" t="s">
        <v>6113</v>
      </c>
      <c r="C27" s="45" t="s">
        <v>6114</v>
      </c>
      <c r="D27" s="42" t="s">
        <v>1</v>
      </c>
      <c r="E27" s="46">
        <v>60</v>
      </c>
      <c r="F27" s="46">
        <v>100</v>
      </c>
      <c r="G27" s="46">
        <v>40</v>
      </c>
      <c r="H27" s="47" t="s">
        <v>6115</v>
      </c>
      <c r="I27">
        <v>60</v>
      </c>
      <c r="J27" t="s">
        <v>6116</v>
      </c>
      <c r="K27" s="48" t="s">
        <v>6117</v>
      </c>
      <c r="L27" s="48" t="s">
        <v>6118</v>
      </c>
      <c r="M27" s="49" t="s">
        <v>1</v>
      </c>
      <c r="N27" s="50">
        <v>100</v>
      </c>
      <c r="O27" s="50">
        <v>95</v>
      </c>
      <c r="P27" s="50">
        <v>10</v>
      </c>
      <c r="Q27" s="51" t="s">
        <v>6119</v>
      </c>
      <c r="R27">
        <v>100</v>
      </c>
      <c r="CD27" t="s">
        <v>590</v>
      </c>
      <c r="CE27" s="85" t="s">
        <v>6120</v>
      </c>
      <c r="CF27" s="85" t="s">
        <v>6121</v>
      </c>
      <c r="CG27" s="88" t="s">
        <v>2</v>
      </c>
      <c r="CH27" s="87">
        <v>150</v>
      </c>
      <c r="CI27" s="87">
        <v>100</v>
      </c>
      <c r="CJ27" s="87">
        <v>5</v>
      </c>
      <c r="CK27" s="93" t="s">
        <v>6122</v>
      </c>
      <c r="CL27">
        <f>MAX(1,150*IF(伤害计算器!F28=1,伤害计算器!G13,伤害计算器!R13))</f>
        <v>150</v>
      </c>
    </row>
    <row r="28" ht="48.75" spans="1:90">
      <c r="A28" t="s">
        <v>488</v>
      </c>
      <c r="B28" s="45" t="s">
        <v>6123</v>
      </c>
      <c r="C28" s="45" t="s">
        <v>6124</v>
      </c>
      <c r="D28" s="42" t="s">
        <v>1</v>
      </c>
      <c r="E28" s="46">
        <v>65</v>
      </c>
      <c r="F28" s="46">
        <v>100</v>
      </c>
      <c r="G28" s="46">
        <v>20</v>
      </c>
      <c r="H28" s="47" t="s">
        <v>6125</v>
      </c>
      <c r="I28">
        <v>60</v>
      </c>
      <c r="J28" t="s">
        <v>608</v>
      </c>
      <c r="K28" s="48" t="s">
        <v>6126</v>
      </c>
      <c r="L28" s="48" t="s">
        <v>6127</v>
      </c>
      <c r="M28" s="49" t="s">
        <v>1</v>
      </c>
      <c r="N28" s="50">
        <v>100</v>
      </c>
      <c r="O28" s="50">
        <v>50</v>
      </c>
      <c r="P28" s="50">
        <v>5</v>
      </c>
      <c r="Q28" s="51" t="s">
        <v>6128</v>
      </c>
      <c r="R28">
        <v>100</v>
      </c>
      <c r="CD28" t="s">
        <v>6129</v>
      </c>
      <c r="CE28" s="85" t="s">
        <v>6130</v>
      </c>
      <c r="CF28" s="85" t="s">
        <v>6131</v>
      </c>
      <c r="CG28" s="88" t="s">
        <v>2</v>
      </c>
      <c r="CH28" s="87">
        <v>150</v>
      </c>
      <c r="CI28" s="87">
        <v>90</v>
      </c>
      <c r="CJ28" s="87">
        <v>5</v>
      </c>
      <c r="CK28" s="93" t="s">
        <v>6132</v>
      </c>
      <c r="CL28">
        <v>150</v>
      </c>
    </row>
    <row r="29" ht="60.75" spans="1:90">
      <c r="A29" t="s">
        <v>6133</v>
      </c>
      <c r="B29" s="45" t="s">
        <v>6134</v>
      </c>
      <c r="C29" s="45" t="s">
        <v>6135</v>
      </c>
      <c r="D29" s="42" t="s">
        <v>1</v>
      </c>
      <c r="E29" s="46">
        <v>65</v>
      </c>
      <c r="F29" s="46">
        <v>100</v>
      </c>
      <c r="G29" s="46">
        <v>25</v>
      </c>
      <c r="H29" s="47" t="s">
        <v>6136</v>
      </c>
      <c r="I29">
        <v>65</v>
      </c>
      <c r="J29" t="s">
        <v>6137</v>
      </c>
      <c r="K29" s="48" t="s">
        <v>6138</v>
      </c>
      <c r="L29" s="48" t="s">
        <v>6139</v>
      </c>
      <c r="M29" s="49" t="s">
        <v>1</v>
      </c>
      <c r="N29" s="50">
        <v>100</v>
      </c>
      <c r="O29" s="50">
        <v>80</v>
      </c>
      <c r="P29" s="50">
        <v>5</v>
      </c>
      <c r="Q29" s="51" t="s">
        <v>6140</v>
      </c>
      <c r="R29">
        <v>100</v>
      </c>
      <c r="CD29" t="s">
        <v>6141</v>
      </c>
      <c r="CE29" s="85" t="s">
        <v>6142</v>
      </c>
      <c r="CF29" s="85" t="s">
        <v>6143</v>
      </c>
      <c r="CG29" s="88" t="s">
        <v>2</v>
      </c>
      <c r="CH29" s="87">
        <v>65</v>
      </c>
      <c r="CI29" s="87">
        <v>100</v>
      </c>
      <c r="CJ29" s="87">
        <v>10</v>
      </c>
      <c r="CK29" s="93" t="s">
        <v>6144</v>
      </c>
      <c r="CL29">
        <v>65</v>
      </c>
    </row>
    <row r="30" ht="60.75" spans="1:89">
      <c r="A30" t="s">
        <v>496</v>
      </c>
      <c r="B30" s="45" t="s">
        <v>6145</v>
      </c>
      <c r="C30" s="45" t="s">
        <v>6146</v>
      </c>
      <c r="D30" s="42" t="s">
        <v>1</v>
      </c>
      <c r="E30" s="46">
        <v>70</v>
      </c>
      <c r="F30" s="46">
        <v>100</v>
      </c>
      <c r="G30" s="46">
        <v>15</v>
      </c>
      <c r="H30" s="47" t="s">
        <v>6147</v>
      </c>
      <c r="I30">
        <v>70</v>
      </c>
      <c r="J30" t="s">
        <v>6148</v>
      </c>
      <c r="K30" s="48" t="s">
        <v>6149</v>
      </c>
      <c r="L30" s="48" t="s">
        <v>6150</v>
      </c>
      <c r="M30" s="49" t="s">
        <v>1</v>
      </c>
      <c r="N30" s="50">
        <v>100</v>
      </c>
      <c r="O30" s="50">
        <v>90</v>
      </c>
      <c r="P30" s="50">
        <v>10</v>
      </c>
      <c r="Q30" s="51" t="s">
        <v>6151</v>
      </c>
      <c r="R30">
        <v>100</v>
      </c>
      <c r="CD30" s="89"/>
      <c r="CE30" s="90"/>
      <c r="CF30" s="90"/>
      <c r="CG30" s="91"/>
      <c r="CH30" s="92"/>
      <c r="CI30" s="92"/>
      <c r="CJ30" s="92"/>
      <c r="CK30" s="98"/>
    </row>
    <row r="31" ht="48.75" spans="1:18">
      <c r="A31" t="s">
        <v>513</v>
      </c>
      <c r="B31" s="45" t="s">
        <v>6152</v>
      </c>
      <c r="C31" s="45" t="s">
        <v>6153</v>
      </c>
      <c r="D31" s="42" t="s">
        <v>1</v>
      </c>
      <c r="E31" s="46">
        <v>70</v>
      </c>
      <c r="F31" s="46">
        <v>100</v>
      </c>
      <c r="G31" s="46">
        <v>10</v>
      </c>
      <c r="H31" s="47" t="s">
        <v>6154</v>
      </c>
      <c r="I31">
        <v>70</v>
      </c>
      <c r="J31" t="s">
        <v>6155</v>
      </c>
      <c r="K31" s="48" t="s">
        <v>6156</v>
      </c>
      <c r="L31" s="48" t="s">
        <v>6157</v>
      </c>
      <c r="M31" s="49" t="s">
        <v>1</v>
      </c>
      <c r="N31" s="50">
        <v>120</v>
      </c>
      <c r="O31" s="50">
        <v>100</v>
      </c>
      <c r="P31" s="50">
        <v>5</v>
      </c>
      <c r="Q31" s="51" t="s">
        <v>6158</v>
      </c>
      <c r="R31">
        <v>120</v>
      </c>
    </row>
    <row r="32" ht="60.75" spans="1:18">
      <c r="A32" t="s">
        <v>6159</v>
      </c>
      <c r="B32" s="45" t="s">
        <v>6160</v>
      </c>
      <c r="C32" s="45" t="s">
        <v>6161</v>
      </c>
      <c r="D32" s="42" t="s">
        <v>1</v>
      </c>
      <c r="E32" s="46">
        <v>70</v>
      </c>
      <c r="F32" s="46">
        <v>100</v>
      </c>
      <c r="G32" s="46">
        <v>20</v>
      </c>
      <c r="H32" s="47" t="s">
        <v>6162</v>
      </c>
      <c r="I32">
        <v>70</v>
      </c>
      <c r="J32" t="s">
        <v>6163</v>
      </c>
      <c r="K32" s="48" t="s">
        <v>6164</v>
      </c>
      <c r="L32" s="48" t="s">
        <v>6165</v>
      </c>
      <c r="M32" s="49" t="s">
        <v>1</v>
      </c>
      <c r="N32" s="50">
        <v>120</v>
      </c>
      <c r="O32" s="50">
        <v>100</v>
      </c>
      <c r="P32" s="50">
        <v>5</v>
      </c>
      <c r="Q32" s="51" t="s">
        <v>6166</v>
      </c>
      <c r="R32">
        <v>120</v>
      </c>
    </row>
    <row r="33" ht="60.75" spans="1:18">
      <c r="A33" t="s">
        <v>6167</v>
      </c>
      <c r="B33" s="45" t="s">
        <v>6168</v>
      </c>
      <c r="C33" s="45" t="s">
        <v>6169</v>
      </c>
      <c r="D33" s="42" t="s">
        <v>1</v>
      </c>
      <c r="E33" s="46">
        <v>70</v>
      </c>
      <c r="F33" s="46">
        <v>100</v>
      </c>
      <c r="G33" s="46">
        <v>20</v>
      </c>
      <c r="H33" s="47" t="s">
        <v>6170</v>
      </c>
      <c r="I33">
        <f>IF(ISERROR(MATCH(IF(伤害计算器!F28=1,伤害计算器!F14,伤害计算器!Q14),{"中毒","烧伤","麻痹"},0)),70,140)</f>
        <v>70</v>
      </c>
      <c r="J33" t="s">
        <v>6171</v>
      </c>
      <c r="K33" s="48" t="s">
        <v>6172</v>
      </c>
      <c r="L33" s="48" t="s">
        <v>6173</v>
      </c>
      <c r="M33" s="49" t="s">
        <v>1</v>
      </c>
      <c r="N33" s="50">
        <v>130</v>
      </c>
      <c r="O33" s="50">
        <v>90</v>
      </c>
      <c r="P33" s="50">
        <v>10</v>
      </c>
      <c r="Q33" s="51" t="s">
        <v>6119</v>
      </c>
      <c r="R33">
        <v>130</v>
      </c>
    </row>
    <row r="34" ht="60.75" spans="1:18">
      <c r="A34" t="s">
        <v>559</v>
      </c>
      <c r="B34" s="45" t="s">
        <v>6174</v>
      </c>
      <c r="C34" s="45" t="s">
        <v>6175</v>
      </c>
      <c r="D34" s="42" t="s">
        <v>1</v>
      </c>
      <c r="E34" s="46">
        <v>70</v>
      </c>
      <c r="F34" s="46">
        <v>100</v>
      </c>
      <c r="G34" s="46">
        <v>20</v>
      </c>
      <c r="H34" s="47" t="s">
        <v>6176</v>
      </c>
      <c r="I34">
        <v>70</v>
      </c>
      <c r="J34" t="s">
        <v>6177</v>
      </c>
      <c r="K34" s="48" t="s">
        <v>6178</v>
      </c>
      <c r="L34" s="48" t="s">
        <v>6179</v>
      </c>
      <c r="M34" s="49" t="s">
        <v>1</v>
      </c>
      <c r="N34" s="50">
        <v>150</v>
      </c>
      <c r="O34" s="50">
        <v>100</v>
      </c>
      <c r="P34" s="50">
        <v>20</v>
      </c>
      <c r="Q34" s="51" t="s">
        <v>6180</v>
      </c>
      <c r="R34">
        <v>150</v>
      </c>
    </row>
    <row r="35" ht="73.5" spans="1:18">
      <c r="A35" t="s">
        <v>6181</v>
      </c>
      <c r="B35" s="45" t="s">
        <v>6182</v>
      </c>
      <c r="C35" s="45" t="s">
        <v>6183</v>
      </c>
      <c r="D35" s="42" t="s">
        <v>1</v>
      </c>
      <c r="E35" s="46">
        <v>70</v>
      </c>
      <c r="F35" s="46">
        <v>100</v>
      </c>
      <c r="G35" s="46">
        <v>20</v>
      </c>
      <c r="H35" s="47" t="s">
        <v>6184</v>
      </c>
      <c r="I35">
        <v>70</v>
      </c>
      <c r="J35" t="s">
        <v>494</v>
      </c>
      <c r="K35" s="48" t="s">
        <v>6185</v>
      </c>
      <c r="L35" s="48" t="s">
        <v>6186</v>
      </c>
      <c r="M35" s="49" t="s">
        <v>2</v>
      </c>
      <c r="N35" s="50" t="s">
        <v>5038</v>
      </c>
      <c r="O35" s="50">
        <v>100</v>
      </c>
      <c r="P35" s="50">
        <v>5</v>
      </c>
      <c r="Q35" s="51" t="s">
        <v>6187</v>
      </c>
      <c r="R35" t="s">
        <v>86</v>
      </c>
    </row>
    <row r="36" ht="60.75" spans="1:18">
      <c r="A36" t="s">
        <v>6188</v>
      </c>
      <c r="B36" s="45" t="s">
        <v>6189</v>
      </c>
      <c r="C36" s="45" t="s">
        <v>6190</v>
      </c>
      <c r="D36" s="42" t="s">
        <v>1</v>
      </c>
      <c r="E36" s="46">
        <v>70</v>
      </c>
      <c r="F36" s="46">
        <v>100</v>
      </c>
      <c r="G36" s="46">
        <v>5</v>
      </c>
      <c r="H36" s="47" t="s">
        <v>6191</v>
      </c>
      <c r="I36">
        <v>70</v>
      </c>
      <c r="J36" t="s">
        <v>6192</v>
      </c>
      <c r="K36" s="48" t="s">
        <v>6193</v>
      </c>
      <c r="L36" s="48" t="s">
        <v>6194</v>
      </c>
      <c r="M36" s="49" t="s">
        <v>2</v>
      </c>
      <c r="N36" s="50">
        <v>40</v>
      </c>
      <c r="O36" s="50">
        <v>100</v>
      </c>
      <c r="P36" s="50">
        <v>30</v>
      </c>
      <c r="Q36" s="51" t="s">
        <v>6195</v>
      </c>
      <c r="R36">
        <v>40</v>
      </c>
    </row>
    <row r="37" ht="72.75" spans="1:18">
      <c r="A37" t="s">
        <v>569</v>
      </c>
      <c r="B37" s="45" t="s">
        <v>6196</v>
      </c>
      <c r="C37" s="45" t="s">
        <v>6197</v>
      </c>
      <c r="D37" s="42" t="s">
        <v>1</v>
      </c>
      <c r="E37" s="46">
        <v>75</v>
      </c>
      <c r="F37" s="46">
        <v>95</v>
      </c>
      <c r="G37" s="46">
        <v>10</v>
      </c>
      <c r="H37" s="47" t="s">
        <v>6198</v>
      </c>
      <c r="I37">
        <v>75</v>
      </c>
      <c r="J37" t="s">
        <v>6199</v>
      </c>
      <c r="K37" s="48" t="s">
        <v>6200</v>
      </c>
      <c r="L37" s="48" t="s">
        <v>6201</v>
      </c>
      <c r="M37" s="49" t="s">
        <v>2</v>
      </c>
      <c r="N37" s="50">
        <v>85</v>
      </c>
      <c r="O37" s="50">
        <v>100</v>
      </c>
      <c r="P37" s="50">
        <v>10</v>
      </c>
      <c r="Q37" s="51" t="s">
        <v>6202</v>
      </c>
      <c r="R37">
        <v>85</v>
      </c>
    </row>
    <row r="38" ht="60.75" spans="1:18">
      <c r="A38" t="s">
        <v>6203</v>
      </c>
      <c r="B38" s="45" t="s">
        <v>6204</v>
      </c>
      <c r="C38" s="45" t="s">
        <v>6205</v>
      </c>
      <c r="D38" s="42" t="s">
        <v>1</v>
      </c>
      <c r="E38" s="46">
        <v>80</v>
      </c>
      <c r="F38" s="46">
        <v>85</v>
      </c>
      <c r="G38" s="46">
        <v>20</v>
      </c>
      <c r="H38" s="47" t="s">
        <v>6206</v>
      </c>
      <c r="I38">
        <v>80</v>
      </c>
      <c r="J38" t="s">
        <v>6207</v>
      </c>
      <c r="K38" s="48" t="s">
        <v>6208</v>
      </c>
      <c r="L38" s="48" t="s">
        <v>6209</v>
      </c>
      <c r="M38" s="49" t="s">
        <v>2</v>
      </c>
      <c r="N38" s="50">
        <v>80</v>
      </c>
      <c r="O38" s="50" t="s">
        <v>5038</v>
      </c>
      <c r="P38" s="50">
        <v>20</v>
      </c>
      <c r="Q38" s="51" t="s">
        <v>6210</v>
      </c>
      <c r="R38">
        <v>80</v>
      </c>
    </row>
    <row r="39" ht="60.75" spans="1:18">
      <c r="A39" t="s">
        <v>6211</v>
      </c>
      <c r="B39" s="45" t="s">
        <v>6212</v>
      </c>
      <c r="C39" s="45" t="s">
        <v>6213</v>
      </c>
      <c r="D39" s="42" t="s">
        <v>1</v>
      </c>
      <c r="E39" s="46">
        <v>80</v>
      </c>
      <c r="F39" s="46">
        <v>75</v>
      </c>
      <c r="G39" s="46">
        <v>20</v>
      </c>
      <c r="H39" s="47" t="s">
        <v>6214</v>
      </c>
      <c r="I39">
        <v>80</v>
      </c>
      <c r="J39" t="s">
        <v>635</v>
      </c>
      <c r="K39" s="48" t="s">
        <v>6215</v>
      </c>
      <c r="L39" s="48" t="s">
        <v>6216</v>
      </c>
      <c r="M39" s="49" t="s">
        <v>2</v>
      </c>
      <c r="N39" s="50">
        <v>120</v>
      </c>
      <c r="O39" s="50">
        <v>70</v>
      </c>
      <c r="P39" s="50">
        <v>5</v>
      </c>
      <c r="Q39" s="51" t="s">
        <v>6217</v>
      </c>
      <c r="R39">
        <v>120</v>
      </c>
    </row>
    <row r="40" ht="48.75" spans="1:9">
      <c r="A40" t="s">
        <v>3483</v>
      </c>
      <c r="B40" s="45" t="s">
        <v>6218</v>
      </c>
      <c r="C40" s="45" t="s">
        <v>6219</v>
      </c>
      <c r="D40" s="42" t="s">
        <v>1</v>
      </c>
      <c r="E40" s="46">
        <v>80</v>
      </c>
      <c r="F40" s="46">
        <v>100</v>
      </c>
      <c r="G40" s="46">
        <v>15</v>
      </c>
      <c r="H40" s="47" t="s">
        <v>6220</v>
      </c>
      <c r="I40">
        <v>80</v>
      </c>
    </row>
    <row r="41" ht="48.75" spans="1:9">
      <c r="A41" t="s">
        <v>520</v>
      </c>
      <c r="B41" s="45" t="s">
        <v>6221</v>
      </c>
      <c r="C41" s="45" t="s">
        <v>6222</v>
      </c>
      <c r="D41" s="42" t="s">
        <v>1</v>
      </c>
      <c r="E41" s="46">
        <v>80</v>
      </c>
      <c r="F41" s="46">
        <v>90</v>
      </c>
      <c r="G41" s="46">
        <v>15</v>
      </c>
      <c r="H41" s="47" t="s">
        <v>6223</v>
      </c>
      <c r="I41">
        <v>80</v>
      </c>
    </row>
    <row r="42" ht="72.75" spans="1:9">
      <c r="A42" t="s">
        <v>6224</v>
      </c>
      <c r="B42" s="45" t="s">
        <v>6225</v>
      </c>
      <c r="C42" s="45" t="s">
        <v>6226</v>
      </c>
      <c r="D42" s="42" t="s">
        <v>1</v>
      </c>
      <c r="E42" s="46">
        <v>80</v>
      </c>
      <c r="F42" s="46">
        <v>100</v>
      </c>
      <c r="G42" s="46">
        <v>5</v>
      </c>
      <c r="H42" s="47" t="s">
        <v>6227</v>
      </c>
      <c r="I42">
        <v>80</v>
      </c>
    </row>
    <row r="43" ht="48.75" spans="1:9">
      <c r="A43" t="s">
        <v>504</v>
      </c>
      <c r="B43" s="45" t="s">
        <v>6228</v>
      </c>
      <c r="C43" s="45" t="s">
        <v>6229</v>
      </c>
      <c r="D43" s="42" t="s">
        <v>1</v>
      </c>
      <c r="E43" s="46">
        <v>85</v>
      </c>
      <c r="F43" s="46">
        <v>100</v>
      </c>
      <c r="G43" s="46">
        <v>15</v>
      </c>
      <c r="H43" s="47" t="s">
        <v>6230</v>
      </c>
      <c r="I43">
        <v>85</v>
      </c>
    </row>
    <row r="44" ht="48.75" spans="1:9">
      <c r="A44" t="s">
        <v>6231</v>
      </c>
      <c r="B44" s="45" t="s">
        <v>6232</v>
      </c>
      <c r="C44" s="45" t="s">
        <v>6233</v>
      </c>
      <c r="D44" s="42" t="s">
        <v>1</v>
      </c>
      <c r="E44" s="46">
        <v>90</v>
      </c>
      <c r="F44" s="46">
        <v>85</v>
      </c>
      <c r="G44" s="46">
        <v>20</v>
      </c>
      <c r="H44" s="47" t="s">
        <v>6234</v>
      </c>
      <c r="I44">
        <v>90</v>
      </c>
    </row>
    <row r="45" ht="60.75" spans="1:9">
      <c r="A45" t="s">
        <v>579</v>
      </c>
      <c r="B45" s="45" t="s">
        <v>6235</v>
      </c>
      <c r="C45" s="45" t="s">
        <v>6236</v>
      </c>
      <c r="D45" s="42" t="s">
        <v>1</v>
      </c>
      <c r="E45" s="46">
        <v>90</v>
      </c>
      <c r="F45" s="46">
        <v>85</v>
      </c>
      <c r="G45" s="46">
        <v>20</v>
      </c>
      <c r="H45" s="47" t="s">
        <v>6237</v>
      </c>
      <c r="I45">
        <v>90</v>
      </c>
    </row>
    <row r="46" ht="36.75" spans="1:9">
      <c r="A46" t="s">
        <v>642</v>
      </c>
      <c r="B46" s="45" t="s">
        <v>6238</v>
      </c>
      <c r="C46" s="45" t="s">
        <v>6239</v>
      </c>
      <c r="D46" s="42" t="s">
        <v>1</v>
      </c>
      <c r="E46" s="46">
        <v>100</v>
      </c>
      <c r="F46" s="46">
        <v>75</v>
      </c>
      <c r="G46" s="46">
        <v>10</v>
      </c>
      <c r="H46" s="47" t="s">
        <v>6240</v>
      </c>
      <c r="I46">
        <v>100</v>
      </c>
    </row>
    <row r="47" ht="60.75" spans="1:9">
      <c r="A47" t="s">
        <v>6241</v>
      </c>
      <c r="B47" s="45" t="s">
        <v>6242</v>
      </c>
      <c r="C47" s="45" t="s">
        <v>6243</v>
      </c>
      <c r="D47" s="42" t="s">
        <v>1</v>
      </c>
      <c r="E47" s="46">
        <v>100</v>
      </c>
      <c r="F47" s="46">
        <v>100</v>
      </c>
      <c r="G47" s="46">
        <v>15</v>
      </c>
      <c r="H47" s="47" t="s">
        <v>6244</v>
      </c>
      <c r="I47">
        <v>100</v>
      </c>
    </row>
    <row r="48" ht="48.75" spans="1:9">
      <c r="A48" t="s">
        <v>6245</v>
      </c>
      <c r="B48" s="45" t="s">
        <v>6246</v>
      </c>
      <c r="C48" s="45" t="s">
        <v>6247</v>
      </c>
      <c r="D48" s="42" t="s">
        <v>1</v>
      </c>
      <c r="E48" s="46">
        <v>120</v>
      </c>
      <c r="F48" s="46">
        <v>75</v>
      </c>
      <c r="G48" s="46">
        <v>5</v>
      </c>
      <c r="H48" s="47" t="s">
        <v>6248</v>
      </c>
      <c r="I48">
        <v>120</v>
      </c>
    </row>
    <row r="49" ht="49.5" spans="1:9">
      <c r="A49" t="s">
        <v>6249</v>
      </c>
      <c r="B49" s="45" t="s">
        <v>6250</v>
      </c>
      <c r="C49" s="45" t="s">
        <v>6251</v>
      </c>
      <c r="D49" s="42" t="s">
        <v>1</v>
      </c>
      <c r="E49" s="46">
        <v>120</v>
      </c>
      <c r="F49" s="46">
        <v>100</v>
      </c>
      <c r="G49" s="46">
        <v>10</v>
      </c>
      <c r="H49" s="47" t="s">
        <v>6252</v>
      </c>
      <c r="I49">
        <v>120</v>
      </c>
    </row>
    <row r="50" ht="60.75" spans="1:9">
      <c r="A50" t="s">
        <v>6253</v>
      </c>
      <c r="B50" s="45" t="s">
        <v>6254</v>
      </c>
      <c r="C50" s="45" t="s">
        <v>6255</v>
      </c>
      <c r="D50" s="42" t="s">
        <v>1</v>
      </c>
      <c r="E50" s="46">
        <v>120</v>
      </c>
      <c r="F50" s="46">
        <v>100</v>
      </c>
      <c r="G50" s="46">
        <v>15</v>
      </c>
      <c r="H50" s="47" t="s">
        <v>6256</v>
      </c>
      <c r="I50">
        <v>120</v>
      </c>
    </row>
    <row r="51" ht="48.75" spans="1:9">
      <c r="A51" t="s">
        <v>6257</v>
      </c>
      <c r="B51" s="45" t="s">
        <v>6258</v>
      </c>
      <c r="C51" s="45" t="s">
        <v>6259</v>
      </c>
      <c r="D51" s="42" t="s">
        <v>1</v>
      </c>
      <c r="E51" s="46">
        <v>120</v>
      </c>
      <c r="F51" s="46">
        <v>100</v>
      </c>
      <c r="G51" s="46">
        <v>15</v>
      </c>
      <c r="H51" s="47" t="s">
        <v>6260</v>
      </c>
      <c r="I51">
        <v>120</v>
      </c>
    </row>
    <row r="52" ht="60.75" spans="1:9">
      <c r="A52" t="s">
        <v>6261</v>
      </c>
      <c r="B52" s="45" t="s">
        <v>6262</v>
      </c>
      <c r="C52" s="45" t="s">
        <v>6263</v>
      </c>
      <c r="D52" s="42" t="s">
        <v>1</v>
      </c>
      <c r="E52" s="46">
        <v>140</v>
      </c>
      <c r="F52" s="46">
        <v>100</v>
      </c>
      <c r="G52" s="46">
        <v>5</v>
      </c>
      <c r="H52" s="47" t="s">
        <v>6264</v>
      </c>
      <c r="I52">
        <v>140</v>
      </c>
    </row>
    <row r="53" ht="60.75" spans="1:9">
      <c r="A53" t="s">
        <v>6265</v>
      </c>
      <c r="B53" s="45" t="s">
        <v>6266</v>
      </c>
      <c r="C53" s="45" t="s">
        <v>6267</v>
      </c>
      <c r="D53" s="42" t="s">
        <v>1</v>
      </c>
      <c r="E53" s="46">
        <v>150</v>
      </c>
      <c r="F53" s="46">
        <v>90</v>
      </c>
      <c r="G53" s="46">
        <v>5</v>
      </c>
      <c r="H53" s="47" t="s">
        <v>6268</v>
      </c>
      <c r="I53">
        <v>150</v>
      </c>
    </row>
    <row r="54" ht="60.75" spans="1:9">
      <c r="A54" t="s">
        <v>557</v>
      </c>
      <c r="B54" s="45" t="s">
        <v>6269</v>
      </c>
      <c r="C54" s="45" t="s">
        <v>6270</v>
      </c>
      <c r="D54" s="42" t="s">
        <v>1</v>
      </c>
      <c r="E54" s="46">
        <v>200</v>
      </c>
      <c r="F54" s="46">
        <v>100</v>
      </c>
      <c r="G54" s="46">
        <v>5</v>
      </c>
      <c r="H54" s="47" t="s">
        <v>6271</v>
      </c>
      <c r="I54">
        <v>200</v>
      </c>
    </row>
    <row r="55" ht="60.75" spans="1:9">
      <c r="A55" t="s">
        <v>485</v>
      </c>
      <c r="B55" s="45" t="s">
        <v>6272</v>
      </c>
      <c r="C55" s="45" t="s">
        <v>6273</v>
      </c>
      <c r="D55" s="42" t="s">
        <v>1</v>
      </c>
      <c r="E55" s="46">
        <v>250</v>
      </c>
      <c r="F55" s="46">
        <v>100</v>
      </c>
      <c r="G55" s="46">
        <v>5</v>
      </c>
      <c r="H55" s="47" t="s">
        <v>6274</v>
      </c>
      <c r="I55">
        <v>250</v>
      </c>
    </row>
    <row r="56" ht="49.5" spans="1:9">
      <c r="A56" t="s">
        <v>6275</v>
      </c>
      <c r="B56" s="45" t="s">
        <v>6276</v>
      </c>
      <c r="C56" s="45" t="s">
        <v>6277</v>
      </c>
      <c r="D56" s="42" t="s">
        <v>2</v>
      </c>
      <c r="E56" s="46" t="s">
        <v>5038</v>
      </c>
      <c r="F56" s="46">
        <v>90</v>
      </c>
      <c r="G56" s="46">
        <v>20</v>
      </c>
      <c r="H56" s="47" t="s">
        <v>6278</v>
      </c>
      <c r="I56" t="s">
        <v>86</v>
      </c>
    </row>
    <row r="57" ht="48.75" spans="1:9">
      <c r="A57" t="s">
        <v>6279</v>
      </c>
      <c r="B57" s="45" t="s">
        <v>6280</v>
      </c>
      <c r="C57" s="45" t="s">
        <v>6281</v>
      </c>
      <c r="D57" s="42" t="s">
        <v>2</v>
      </c>
      <c r="E57" s="46">
        <v>60</v>
      </c>
      <c r="F57" s="46">
        <v>100</v>
      </c>
      <c r="G57" s="46">
        <v>15</v>
      </c>
      <c r="H57" s="47" t="s">
        <v>6282</v>
      </c>
      <c r="I57">
        <v>60</v>
      </c>
    </row>
    <row r="58" ht="60.75" spans="1:9">
      <c r="A58" t="s">
        <v>6283</v>
      </c>
      <c r="B58" s="45" t="s">
        <v>6284</v>
      </c>
      <c r="C58" s="45" t="s">
        <v>6285</v>
      </c>
      <c r="D58" s="42" t="s">
        <v>2</v>
      </c>
      <c r="E58" s="46" t="s">
        <v>5038</v>
      </c>
      <c r="F58" s="46">
        <v>100</v>
      </c>
      <c r="G58" s="46">
        <v>10</v>
      </c>
      <c r="H58" s="47" t="s">
        <v>6286</v>
      </c>
      <c r="I58" t="s">
        <v>86</v>
      </c>
    </row>
    <row r="59" ht="37.5" spans="1:9">
      <c r="A59" t="s">
        <v>478</v>
      </c>
      <c r="B59" s="45" t="s">
        <v>6287</v>
      </c>
      <c r="C59" s="45" t="s">
        <v>6288</v>
      </c>
      <c r="D59" s="42" t="s">
        <v>2</v>
      </c>
      <c r="E59" s="46" t="s">
        <v>5038</v>
      </c>
      <c r="F59" s="46" t="s">
        <v>5038</v>
      </c>
      <c r="G59" s="46">
        <v>5</v>
      </c>
      <c r="H59" s="47" t="s">
        <v>6289</v>
      </c>
      <c r="I59" t="s">
        <v>86</v>
      </c>
    </row>
    <row r="60" ht="49.5" spans="1:9">
      <c r="A60" t="s">
        <v>486</v>
      </c>
      <c r="B60" s="45" t="s">
        <v>6290</v>
      </c>
      <c r="C60" s="45" t="s">
        <v>6291</v>
      </c>
      <c r="D60" s="42" t="s">
        <v>2</v>
      </c>
      <c r="E60" s="46" t="s">
        <v>5038</v>
      </c>
      <c r="F60" s="46">
        <v>100</v>
      </c>
      <c r="G60" s="46">
        <v>5</v>
      </c>
      <c r="H60" s="47" t="s">
        <v>6292</v>
      </c>
      <c r="I60">
        <f>120*IF(伤害计算器!F28=1,伤害计算器!R13,伤害计算器!G13)</f>
        <v>120</v>
      </c>
    </row>
    <row r="61" ht="61.5" spans="1:9">
      <c r="A61" t="s">
        <v>519</v>
      </c>
      <c r="B61" s="45" t="s">
        <v>6293</v>
      </c>
      <c r="C61" s="45" t="s">
        <v>6294</v>
      </c>
      <c r="D61" s="42" t="s">
        <v>2</v>
      </c>
      <c r="E61" s="46">
        <v>40</v>
      </c>
      <c r="F61" s="46">
        <v>100</v>
      </c>
      <c r="G61" s="46">
        <v>15</v>
      </c>
      <c r="H61" s="47" t="s">
        <v>6295</v>
      </c>
      <c r="I61">
        <v>40</v>
      </c>
    </row>
    <row r="62" ht="72.75" spans="1:9">
      <c r="A62" t="s">
        <v>617</v>
      </c>
      <c r="B62" s="45" t="s">
        <v>6296</v>
      </c>
      <c r="C62" s="45" t="s">
        <v>6297</v>
      </c>
      <c r="D62" s="42" t="s">
        <v>2</v>
      </c>
      <c r="E62" s="46">
        <v>40</v>
      </c>
      <c r="F62" s="46">
        <v>100</v>
      </c>
      <c r="G62" s="46">
        <v>15</v>
      </c>
      <c r="H62" s="47" t="s">
        <v>6298</v>
      </c>
      <c r="I62">
        <v>40</v>
      </c>
    </row>
    <row r="63" ht="60.75" spans="1:9">
      <c r="A63" t="s">
        <v>6299</v>
      </c>
      <c r="B63" s="45" t="s">
        <v>6300</v>
      </c>
      <c r="C63" s="45" t="s">
        <v>6301</v>
      </c>
      <c r="D63" s="42" t="s">
        <v>2</v>
      </c>
      <c r="E63" s="46">
        <v>50</v>
      </c>
      <c r="F63" s="46">
        <v>100</v>
      </c>
      <c r="G63" s="46">
        <v>10</v>
      </c>
      <c r="H63" s="47" t="s">
        <v>6302</v>
      </c>
      <c r="I63">
        <f>IF(ISBLANK(伤害计算器!J12),50,100)</f>
        <v>50</v>
      </c>
    </row>
    <row r="64" ht="48.75" spans="1:9">
      <c r="A64" t="s">
        <v>725</v>
      </c>
      <c r="B64" s="45" t="s">
        <v>6303</v>
      </c>
      <c r="C64" s="45" t="s">
        <v>6304</v>
      </c>
      <c r="D64" s="42" t="s">
        <v>2</v>
      </c>
      <c r="E64" s="46">
        <v>60</v>
      </c>
      <c r="F64" s="46" t="s">
        <v>5038</v>
      </c>
      <c r="G64" s="46">
        <v>20</v>
      </c>
      <c r="H64" s="47" t="s">
        <v>6305</v>
      </c>
      <c r="I64">
        <v>60</v>
      </c>
    </row>
    <row r="65" ht="60.75" spans="1:9">
      <c r="A65" t="s">
        <v>607</v>
      </c>
      <c r="B65" s="45" t="s">
        <v>6306</v>
      </c>
      <c r="C65" s="45" t="s">
        <v>6307</v>
      </c>
      <c r="D65" s="42" t="s">
        <v>2</v>
      </c>
      <c r="E65" s="46">
        <v>60</v>
      </c>
      <c r="F65" s="46">
        <v>100</v>
      </c>
      <c r="G65" s="46">
        <v>15</v>
      </c>
      <c r="H65" s="47" t="s">
        <v>6308</v>
      </c>
      <c r="I65">
        <v>60</v>
      </c>
    </row>
    <row r="66" ht="60.75" spans="1:9">
      <c r="A66" t="s">
        <v>541</v>
      </c>
      <c r="B66" s="45" t="s">
        <v>6309</v>
      </c>
      <c r="C66" s="45" t="s">
        <v>6310</v>
      </c>
      <c r="D66" s="42" t="s">
        <v>2</v>
      </c>
      <c r="E66" s="46">
        <v>75</v>
      </c>
      <c r="F66" s="46">
        <v>100</v>
      </c>
      <c r="G66" s="46">
        <v>10</v>
      </c>
      <c r="H66" s="47" t="s">
        <v>6311</v>
      </c>
      <c r="I66">
        <v>75</v>
      </c>
    </row>
    <row r="67" ht="48.75" spans="1:9">
      <c r="A67" t="s">
        <v>701</v>
      </c>
      <c r="B67" s="45" t="s">
        <v>6312</v>
      </c>
      <c r="C67" s="45" t="s">
        <v>6313</v>
      </c>
      <c r="D67" s="42" t="s">
        <v>2</v>
      </c>
      <c r="E67" s="46">
        <v>80</v>
      </c>
      <c r="F67" s="46">
        <v>100</v>
      </c>
      <c r="G67" s="46">
        <v>10</v>
      </c>
      <c r="H67" s="47" t="s">
        <v>6314</v>
      </c>
      <c r="I67">
        <v>80</v>
      </c>
    </row>
    <row r="68" ht="60.75" spans="1:9">
      <c r="A68" t="s">
        <v>530</v>
      </c>
      <c r="B68" s="45" t="s">
        <v>6315</v>
      </c>
      <c r="C68" s="45" t="s">
        <v>6316</v>
      </c>
      <c r="D68" s="42" t="s">
        <v>2</v>
      </c>
      <c r="E68" s="46">
        <v>80</v>
      </c>
      <c r="F68" s="46">
        <v>100</v>
      </c>
      <c r="G68" s="46">
        <v>10</v>
      </c>
      <c r="H68" s="47" t="s">
        <v>6317</v>
      </c>
      <c r="I68">
        <v>80</v>
      </c>
    </row>
    <row r="69" ht="60.75" spans="1:9">
      <c r="A69" t="s">
        <v>6318</v>
      </c>
      <c r="B69" s="45" t="s">
        <v>6319</v>
      </c>
      <c r="C69" s="45" t="s">
        <v>6320</v>
      </c>
      <c r="D69" s="42" t="s">
        <v>2</v>
      </c>
      <c r="E69" s="46">
        <v>85</v>
      </c>
      <c r="F69" s="46">
        <v>100</v>
      </c>
      <c r="G69" s="46">
        <v>5</v>
      </c>
      <c r="H69" s="47" t="s">
        <v>6321</v>
      </c>
      <c r="I69">
        <v>85</v>
      </c>
    </row>
    <row r="70" ht="61.5" spans="1:9">
      <c r="A70" t="s">
        <v>548</v>
      </c>
      <c r="B70" s="45" t="s">
        <v>6322</v>
      </c>
      <c r="C70" s="45" t="s">
        <v>6323</v>
      </c>
      <c r="D70" s="42" t="s">
        <v>2</v>
      </c>
      <c r="E70" s="46">
        <v>90</v>
      </c>
      <c r="F70" s="46">
        <v>100</v>
      </c>
      <c r="G70" s="46">
        <v>10</v>
      </c>
      <c r="H70" s="47" t="s">
        <v>6324</v>
      </c>
      <c r="I70">
        <v>90</v>
      </c>
    </row>
    <row r="71" ht="36.75" spans="1:9">
      <c r="A71" t="s">
        <v>558</v>
      </c>
      <c r="B71" s="45" t="s">
        <v>6325</v>
      </c>
      <c r="C71" s="45" t="s">
        <v>6326</v>
      </c>
      <c r="D71" s="42" t="s">
        <v>2</v>
      </c>
      <c r="E71" s="46">
        <v>90</v>
      </c>
      <c r="F71" s="46">
        <v>100</v>
      </c>
      <c r="G71" s="46">
        <v>10</v>
      </c>
      <c r="H71" s="47" t="s">
        <v>6327</v>
      </c>
      <c r="I71">
        <v>90</v>
      </c>
    </row>
    <row r="72" ht="60.75" spans="1:9">
      <c r="A72" t="s">
        <v>6328</v>
      </c>
      <c r="B72" s="45" t="s">
        <v>6329</v>
      </c>
      <c r="C72" s="45" t="s">
        <v>6330</v>
      </c>
      <c r="D72" s="42" t="s">
        <v>2</v>
      </c>
      <c r="E72" s="46">
        <v>100</v>
      </c>
      <c r="F72" s="46">
        <v>100</v>
      </c>
      <c r="G72" s="46">
        <v>10</v>
      </c>
      <c r="H72" s="47" t="s">
        <v>6331</v>
      </c>
      <c r="I72">
        <v>100</v>
      </c>
    </row>
    <row r="73" ht="60.75" spans="1:9">
      <c r="A73" t="s">
        <v>6332</v>
      </c>
      <c r="B73" s="45" t="s">
        <v>6333</v>
      </c>
      <c r="C73" s="45" t="s">
        <v>6334</v>
      </c>
      <c r="D73" s="42" t="s">
        <v>2</v>
      </c>
      <c r="E73" s="46">
        <v>140</v>
      </c>
      <c r="F73" s="46">
        <v>100</v>
      </c>
      <c r="G73" s="46">
        <v>10</v>
      </c>
      <c r="H73" s="47" t="s">
        <v>6335</v>
      </c>
      <c r="I73">
        <v>140</v>
      </c>
    </row>
    <row r="74" ht="60.75" spans="1:9">
      <c r="A74" t="s">
        <v>6336</v>
      </c>
      <c r="B74" s="45" t="s">
        <v>6337</v>
      </c>
      <c r="C74" s="45" t="s">
        <v>6338</v>
      </c>
      <c r="D74" s="42" t="s">
        <v>2</v>
      </c>
      <c r="E74" s="46">
        <v>150</v>
      </c>
      <c r="F74" s="46">
        <v>90</v>
      </c>
      <c r="G74" s="46">
        <v>5</v>
      </c>
      <c r="H74" s="47" t="s">
        <v>6339</v>
      </c>
      <c r="I74">
        <v>150</v>
      </c>
    </row>
    <row r="75" ht="48.75" spans="1:9">
      <c r="A75" t="s">
        <v>6340</v>
      </c>
      <c r="B75" s="41" t="s">
        <v>6341</v>
      </c>
      <c r="C75" s="41" t="s">
        <v>6342</v>
      </c>
      <c r="D75" s="42" t="s">
        <v>1</v>
      </c>
      <c r="E75" s="43" t="s">
        <v>5038</v>
      </c>
      <c r="F75" s="43">
        <v>30</v>
      </c>
      <c r="G75" s="43">
        <v>5</v>
      </c>
      <c r="H75" s="44" t="s">
        <v>6343</v>
      </c>
      <c r="I75" t="s">
        <v>86</v>
      </c>
    </row>
    <row r="76" ht="48.75" spans="1:9">
      <c r="A76" t="s">
        <v>6344</v>
      </c>
      <c r="B76" s="41" t="s">
        <v>6345</v>
      </c>
      <c r="C76" s="41" t="s">
        <v>6346</v>
      </c>
      <c r="D76" s="42" t="s">
        <v>1</v>
      </c>
      <c r="E76" s="43" t="s">
        <v>5038</v>
      </c>
      <c r="F76" s="43">
        <v>30</v>
      </c>
      <c r="G76" s="43">
        <v>5</v>
      </c>
      <c r="H76" s="44" t="s">
        <v>6347</v>
      </c>
      <c r="I76" t="s">
        <v>86</v>
      </c>
    </row>
    <row r="77" ht="50.25" spans="1:9">
      <c r="A77" t="s">
        <v>6348</v>
      </c>
      <c r="B77" s="41" t="s">
        <v>6349</v>
      </c>
      <c r="C77" s="41" t="s">
        <v>6350</v>
      </c>
      <c r="D77" s="42" t="s">
        <v>1</v>
      </c>
      <c r="E77" s="43" t="s">
        <v>5038</v>
      </c>
      <c r="F77" s="43" t="s">
        <v>5038</v>
      </c>
      <c r="G77" s="43">
        <v>10</v>
      </c>
      <c r="H77" s="44" t="s">
        <v>6351</v>
      </c>
      <c r="I77" t="s">
        <v>86</v>
      </c>
    </row>
    <row r="78" ht="61.5" spans="1:9">
      <c r="A78" t="s">
        <v>6352</v>
      </c>
      <c r="B78" s="41" t="s">
        <v>6353</v>
      </c>
      <c r="C78" s="41" t="s">
        <v>6354</v>
      </c>
      <c r="D78" s="42" t="s">
        <v>1</v>
      </c>
      <c r="E78" s="43" t="s">
        <v>5038</v>
      </c>
      <c r="F78" s="43">
        <v>90</v>
      </c>
      <c r="G78" s="43">
        <v>10</v>
      </c>
      <c r="H78" s="44" t="s">
        <v>6355</v>
      </c>
      <c r="I78" t="s">
        <v>86</v>
      </c>
    </row>
    <row r="79" ht="61.5" spans="1:9">
      <c r="A79" t="s">
        <v>6356</v>
      </c>
      <c r="B79" s="41" t="s">
        <v>6357</v>
      </c>
      <c r="C79" s="41" t="s">
        <v>6358</v>
      </c>
      <c r="D79" s="42" t="s">
        <v>1</v>
      </c>
      <c r="E79" s="43" t="s">
        <v>5038</v>
      </c>
      <c r="F79" s="43">
        <v>100</v>
      </c>
      <c r="G79" s="43">
        <v>15</v>
      </c>
      <c r="H79" s="44" t="s">
        <v>6359</v>
      </c>
      <c r="I79">
        <f>IF(伤害计算器!F28=1,SUM(A90:A95),SUM(B90:B95))</f>
        <v>20</v>
      </c>
    </row>
    <row r="80" ht="73.5" spans="1:9">
      <c r="A80" t="s">
        <v>567</v>
      </c>
      <c r="B80" s="41" t="s">
        <v>6360</v>
      </c>
      <c r="C80" s="41" t="s">
        <v>6361</v>
      </c>
      <c r="D80" s="42" t="s">
        <v>1</v>
      </c>
      <c r="E80" s="43" t="s">
        <v>5038</v>
      </c>
      <c r="F80" s="43">
        <v>90</v>
      </c>
      <c r="G80" s="43">
        <v>15</v>
      </c>
      <c r="H80" s="44" t="s">
        <v>6362</v>
      </c>
      <c r="I80" t="s">
        <v>86</v>
      </c>
    </row>
    <row r="81" ht="60.75" spans="1:9">
      <c r="A81" t="s">
        <v>6363</v>
      </c>
      <c r="B81" s="41" t="s">
        <v>6364</v>
      </c>
      <c r="C81" s="41" t="s">
        <v>6365</v>
      </c>
      <c r="D81" s="42" t="s">
        <v>1</v>
      </c>
      <c r="E81" s="43" t="s">
        <v>5038</v>
      </c>
      <c r="F81" s="43">
        <v>100</v>
      </c>
      <c r="G81" s="43">
        <v>20</v>
      </c>
      <c r="H81" s="44" t="s">
        <v>6366</v>
      </c>
      <c r="I81">
        <v>102</v>
      </c>
    </row>
    <row r="82" ht="50.25" spans="1:9">
      <c r="A82" t="s">
        <v>6367</v>
      </c>
      <c r="B82" s="41" t="s">
        <v>6368</v>
      </c>
      <c r="C82" s="41" t="s">
        <v>6369</v>
      </c>
      <c r="D82" s="42" t="s">
        <v>1</v>
      </c>
      <c r="E82" s="43" t="s">
        <v>5038</v>
      </c>
      <c r="F82" s="43">
        <v>100</v>
      </c>
      <c r="G82" s="43">
        <v>5</v>
      </c>
      <c r="H82" s="44" t="s">
        <v>6370</v>
      </c>
      <c r="I82" t="s">
        <v>86</v>
      </c>
    </row>
    <row r="83" ht="96.75" spans="1:9">
      <c r="A83" t="s">
        <v>712</v>
      </c>
      <c r="B83" s="41" t="s">
        <v>6371</v>
      </c>
      <c r="C83" s="41" t="s">
        <v>6372</v>
      </c>
      <c r="D83" s="42" t="s">
        <v>1</v>
      </c>
      <c r="E83" s="43" t="s">
        <v>5038</v>
      </c>
      <c r="F83" s="43">
        <v>100</v>
      </c>
      <c r="G83" s="43">
        <v>15</v>
      </c>
      <c r="H83" s="44" t="s">
        <v>6373</v>
      </c>
      <c r="I83" t="s">
        <v>86</v>
      </c>
    </row>
    <row r="84" ht="61.5" spans="1:9">
      <c r="A84" t="s">
        <v>6374</v>
      </c>
      <c r="B84" s="41" t="s">
        <v>6375</v>
      </c>
      <c r="C84" s="41" t="s">
        <v>6376</v>
      </c>
      <c r="D84" s="42" t="s">
        <v>1</v>
      </c>
      <c r="E84" s="43" t="s">
        <v>5038</v>
      </c>
      <c r="F84" s="43">
        <v>100</v>
      </c>
      <c r="G84" s="43">
        <v>5</v>
      </c>
      <c r="H84" s="44" t="s">
        <v>6377</v>
      </c>
      <c r="I84">
        <f>120*IF(伤害计算器!F28=1,伤害计算器!R13,伤害计算器!G13)</f>
        <v>120</v>
      </c>
    </row>
    <row r="85" ht="60.75" spans="1:9">
      <c r="A85" t="s">
        <v>6378</v>
      </c>
      <c r="B85" s="41" t="s">
        <v>6379</v>
      </c>
      <c r="C85" s="41" t="s">
        <v>6380</v>
      </c>
      <c r="D85" s="42" t="s">
        <v>1</v>
      </c>
      <c r="E85" s="43">
        <v>10</v>
      </c>
      <c r="F85" s="43">
        <v>100</v>
      </c>
      <c r="G85" s="43">
        <v>35</v>
      </c>
      <c r="H85" s="44" t="s">
        <v>6381</v>
      </c>
      <c r="I85">
        <v>10</v>
      </c>
    </row>
    <row r="89" spans="1:7">
      <c r="A89" s="13" t="s">
        <v>6382</v>
      </c>
      <c r="D89" s="14" t="s">
        <v>6383</v>
      </c>
      <c r="G89" s="13" t="s">
        <v>6384</v>
      </c>
    </row>
    <row r="90" spans="1:8">
      <c r="A90" s="13">
        <f>IF(伤害计算器!G13&lt;2/48,200,0)</f>
        <v>0</v>
      </c>
      <c r="B90" s="13">
        <f>IF(伤害计算器!R13&lt;2/48,200,0)</f>
        <v>0</v>
      </c>
      <c r="D90" s="14">
        <f>IF(伤害计算器!$M$20&lt;10,20,0)</f>
        <v>0</v>
      </c>
      <c r="E90" s="14">
        <f>IF(伤害计算器!$B$20&lt;10,20,0)</f>
        <v>0</v>
      </c>
      <c r="G90" s="13" t="e">
        <f>IF(伤害计算器!B20/伤害计算器!M20&lt;2,40,0)</f>
        <v>#VALUE!</v>
      </c>
      <c r="H90" s="13" t="e">
        <f>IF(伤害计算器!M20/伤害计算器!B20&lt;2,40,0)</f>
        <v>#VALUE!</v>
      </c>
    </row>
    <row r="91" spans="1:8">
      <c r="A91" s="13">
        <f>IF(AND(伤害计算器!G13&gt;=2/48,伤害计算器!G13&lt;5/48),150,0)</f>
        <v>0</v>
      </c>
      <c r="B91" s="13">
        <f>IF(AND(伤害计算器!R13&gt;=2/48,伤害计算器!R13&lt;5/48),150,0)</f>
        <v>0</v>
      </c>
      <c r="D91" s="14">
        <f>IF(AND(伤害计算器!$M$20&lt;25,伤害计算器!$M$20&gt;=10),40,0)</f>
        <v>0</v>
      </c>
      <c r="E91" s="14">
        <f>IF(AND(伤害计算器!$B$20&lt;25,伤害计算器!$B$20&gt;=10),40,0)</f>
        <v>0</v>
      </c>
      <c r="G91" s="13" t="e">
        <f>IF(AND(伤害计算器!B20/伤害计算器!M20&gt;=2,伤害计算器!B20/伤害计算器!M20&lt;3),60,0)</f>
        <v>#VALUE!</v>
      </c>
      <c r="H91" s="13" t="e">
        <f>IF(AND(伤害计算器!M20/伤害计算器!B20&gt;=2,伤害计算器!M20/伤害计算器!B20&lt;3),60,0)</f>
        <v>#VALUE!</v>
      </c>
    </row>
    <row r="92" spans="1:8">
      <c r="A92" s="13">
        <f>IF(AND(伤害计算器!G13&gt;=5/48,伤害计算器!G13&lt;10/48),100,0)</f>
        <v>0</v>
      </c>
      <c r="B92" s="13">
        <f>IF(AND(伤害计算器!R13&gt;=5/48,伤害计算器!R13&lt;10/48),100,0)</f>
        <v>0</v>
      </c>
      <c r="D92" s="14">
        <f>IF(AND(伤害计算器!$M$20&lt;50,伤害计算器!$M$20&gt;=25),60,0)</f>
        <v>0</v>
      </c>
      <c r="E92" s="14">
        <f>IF(AND(伤害计算器!$B$20&lt;50,伤害计算器!$B$20&gt;=25),60,0)</f>
        <v>0</v>
      </c>
      <c r="G92" s="13" t="e">
        <f>IF(AND(伤害计算器!B20/伤害计算器!M20&gt;=3,伤害计算器!B20/伤害计算器!M20&lt;4),80,0)</f>
        <v>#VALUE!</v>
      </c>
      <c r="H92" s="13" t="e">
        <f>IF(AND(伤害计算器!M20/伤害计算器!B20&gt;=3,伤害计算器!M20/伤害计算器!B20&lt;4),80,0)</f>
        <v>#VALUE!</v>
      </c>
    </row>
    <row r="93" spans="1:8">
      <c r="A93" s="13">
        <f>IF(AND(伤害计算器!G13&gt;=10/48,伤害计算器!G13&lt;17/48),80,0)</f>
        <v>0</v>
      </c>
      <c r="B93" s="13">
        <f>IF(AND(伤害计算器!R13&gt;=10/48,伤害计算器!R13&lt;17/48),80,0)</f>
        <v>0</v>
      </c>
      <c r="D93" s="14">
        <f>IF(AND(伤害计算器!$M$20&lt;100,伤害计算器!$M$20&gt;=50),80,0)</f>
        <v>0</v>
      </c>
      <c r="E93" s="14">
        <f>IF(AND(伤害计算器!$B$20&lt;100,伤害计算器!$B$20&gt;=50),80,0)</f>
        <v>0</v>
      </c>
      <c r="G93" s="13" t="e">
        <f>IF(AND(伤害计算器!B20/伤害计算器!M20&gt;=4,伤害计算器!B20/伤害计算器!M20&lt;5),100,0)</f>
        <v>#VALUE!</v>
      </c>
      <c r="H93" s="13" t="e">
        <f>IF(AND(伤害计算器!M20/伤害计算器!B20&gt;=4,伤害计算器!M20/伤害计算器!B20&lt;5),100,0)</f>
        <v>#VALUE!</v>
      </c>
    </row>
    <row r="94" spans="1:8">
      <c r="A94" s="13">
        <f>IF(AND(伤害计算器!G13&gt;=17/48,伤害计算器!G13&lt;33/48),40,0)</f>
        <v>0</v>
      </c>
      <c r="B94" s="13">
        <f>IF(AND(伤害计算器!R13&gt;=17/48,伤害计算器!R13&lt;33/48),40,0)</f>
        <v>0</v>
      </c>
      <c r="D94" s="14">
        <f>IF(AND(伤害计算器!$M$20&lt;200,伤害计算器!$M$20&gt;=100),100,0)</f>
        <v>0</v>
      </c>
      <c r="E94" s="14">
        <f>IF(AND(伤害计算器!$B$20&lt;200,伤害计算器!$B$20&gt;=100),100,0)</f>
        <v>0</v>
      </c>
      <c r="G94" s="13" t="e">
        <f>IF(伤害计算器!B20/伤害计算器!M20&gt;=5,120,0)</f>
        <v>#VALUE!</v>
      </c>
      <c r="H94" s="13" t="e">
        <f>IF(伤害计算器!M20/伤害计算器!B20&gt;=5,120,0)</f>
        <v>#VALUE!</v>
      </c>
    </row>
    <row r="95" spans="1:5">
      <c r="A95" s="13">
        <f>IF(AND(伤害计算器!G13&gt;=33/48,伤害计算器!G13&lt;=48/48),20,0)</f>
        <v>20</v>
      </c>
      <c r="B95" s="13">
        <f>IF(AND(伤害计算器!R13&gt;=33/48,伤害计算器!R13&lt;=48/48),20,0)</f>
        <v>20</v>
      </c>
      <c r="D95" s="14">
        <f>IF(AND(伤害计算器!$M$20&gt;=200),120,0)</f>
        <v>120</v>
      </c>
      <c r="E95" s="14">
        <f>IF(AND(伤害计算器!$B$20&gt;=200),120,0)</f>
        <v>120</v>
      </c>
    </row>
    <row r="98" spans="1:1">
      <c r="A98" s="13" t="s">
        <v>5566</v>
      </c>
    </row>
    <row r="99" spans="1:1">
      <c r="A99" s="13" t="e">
        <f>IF(伤害计算器!C37&lt;伤害计算器!J37,40,0)</f>
        <v>#VALUE!</v>
      </c>
    </row>
    <row r="100" spans="1:1">
      <c r="A100" s="13" t="e">
        <f>IF(AND(伤害计算器!C37&gt;=伤害计算器!J37,伤害计算器!C37&lt;2*伤害计算器!J37),60,0)</f>
        <v>#VALUE!</v>
      </c>
    </row>
    <row r="101" spans="1:1">
      <c r="A101" s="13" t="e">
        <f>IF(AND(伤害计算器!C37&gt;=2*伤害计算器!J37,伤害计算器!C37&lt;3*伤害计算器!J37),80,0)</f>
        <v>#VALUE!</v>
      </c>
    </row>
    <row r="102" spans="1:1">
      <c r="A102" s="13" t="e">
        <f>IF(AND(伤害计算器!C37&gt;=3*伤害计算器!J37,伤害计算器!C37&lt;4*伤害计算器!J37),120,0)</f>
        <v>#VALUE!</v>
      </c>
    </row>
    <row r="103" spans="1:1">
      <c r="A103" s="13" t="e">
        <f>IF(伤害计算器!C37&gt;=4*伤害计算器!J37,150,0)</f>
        <v>#VALUE!</v>
      </c>
    </row>
  </sheetData>
  <pageMargins left="0.75" right="0.75" top="1" bottom="1" header="0.510416666666667" footer="0.510416666666667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88"/>
  <sheetViews>
    <sheetView workbookViewId="0">
      <selection activeCell="I23" sqref="I23:O23"/>
    </sheetView>
  </sheetViews>
  <sheetFormatPr defaultColWidth="9" defaultRowHeight="14.25"/>
  <sheetData>
    <row r="1" spans="2:26">
      <c r="B1" s="1" t="s">
        <v>6385</v>
      </c>
      <c r="C1" s="1"/>
      <c r="D1" s="2"/>
      <c r="E1" s="3" t="str">
        <f>伤害计算器!D24</f>
        <v>草</v>
      </c>
      <c r="F1" s="3"/>
      <c r="G1" s="3"/>
      <c r="H1" s="3"/>
      <c r="T1" s="1" t="s">
        <v>6385</v>
      </c>
      <c r="U1" s="1"/>
      <c r="V1" s="2"/>
      <c r="W1" s="3" t="str">
        <f>伤害计算器!O24</f>
        <v>地</v>
      </c>
      <c r="X1" s="3"/>
      <c r="Y1" s="3"/>
      <c r="Z1" s="3"/>
    </row>
    <row r="2" spans="2:26">
      <c r="B2" s="4"/>
      <c r="C2" s="4"/>
      <c r="D2" s="5"/>
      <c r="E2" s="3"/>
      <c r="F2" s="3"/>
      <c r="G2" s="3"/>
      <c r="H2" s="3"/>
      <c r="T2" s="4"/>
      <c r="U2" s="4"/>
      <c r="V2" s="5"/>
      <c r="W2" s="3"/>
      <c r="X2" s="3"/>
      <c r="Y2" s="3"/>
      <c r="Z2" s="3"/>
    </row>
    <row r="3" spans="2:27">
      <c r="B3" s="6" t="s">
        <v>6386</v>
      </c>
      <c r="C3" s="6" t="s">
        <v>6387</v>
      </c>
      <c r="D3" s="7" t="s">
        <v>6388</v>
      </c>
      <c r="E3" s="6"/>
      <c r="F3" s="6" t="s">
        <v>6389</v>
      </c>
      <c r="G3" s="8" t="s">
        <v>6390</v>
      </c>
      <c r="H3" s="8" t="s">
        <v>6391</v>
      </c>
      <c r="I3" t="s">
        <v>6392</v>
      </c>
      <c r="P3" t="s">
        <v>6393</v>
      </c>
      <c r="T3" s="6" t="s">
        <v>6386</v>
      </c>
      <c r="U3" s="6" t="s">
        <v>6387</v>
      </c>
      <c r="V3" s="7" t="s">
        <v>6388</v>
      </c>
      <c r="W3" s="6"/>
      <c r="X3" s="6" t="s">
        <v>6389</v>
      </c>
      <c r="Y3" s="8" t="s">
        <v>6390</v>
      </c>
      <c r="Z3" s="8" t="s">
        <v>6391</v>
      </c>
      <c r="AA3" t="s">
        <v>6392</v>
      </c>
    </row>
    <row r="4" spans="1:34">
      <c r="A4">
        <v>1</v>
      </c>
      <c r="B4" s="8" t="str">
        <f>IF(HLOOKUP(伤害计算器!$D$24,Sheet4!$A$1:$FE$75,A4+1,FALSE)=0," ",HLOOKUP(伤害计算器!$D$24,Sheet4!$A$1:$FE$75,A4+1,FALSE))</f>
        <v>种子机枪</v>
      </c>
      <c r="C4" s="8" t="str">
        <f>VLOOKUP(HLOOKUP("普",Sheet4!$A$1:$FE$75,A4+1,FALSE),Sheet4!$A$1:$FE$75,HLOOKUP(伤害计算器!$D$24,伤害计算器!$AV$28:$BM$30,3,FALSE),FALSE)</f>
        <v>タネマシンガン</v>
      </c>
      <c r="D4" s="8" t="str">
        <f>VLOOKUP(HLOOKUP("普",Sheet4!$A$1:$FE$75,A4+1,FALSE),Sheet4!$A$1:$FE$75,HLOOKUP(伤害计算器!$D$24,伤害计算器!$AV$28:$BM$30,3,FALSE)+1,FALSE)</f>
        <v>Bullet Seed</v>
      </c>
      <c r="E4" s="9" t="str">
        <f>VLOOKUP(HLOOKUP("普",Sheet4!$A$1:$FE$75,A4+1,FALSE),Sheet4!$A$1:$FE$75,HLOOKUP(伤害计算器!$D$24,伤害计算器!$AV$28:$BM$30,3,FALSE)+2,FALSE)</f>
        <v>物理</v>
      </c>
      <c r="F4" s="9">
        <f>VLOOKUP(HLOOKUP("普",Sheet4!$A$1:$FE$75,A4+1,FALSE),Sheet4!$A$1:$FE$75,HLOOKUP(伤害计算器!$D$24,伤害计算器!$AV$28:$BM$30,3,FALSE)+3,FALSE)</f>
        <v>25</v>
      </c>
      <c r="G4" s="9">
        <f>VLOOKUP(HLOOKUP("普",Sheet4!$A$1:$FE$75,A4+1,FALSE),Sheet4!$A$1:$FE$75,HLOOKUP(伤害计算器!$D$24,伤害计算器!$AV$28:$BM$30,3,FALSE)+4,FALSE)</f>
        <v>100</v>
      </c>
      <c r="H4" s="10">
        <f>VLOOKUP(HLOOKUP("普",Sheet4!$A$1:$FE$75,A4+1,FALSE),Sheet4!$A$1:$FE$75,HLOOKUP(伤害计算器!$D$24,伤害计算器!$AV$28:$BM$30,3,FALSE)+5,FALSE)</f>
        <v>30</v>
      </c>
      <c r="I4" s="12" t="str">
        <f>VLOOKUP(HLOOKUP("普",Sheet4!$A$1:$FE$75,A4+1,FALSE),Sheet4!$A$1:$FE$75,HLOOKUP(伤害计算器!$D$24,伤害计算器!$AV$28:$BM$30,3,FALSE)+6,FALSE)</f>
        <v>尽情发射种子攻击，2～5次连续攻击。</v>
      </c>
      <c r="J4" s="12"/>
      <c r="K4" s="12"/>
      <c r="L4" s="12"/>
      <c r="M4" s="12"/>
      <c r="N4" s="12"/>
      <c r="O4" s="12"/>
      <c r="P4">
        <f>VLOOKUP(HLOOKUP("普",Sheet4!$A$1:$FE$75,A4+1,FALSE),Sheet4!$A$1:$FF$75,HLOOKUP(伤害计算器!$D$24,伤害计算器!$AV$28:$BM$30,3,FALSE)+7,FALSE)</f>
        <v>25</v>
      </c>
      <c r="S4">
        <v>1</v>
      </c>
      <c r="T4" s="8" t="str">
        <f>IF(HLOOKUP($W$1,Sheet4!$A$1:$FE$75,S4+1,FALSE)=0," ",HLOOKUP($W$1,Sheet4!$A$1:$FE$75,S4+1,FALSE))</f>
        <v>地裂</v>
      </c>
      <c r="U4" s="8" t="str">
        <f>VLOOKUP(HLOOKUP("普",Sheet4!$A$1:$FE$75,S4+1,FALSE),Sheet4!$A$1:$FE$75,HLOOKUP($W$1,伤害计算器!$AV$28:$BM$30,3,FALSE),FALSE)</f>
        <v>じわれ</v>
      </c>
      <c r="V4" s="8" t="str">
        <f>VLOOKUP(HLOOKUP("普",Sheet4!$A$1:$FE$75,S4+1,FALSE),Sheet4!$A$1:$FE$75,HLOOKUP($W$1,伤害计算器!$AV$28:$BM$30,3,FALSE)+1,FALSE)</f>
        <v>Fissure</v>
      </c>
      <c r="W4" s="9" t="str">
        <f>VLOOKUP(HLOOKUP("普",Sheet4!$A$1:$FE$75,S4+1,FALSE),Sheet4!$A$1:$FE$75,HLOOKUP($W$1,伤害计算器!$AV$28:$BM$30,3,FALSE)+2,FALSE)</f>
        <v>物理</v>
      </c>
      <c r="X4" s="9" t="str">
        <f>VLOOKUP(HLOOKUP("普",Sheet4!$A$1:$FE$75,S4+1,FALSE),Sheet4!$A$1:$FE$75,HLOOKUP($W$1,伤害计算器!$AV$28:$BM$30,3,FALSE)+3,FALSE)</f>
        <v>--</v>
      </c>
      <c r="Y4" s="9">
        <f>VLOOKUP(HLOOKUP("普",Sheet4!$A$1:$FE$75,S4+1,FALSE),Sheet4!$A$1:$FE$75,HLOOKUP($W$1,伤害计算器!$AV$28:$BM$30,3,FALSE)+4,FALSE)</f>
        <v>30</v>
      </c>
      <c r="Z4" s="10">
        <f>VLOOKUP(HLOOKUP("普",Sheet4!$A$1:$FE$75,S4+1,FALSE),Sheet4!$A$1:$FE$75,HLOOKUP($W$1,伤害计算器!$AV$28:$BM$30,3,FALSE)+5,FALSE)</f>
        <v>5</v>
      </c>
      <c r="AA4" s="12" t="str">
        <f>VLOOKUP(HLOOKUP("普",Sheet4!$A$1:$FE$75,S4+1,FALSE),Sheet4!$A$1:$FE$75,HLOOKUP($W$1,伤害计算器!$AV$28:$BM$30,3,FALSE)+6,FALSE)</f>
        <v>让对手落进地裂的裂缝中，命中立即濒死。</v>
      </c>
      <c r="AB4" s="12"/>
      <c r="AC4" s="12"/>
      <c r="AD4" s="12"/>
      <c r="AE4" s="12"/>
      <c r="AF4" s="12"/>
      <c r="AG4" s="12"/>
      <c r="AH4" t="str">
        <f>VLOOKUP(HLOOKUP("普",Sheet4!$A$1:$FE$75,S4+1,FALSE),Sheet4!$A$1:$FF$75,HLOOKUP($W$1,伤害计算器!$AV$28:$BM$30,3,FALSE)+7,FALSE)</f>
        <v>-</v>
      </c>
    </row>
    <row r="5" spans="1:34">
      <c r="A5">
        <v>2</v>
      </c>
      <c r="B5" s="8" t="str">
        <f>IF(HLOOKUP(伤害计算器!$D$24,Sheet4!$A$1:$FE$75,A5+1,FALSE)=0," ",HLOOKUP(伤害计算器!$D$24,Sheet4!$A$1:$FE$75,A5+1,FALSE))</f>
        <v>藤鞭</v>
      </c>
      <c r="C5" s="8" t="str">
        <f>VLOOKUP(HLOOKUP("普",Sheet4!$A$1:$FE$75,A5+1,FALSE),Sheet4!$A$1:$FE$75,HLOOKUP(伤害计算器!$D$24,伤害计算器!$AV$28:$BM$30,3,FALSE),FALSE)</f>
        <v>つるのムチ</v>
      </c>
      <c r="D5" s="8" t="str">
        <f>VLOOKUP(HLOOKUP("普",Sheet4!$A$1:$FE$75,A5+1,FALSE),Sheet4!$A$1:$FE$75,HLOOKUP(伤害计算器!$D$24,伤害计算器!$AV$28:$BM$30,3,FALSE)+1,FALSE)</f>
        <v>Vine Whip</v>
      </c>
      <c r="E5" s="8" t="str">
        <f>VLOOKUP(HLOOKUP("普",Sheet4!$A$1:$FE$75,A5+1,FALSE),Sheet4!$A$1:$FE$75,HLOOKUP(伤害计算器!$D$24,伤害计算器!$AV$28:$BM$30,3,FALSE)+2,FALSE)</f>
        <v>物理</v>
      </c>
      <c r="F5" s="8">
        <f>VLOOKUP(HLOOKUP("普",Sheet4!$A$1:$FE$75,A5+1,FALSE),Sheet4!$A$1:$FE$75,HLOOKUP(伤害计算器!$D$24,伤害计算器!$AV$28:$BM$30,3,FALSE)+3,FALSE)</f>
        <v>35</v>
      </c>
      <c r="G5" s="8">
        <f>VLOOKUP(HLOOKUP("普",Sheet4!$A$1:$FE$75,A5+1,FALSE),Sheet4!$A$1:$FE$75,HLOOKUP(伤害计算器!$D$24,伤害计算器!$AV$28:$BM$30,3,FALSE)+4,FALSE)</f>
        <v>100</v>
      </c>
      <c r="H5" s="11">
        <f>VLOOKUP(HLOOKUP("普",Sheet4!$A$1:$FE$75,A5+1,FALSE),Sheet4!$A$1:$FE$75,HLOOKUP(伤害计算器!$D$24,伤害计算器!$AV$28:$BM$30,3,FALSE)+5,FALSE)</f>
        <v>15</v>
      </c>
      <c r="I5" s="12" t="str">
        <f>VLOOKUP(HLOOKUP("普",Sheet4!$A$1:$FE$75,A5+1,FALSE),Sheet4!$A$1:$FE$75,HLOOKUP(伤害计算器!$D$24,伤害计算器!$AV$28:$BM$30,3,FALSE)+6,FALSE)</f>
        <v>用鞭子般细长的藤条抽打对手。</v>
      </c>
      <c r="J5" s="12"/>
      <c r="K5" s="12"/>
      <c r="L5" s="12"/>
      <c r="M5" s="12"/>
      <c r="N5" s="12"/>
      <c r="O5" s="12"/>
      <c r="P5">
        <f>VLOOKUP(HLOOKUP("普",Sheet4!$A$1:$FE$75,A5+1,FALSE),Sheet4!$A$1:$FF$75,HLOOKUP(伤害计算器!$D$24,伤害计算器!$AV$28:$BM$30,3,FALSE)+7,FALSE)</f>
        <v>35</v>
      </c>
      <c r="S5">
        <v>2</v>
      </c>
      <c r="T5" s="8" t="str">
        <f>IF(HLOOKUP($W$1,Sheet4!$A$1:$FE$75,S5+1,FALSE)=0," ",HLOOKUP($W$1,Sheet4!$A$1:$FE$75,S5+1,FALSE))</f>
        <v>震级变化</v>
      </c>
      <c r="U5" s="8" t="str">
        <f>VLOOKUP(HLOOKUP("普",Sheet4!$A$1:$FE$75,S5+1,FALSE),Sheet4!$A$1:$FE$75,HLOOKUP($W$1,伤害计算器!$AV$28:$BM$30,3,FALSE),FALSE)</f>
        <v>マグニチュード</v>
      </c>
      <c r="V5" s="8" t="str">
        <f>VLOOKUP(HLOOKUP("普",Sheet4!$A$1:$FE$75,S5+1,FALSE),Sheet4!$A$1:$FE$75,HLOOKUP($W$1,伤害计算器!$AV$28:$BM$30,3,FALSE)+1,FALSE)</f>
        <v>Magnitude</v>
      </c>
      <c r="W5" s="9" t="str">
        <f>VLOOKUP(HLOOKUP("普",Sheet4!$A$1:$FE$75,S5+1,FALSE),Sheet4!$A$1:$FE$75,HLOOKUP($W$1,伤害计算器!$AV$28:$BM$30,3,FALSE)+2,FALSE)</f>
        <v>物理</v>
      </c>
      <c r="X5" s="9" t="str">
        <f>VLOOKUP(HLOOKUP("普",Sheet4!$A$1:$FE$75,S5+1,FALSE),Sheet4!$A$1:$FE$75,HLOOKUP($W$1,伤害计算器!$AV$28:$BM$30,3,FALSE)+3,FALSE)</f>
        <v>--</v>
      </c>
      <c r="Y5" s="9">
        <f>VLOOKUP(HLOOKUP("普",Sheet4!$A$1:$FE$75,S5+1,FALSE),Sheet4!$A$1:$FE$75,HLOOKUP($W$1,伤害计算器!$AV$28:$BM$30,3,FALSE)+4,FALSE)</f>
        <v>100</v>
      </c>
      <c r="Z5" s="10">
        <f>VLOOKUP(HLOOKUP("普",Sheet4!$A$1:$FE$75,S5+1,FALSE),Sheet4!$A$1:$FE$75,HLOOKUP($W$1,伤害计算器!$AV$28:$BM$30,3,FALSE)+5,FALSE)</f>
        <v>30</v>
      </c>
      <c r="AA5" s="12" t="str">
        <f>VLOOKUP(HLOOKUP("普",Sheet4!$A$1:$FE$75,S5+1,FALSE),Sheet4!$A$1:$FE$75,HLOOKUP($W$1,伤害计算器!$AV$28:$BM$30,3,FALSE)+6,FALSE)</f>
        <v>震动地面攻击自身周围所有对象，技能威力会有多种变化。</v>
      </c>
      <c r="AB5" s="12"/>
      <c r="AC5" s="12"/>
      <c r="AD5" s="12"/>
      <c r="AE5" s="12"/>
      <c r="AF5" s="12"/>
      <c r="AG5" s="12"/>
      <c r="AH5" t="str">
        <f>VLOOKUP(HLOOKUP("普",Sheet4!$A$1:$FE$75,S5+1,FALSE),Sheet4!$A$1:$FF$75,HLOOKUP($W$1,伤害计算器!$AV$28:$BM$30,3,FALSE)+7,FALSE)</f>
        <v>-</v>
      </c>
    </row>
    <row r="6" spans="1:34">
      <c r="A6">
        <v>3</v>
      </c>
      <c r="B6" s="8" t="str">
        <f>IF(HLOOKUP(伤害计算器!$D$24,Sheet4!$A$1:$FE$75,A6+1,FALSE)=0," ",HLOOKUP(伤害计算器!$D$24,Sheet4!$A$1:$FE$75,A6+1,FALSE))</f>
        <v>飞叶斩</v>
      </c>
      <c r="C6" s="8" t="str">
        <f>VLOOKUP(HLOOKUP("普",Sheet4!$A$1:$FE$75,A6+1,FALSE),Sheet4!$A$1:$FE$75,HLOOKUP(伤害计算器!$D$24,伤害计算器!$AV$28:$BM$30,3,FALSE),FALSE)</f>
        <v>はっぱカッター</v>
      </c>
      <c r="D6" s="8" t="str">
        <f>VLOOKUP(HLOOKUP("普",Sheet4!$A$1:$FE$75,A6+1,FALSE),Sheet4!$A$1:$FE$75,HLOOKUP(伤害计算器!$D$24,伤害计算器!$AV$28:$BM$30,3,FALSE)+1,FALSE)</f>
        <v>Razor Leaf</v>
      </c>
      <c r="E6" s="8" t="str">
        <f>VLOOKUP(HLOOKUP("普",Sheet4!$A$1:$FE$75,A6+1,FALSE),Sheet4!$A$1:$FE$75,HLOOKUP(伤害计算器!$D$24,伤害计算器!$AV$28:$BM$30,3,FALSE)+2,FALSE)</f>
        <v>物理</v>
      </c>
      <c r="F6" s="8">
        <f>VLOOKUP(HLOOKUP("普",Sheet4!$A$1:$FE$75,A6+1,FALSE),Sheet4!$A$1:$FE$75,HLOOKUP(伤害计算器!$D$24,伤害计算器!$AV$28:$BM$30,3,FALSE)+3,FALSE)</f>
        <v>55</v>
      </c>
      <c r="G6" s="8">
        <f>VLOOKUP(HLOOKUP("普",Sheet4!$A$1:$FE$75,A6+1,FALSE),Sheet4!$A$1:$FE$75,HLOOKUP(伤害计算器!$D$24,伤害计算器!$AV$28:$BM$30,3,FALSE)+4,FALSE)</f>
        <v>95</v>
      </c>
      <c r="H6" s="11">
        <f>VLOOKUP(HLOOKUP("普",Sheet4!$A$1:$FE$75,A6+1,FALSE),Sheet4!$A$1:$FE$75,HLOOKUP(伤害计算器!$D$24,伤害计算器!$AV$28:$BM$30,3,FALSE)+5,FALSE)</f>
        <v>25</v>
      </c>
      <c r="I6" s="12" t="str">
        <f>VLOOKUP(HLOOKUP("普",Sheet4!$A$1:$FE$75,A6+1,FALSE),Sheet4!$A$1:$FE$75,HLOOKUP(伤害计算器!$D$24,伤害计算器!$AV$28:$BM$30,3,FALSE)+6,FALSE)</f>
        <v>射出叶子切割对手，容易命中要害。</v>
      </c>
      <c r="J6" s="12"/>
      <c r="K6" s="12"/>
      <c r="L6" s="12"/>
      <c r="M6" s="12"/>
      <c r="N6" s="12"/>
      <c r="O6" s="12"/>
      <c r="P6">
        <f>VLOOKUP(HLOOKUP("普",Sheet4!$A$1:$FE$75,A6+1,FALSE),Sheet4!$A$1:$FF$75,HLOOKUP(伤害计算器!$D$24,伤害计算器!$AV$28:$BM$30,3,FALSE)+7,FALSE)</f>
        <v>55</v>
      </c>
      <c r="S6">
        <v>3</v>
      </c>
      <c r="T6" s="8" t="str">
        <f>IF(HLOOKUP($W$1,Sheet4!$A$1:$FE$75,S6+1,FALSE)=0," ",HLOOKUP($W$1,Sheet4!$A$1:$FE$75,S6+1,FALSE))</f>
        <v>骨头冲锋</v>
      </c>
      <c r="U6" s="8" t="str">
        <f>VLOOKUP(HLOOKUP("普",Sheet4!$A$1:$FE$75,S6+1,FALSE),Sheet4!$A$1:$FE$75,HLOOKUP($W$1,伤害计算器!$AV$28:$BM$30,3,FALSE),FALSE)</f>
        <v>ボーンラッシュ</v>
      </c>
      <c r="V6" s="8" t="str">
        <f>VLOOKUP(HLOOKUP("普",Sheet4!$A$1:$FE$75,S6+1,FALSE),Sheet4!$A$1:$FE$75,HLOOKUP($W$1,伤害计算器!$AV$28:$BM$30,3,FALSE)+1,FALSE)</f>
        <v>Bone Rush</v>
      </c>
      <c r="W6" s="9" t="str">
        <f>VLOOKUP(HLOOKUP("普",Sheet4!$A$1:$FE$75,S6+1,FALSE),Sheet4!$A$1:$FE$75,HLOOKUP($W$1,伤害计算器!$AV$28:$BM$30,3,FALSE)+2,FALSE)</f>
        <v>物理</v>
      </c>
      <c r="X6" s="9">
        <f>VLOOKUP(HLOOKUP("普",Sheet4!$A$1:$FE$75,S6+1,FALSE),Sheet4!$A$1:$FE$75,HLOOKUP($W$1,伤害计算器!$AV$28:$BM$30,3,FALSE)+3,FALSE)</f>
        <v>25</v>
      </c>
      <c r="Y6" s="9">
        <f>VLOOKUP(HLOOKUP("普",Sheet4!$A$1:$FE$75,S6+1,FALSE),Sheet4!$A$1:$FE$75,HLOOKUP($W$1,伤害计算器!$AV$28:$BM$30,3,FALSE)+4,FALSE)</f>
        <v>90</v>
      </c>
      <c r="Z6" s="10">
        <f>VLOOKUP(HLOOKUP("普",Sheet4!$A$1:$FE$75,S6+1,FALSE),Sheet4!$A$1:$FE$75,HLOOKUP($W$1,伤害计算器!$AV$28:$BM$30,3,FALSE)+5,FALSE)</f>
        <v>10</v>
      </c>
      <c r="AA6" s="12" t="str">
        <f>VLOOKUP(HLOOKUP("普",Sheet4!$A$1:$FE$75,S6+1,FALSE),Sheet4!$A$1:$FE$75,HLOOKUP($W$1,伤害计算器!$AV$28:$BM$30,3,FALSE)+6,FALSE)</f>
        <v>用坚硬的骨头痛打对手，2～5次连续攻击。</v>
      </c>
      <c r="AB6" s="12"/>
      <c r="AC6" s="12"/>
      <c r="AD6" s="12"/>
      <c r="AE6" s="12"/>
      <c r="AF6" s="12"/>
      <c r="AG6" s="12"/>
      <c r="AH6">
        <f>VLOOKUP(HLOOKUP("普",Sheet4!$A$1:$FE$75,S6+1,FALSE),Sheet4!$A$1:$FF$75,HLOOKUP($W$1,伤害计算器!$AV$28:$BM$30,3,FALSE)+7,FALSE)</f>
        <v>25</v>
      </c>
    </row>
    <row r="7" spans="1:34">
      <c r="A7">
        <v>4</v>
      </c>
      <c r="B7" s="8" t="str">
        <f>IF(HLOOKUP(伤害计算器!$D$24,Sheet4!$A$1:$FE$75,A7+1,FALSE)=0," ",HLOOKUP(伤害计算器!$D$24,Sheet4!$A$1:$FE$75,A7+1,FALSE))</f>
        <v>针刺臂膀</v>
      </c>
      <c r="C7" s="8" t="str">
        <f>VLOOKUP(HLOOKUP("普",Sheet4!$A$1:$FE$75,A7+1,FALSE),Sheet4!$A$1:$FE$75,HLOOKUP(伤害计算器!$D$24,伤害计算器!$AV$28:$BM$30,3,FALSE),FALSE)</f>
        <v>ニードルアーム</v>
      </c>
      <c r="D7" s="8" t="str">
        <f>VLOOKUP(HLOOKUP("普",Sheet4!$A$1:$FE$75,A7+1,FALSE),Sheet4!$A$1:$FE$75,HLOOKUP(伤害计算器!$D$24,伤害计算器!$AV$28:$BM$30,3,FALSE)+1,FALSE)</f>
        <v>Needle Arm</v>
      </c>
      <c r="E7" s="8" t="str">
        <f>VLOOKUP(HLOOKUP("普",Sheet4!$A$1:$FE$75,A7+1,FALSE),Sheet4!$A$1:$FE$75,HLOOKUP(伤害计算器!$D$24,伤害计算器!$AV$28:$BM$30,3,FALSE)+2,FALSE)</f>
        <v>物理</v>
      </c>
      <c r="F7" s="8">
        <f>VLOOKUP(HLOOKUP("普",Sheet4!$A$1:$FE$75,A7+1,FALSE),Sheet4!$A$1:$FE$75,HLOOKUP(伤害计算器!$D$24,伤害计算器!$AV$28:$BM$30,3,FALSE)+3,FALSE)</f>
        <v>60</v>
      </c>
      <c r="G7" s="8">
        <f>VLOOKUP(HLOOKUP("普",Sheet4!$A$1:$FE$75,A7+1,FALSE),Sheet4!$A$1:$FE$75,HLOOKUP(伤害计算器!$D$24,伤害计算器!$AV$28:$BM$30,3,FALSE)+4,FALSE)</f>
        <v>100</v>
      </c>
      <c r="H7" s="11">
        <f>VLOOKUP(HLOOKUP("普",Sheet4!$A$1:$FE$75,A7+1,FALSE),Sheet4!$A$1:$FE$75,HLOOKUP(伤害计算器!$D$24,伤害计算器!$AV$28:$BM$30,3,FALSE)+5,FALSE)</f>
        <v>15</v>
      </c>
      <c r="I7" s="12" t="str">
        <f>VLOOKUP(HLOOKUP("普",Sheet4!$A$1:$FE$75,A7+1,FALSE),Sheet4!$A$1:$FE$75,HLOOKUP(伤害计算器!$D$24,伤害计算器!$AV$28:$BM$30,3,FALSE)+6,FALSE)</f>
        <v>用力挥舞针刺的手腕攻击，会让对手害怕。</v>
      </c>
      <c r="J7" s="12"/>
      <c r="K7" s="12"/>
      <c r="L7" s="12"/>
      <c r="M7" s="12"/>
      <c r="N7" s="12"/>
      <c r="O7" s="12"/>
      <c r="P7">
        <f>VLOOKUP(HLOOKUP("普",Sheet4!$A$1:$FE$75,A7+1,FALSE),Sheet4!$A$1:$FF$75,HLOOKUP(伤害计算器!$D$24,伤害计算器!$AV$28:$BM$30,3,FALSE)+7,FALSE)</f>
        <v>60</v>
      </c>
      <c r="S7">
        <v>4</v>
      </c>
      <c r="T7" s="8" t="str">
        <f>IF(HLOOKUP($W$1,Sheet4!$A$1:$FE$75,S7+1,FALSE)=0," ",HLOOKUP($W$1,Sheet4!$A$1:$FE$75,S7+1,FALSE))</f>
        <v>沙地狱</v>
      </c>
      <c r="U7" s="8" t="str">
        <f>VLOOKUP(HLOOKUP("普",Sheet4!$A$1:$FE$75,S7+1,FALSE),Sheet4!$A$1:$FE$75,HLOOKUP($W$1,伤害计算器!$AV$28:$BM$30,3,FALSE),FALSE)</f>
        <v>すなじごく</v>
      </c>
      <c r="V7" s="8" t="str">
        <f>VLOOKUP(HLOOKUP("普",Sheet4!$A$1:$FE$75,S7+1,FALSE),Sheet4!$A$1:$FE$75,HLOOKUP($W$1,伤害计算器!$AV$28:$BM$30,3,FALSE)+1,FALSE)</f>
        <v>Sand Tomb</v>
      </c>
      <c r="W7" s="9" t="str">
        <f>VLOOKUP(HLOOKUP("普",Sheet4!$A$1:$FE$75,S7+1,FALSE),Sheet4!$A$1:$FE$75,HLOOKUP($W$1,伤害计算器!$AV$28:$BM$30,3,FALSE)+2,FALSE)</f>
        <v>物理</v>
      </c>
      <c r="X7" s="9">
        <f>VLOOKUP(HLOOKUP("普",Sheet4!$A$1:$FE$75,S7+1,FALSE),Sheet4!$A$1:$FE$75,HLOOKUP($W$1,伤害计算器!$AV$28:$BM$30,3,FALSE)+3,FALSE)</f>
        <v>35</v>
      </c>
      <c r="Y7" s="9">
        <f>VLOOKUP(HLOOKUP("普",Sheet4!$A$1:$FE$75,S7+1,FALSE),Sheet4!$A$1:$FE$75,HLOOKUP($W$1,伤害计算器!$AV$28:$BM$30,3,FALSE)+4,FALSE)</f>
        <v>85</v>
      </c>
      <c r="Z7" s="10">
        <f>VLOOKUP(HLOOKUP("普",Sheet4!$A$1:$FE$75,S7+1,FALSE),Sheet4!$A$1:$FE$75,HLOOKUP($W$1,伤害计算器!$AV$28:$BM$30,3,FALSE)+5,FALSE)</f>
        <v>15</v>
      </c>
      <c r="AA7" s="12" t="str">
        <f>VLOOKUP(HLOOKUP("普",Sheet4!$A$1:$FE$75,S7+1,FALSE),Sheet4!$A$1:$FE$75,HLOOKUP($W$1,伤害计算器!$AV$28:$BM$30,3,FALSE)+6,FALSE)</f>
        <v>4～5回合内将对手困进剧烈的沙暴中。</v>
      </c>
      <c r="AB7" s="12"/>
      <c r="AC7" s="12"/>
      <c r="AD7" s="12"/>
      <c r="AE7" s="12"/>
      <c r="AF7" s="12"/>
      <c r="AG7" s="12"/>
      <c r="AH7">
        <f>VLOOKUP(HLOOKUP("普",Sheet4!$A$1:$FE$75,S7+1,FALSE),Sheet4!$A$1:$FF$75,HLOOKUP($W$1,伤害计算器!$AV$28:$BM$30,3,FALSE)+7,FALSE)</f>
        <v>35</v>
      </c>
    </row>
    <row r="8" spans="1:34">
      <c r="A8">
        <v>5</v>
      </c>
      <c r="B8" s="8" t="str">
        <f>IF(HLOOKUP(伤害计算器!$D$24,Sheet4!$A$1:$FE$75,A8+1,FALSE)=0," ",HLOOKUP(伤害计算器!$D$24,Sheet4!$A$1:$FE$75,A8+1,FALSE))</f>
        <v>木角</v>
      </c>
      <c r="C8" s="8" t="str">
        <f>VLOOKUP(HLOOKUP("普",Sheet4!$A$1:$FE$75,A8+1,FALSE),Sheet4!$A$1:$FE$75,HLOOKUP(伤害计算器!$D$24,伤害计算器!$AV$28:$BM$30,3,FALSE),FALSE)</f>
        <v>ウッドホーン</v>
      </c>
      <c r="D8" s="8" t="str">
        <f>VLOOKUP(HLOOKUP("普",Sheet4!$A$1:$FE$75,A8+1,FALSE),Sheet4!$A$1:$FE$75,HLOOKUP(伤害计算器!$D$24,伤害计算器!$AV$28:$BM$30,3,FALSE)+1,FALSE)</f>
        <v>Horn Leech</v>
      </c>
      <c r="E8" s="8" t="str">
        <f>VLOOKUP(HLOOKUP("普",Sheet4!$A$1:$FE$75,A8+1,FALSE),Sheet4!$A$1:$FE$75,HLOOKUP(伤害计算器!$D$24,伤害计算器!$AV$28:$BM$30,3,FALSE)+2,FALSE)</f>
        <v>物理</v>
      </c>
      <c r="F8" s="8">
        <f>VLOOKUP(HLOOKUP("普",Sheet4!$A$1:$FE$75,A8+1,FALSE),Sheet4!$A$1:$FE$75,HLOOKUP(伤害计算器!$D$24,伤害计算器!$AV$28:$BM$30,3,FALSE)+3,FALSE)</f>
        <v>75</v>
      </c>
      <c r="G8" s="8">
        <f>VLOOKUP(HLOOKUP("普",Sheet4!$A$1:$FE$75,A8+1,FALSE),Sheet4!$A$1:$FE$75,HLOOKUP(伤害计算器!$D$24,伤害计算器!$AV$28:$BM$30,3,FALSE)+4,FALSE)</f>
        <v>100</v>
      </c>
      <c r="H8" s="11">
        <f>VLOOKUP(HLOOKUP("普",Sheet4!$A$1:$FE$75,A8+1,FALSE),Sheet4!$A$1:$FE$75,HLOOKUP(伤害计算器!$D$24,伤害计算器!$AV$28:$BM$30,3,FALSE)+5,FALSE)</f>
        <v>10</v>
      </c>
      <c r="I8" s="12" t="str">
        <f>VLOOKUP(HLOOKUP("普",Sheet4!$A$1:$FE$75,A8+1,FALSE),Sheet4!$A$1:$FE$75,HLOOKUP(伤害计算器!$D$24,伤害计算器!$AV$28:$BM$30,3,FALSE)+6,FALSE)</f>
        <v>将角刺入对手身体吸取养分，所造成伤害的50%回复自身HP。</v>
      </c>
      <c r="J8" s="12"/>
      <c r="K8" s="12"/>
      <c r="L8" s="12"/>
      <c r="M8" s="12"/>
      <c r="N8" s="12"/>
      <c r="O8" s="12"/>
      <c r="P8">
        <f>VLOOKUP(HLOOKUP("普",Sheet4!$A$1:$FE$75,A8+1,FALSE),Sheet4!$A$1:$FF$75,HLOOKUP(伤害计算器!$D$24,伤害计算器!$AV$28:$BM$30,3,FALSE)+7,FALSE)</f>
        <v>75</v>
      </c>
      <c r="S8">
        <v>5</v>
      </c>
      <c r="T8" s="8" t="str">
        <f>IF(HLOOKUP($W$1,Sheet4!$A$1:$FE$75,S8+1,FALSE)=0," ",HLOOKUP($W$1,Sheet4!$A$1:$FE$75,S8+1,FALSE))</f>
        <v>骨头回旋镖</v>
      </c>
      <c r="U8" s="8" t="str">
        <f>VLOOKUP(HLOOKUP("普",Sheet4!$A$1:$FE$75,S8+1,FALSE),Sheet4!$A$1:$FE$75,HLOOKUP($W$1,伤害计算器!$AV$28:$BM$30,3,FALSE),FALSE)</f>
        <v>ホネブーメラン</v>
      </c>
      <c r="V8" s="8" t="str">
        <f>VLOOKUP(HLOOKUP("普",Sheet4!$A$1:$FE$75,S8+1,FALSE),Sheet4!$A$1:$FE$75,HLOOKUP($W$1,伤害计算器!$AV$28:$BM$30,3,FALSE)+1,FALSE)</f>
        <v>Bonemerang</v>
      </c>
      <c r="W8" s="9" t="str">
        <f>VLOOKUP(HLOOKUP("普",Sheet4!$A$1:$FE$75,S8+1,FALSE),Sheet4!$A$1:$FE$75,HLOOKUP($W$1,伤害计算器!$AV$28:$BM$30,3,FALSE)+2,FALSE)</f>
        <v>物理</v>
      </c>
      <c r="X8" s="9">
        <f>VLOOKUP(HLOOKUP("普",Sheet4!$A$1:$FE$75,S8+1,FALSE),Sheet4!$A$1:$FE$75,HLOOKUP($W$1,伤害计算器!$AV$28:$BM$30,3,FALSE)+3,FALSE)</f>
        <v>50</v>
      </c>
      <c r="Y8" s="9">
        <f>VLOOKUP(HLOOKUP("普",Sheet4!$A$1:$FE$75,S8+1,FALSE),Sheet4!$A$1:$FE$75,HLOOKUP($W$1,伤害计算器!$AV$28:$BM$30,3,FALSE)+4,FALSE)</f>
        <v>90</v>
      </c>
      <c r="Z8" s="10">
        <f>VLOOKUP(HLOOKUP("普",Sheet4!$A$1:$FE$75,S8+1,FALSE),Sheet4!$A$1:$FE$75,HLOOKUP($W$1,伤害计算器!$AV$28:$BM$30,3,FALSE)+5,FALSE)</f>
        <v>10</v>
      </c>
      <c r="AA8" s="12" t="str">
        <f>VLOOKUP(HLOOKUP("普",Sheet4!$A$1:$FE$75,S8+1,FALSE),Sheet4!$A$1:$FE$75,HLOOKUP($W$1,伤害计算器!$AV$28:$BM$30,3,FALSE)+6,FALSE)</f>
        <v>用手中的骨头投掷对手，造成飞去飞来二次伤害。</v>
      </c>
      <c r="AB8" s="12"/>
      <c r="AC8" s="12"/>
      <c r="AD8" s="12"/>
      <c r="AE8" s="12"/>
      <c r="AF8" s="12"/>
      <c r="AG8" s="12"/>
      <c r="AH8">
        <f>VLOOKUP(HLOOKUP("普",Sheet4!$A$1:$FE$75,S8+1,FALSE),Sheet4!$A$1:$FF$75,HLOOKUP($W$1,伤害计算器!$AV$28:$BM$30,3,FALSE)+7,FALSE)</f>
        <v>50</v>
      </c>
    </row>
    <row r="9" spans="1:34">
      <c r="A9">
        <v>6</v>
      </c>
      <c r="B9" s="8" t="str">
        <f>IF(HLOOKUP(伤害计算器!$D$24,Sheet4!$A$1:$FE$75,A9+1,FALSE)=0," ",HLOOKUP(伤害计算器!$D$24,Sheet4!$A$1:$FE$75,A9+1,FALSE))</f>
        <v>种子爆弹</v>
      </c>
      <c r="C9" s="8" t="str">
        <f>VLOOKUP(HLOOKUP("普",Sheet4!$A$1:$FE$75,A9+1,FALSE),Sheet4!$A$1:$FE$75,HLOOKUP(伤害计算器!$D$24,伤害计算器!$AV$28:$BM$30,3,FALSE),FALSE)</f>
        <v>タネばくだん</v>
      </c>
      <c r="D9" s="8" t="str">
        <f>VLOOKUP(HLOOKUP("普",Sheet4!$A$1:$FE$75,A9+1,FALSE),Sheet4!$A$1:$FE$75,HLOOKUP(伤害计算器!$D$24,伤害计算器!$AV$28:$BM$30,3,FALSE)+1,FALSE)</f>
        <v>Seed Bomb</v>
      </c>
      <c r="E9" s="8" t="str">
        <f>VLOOKUP(HLOOKUP("普",Sheet4!$A$1:$FE$75,A9+1,FALSE),Sheet4!$A$1:$FE$75,HLOOKUP(伤害计算器!$D$24,伤害计算器!$AV$28:$BM$30,3,FALSE)+2,FALSE)</f>
        <v>物理</v>
      </c>
      <c r="F9" s="8">
        <f>VLOOKUP(HLOOKUP("普",Sheet4!$A$1:$FE$75,A9+1,FALSE),Sheet4!$A$1:$FE$75,HLOOKUP(伤害计算器!$D$24,伤害计算器!$AV$28:$BM$30,3,FALSE)+3,FALSE)</f>
        <v>80</v>
      </c>
      <c r="G9" s="8">
        <f>VLOOKUP(HLOOKUP("普",Sheet4!$A$1:$FE$75,A9+1,FALSE),Sheet4!$A$1:$FE$75,HLOOKUP(伤害计算器!$D$24,伤害计算器!$AV$28:$BM$30,3,FALSE)+4,FALSE)</f>
        <v>100</v>
      </c>
      <c r="H9" s="11">
        <f>VLOOKUP(HLOOKUP("普",Sheet4!$A$1:$FE$75,A9+1,FALSE),Sheet4!$A$1:$FE$75,HLOOKUP(伤害计算器!$D$24,伤害计算器!$AV$28:$BM$30,3,FALSE)+5,FALSE)</f>
        <v>15</v>
      </c>
      <c r="I9" s="12" t="str">
        <f>VLOOKUP(HLOOKUP("普",Sheet4!$A$1:$FE$75,A9+1,FALSE),Sheet4!$A$1:$FE$75,HLOOKUP(伤害计算器!$D$24,伤害计算器!$AV$28:$BM$30,3,FALSE)+6,FALSE)</f>
        <v>甩下有坚硬外壳的种子进行攻击。</v>
      </c>
      <c r="J9" s="12"/>
      <c r="K9" s="12"/>
      <c r="L9" s="12"/>
      <c r="M9" s="12"/>
      <c r="N9" s="12"/>
      <c r="O9" s="12"/>
      <c r="P9">
        <f>VLOOKUP(HLOOKUP("普",Sheet4!$A$1:$FE$75,A9+1,FALSE),Sheet4!$A$1:$FF$75,HLOOKUP(伤害计算器!$D$24,伤害计算器!$AV$28:$BM$30,3,FALSE)+7,FALSE)</f>
        <v>80</v>
      </c>
      <c r="S9">
        <v>6</v>
      </c>
      <c r="T9" s="8" t="str">
        <f>IF(HLOOKUP($W$1,Sheet4!$A$1:$FE$75,S9+1,FALSE)=0," ",HLOOKUP($W$1,Sheet4!$A$1:$FE$75,S9+1,FALSE))</f>
        <v>压路</v>
      </c>
      <c r="U9" s="8" t="str">
        <f>VLOOKUP(HLOOKUP("普",Sheet4!$A$1:$FE$75,S9+1,FALSE),Sheet4!$A$1:$FE$75,HLOOKUP($W$1,伤害计算器!$AV$28:$BM$30,3,FALSE),FALSE)</f>
        <v>じならし</v>
      </c>
      <c r="V9" s="8" t="str">
        <f>VLOOKUP(HLOOKUP("普",Sheet4!$A$1:$FE$75,S9+1,FALSE),Sheet4!$A$1:$FE$75,HLOOKUP($W$1,伤害计算器!$AV$28:$BM$30,3,FALSE)+1,FALSE)</f>
        <v>Bulldoze</v>
      </c>
      <c r="W9" s="9" t="str">
        <f>VLOOKUP(HLOOKUP("普",Sheet4!$A$1:$FE$75,S9+1,FALSE),Sheet4!$A$1:$FE$75,HLOOKUP($W$1,伤害计算器!$AV$28:$BM$30,3,FALSE)+2,FALSE)</f>
        <v>物理</v>
      </c>
      <c r="X9" s="9">
        <f>VLOOKUP(HLOOKUP("普",Sheet4!$A$1:$FE$75,S9+1,FALSE),Sheet4!$A$1:$FE$75,HLOOKUP($W$1,伤害计算器!$AV$28:$BM$30,3,FALSE)+3,FALSE)</f>
        <v>60</v>
      </c>
      <c r="Y9" s="9">
        <f>VLOOKUP(HLOOKUP("普",Sheet4!$A$1:$FE$75,S9+1,FALSE),Sheet4!$A$1:$FE$75,HLOOKUP($W$1,伤害计算器!$AV$28:$BM$30,3,FALSE)+4,FALSE)</f>
        <v>100</v>
      </c>
      <c r="Z9" s="10">
        <f>VLOOKUP(HLOOKUP("普",Sheet4!$A$1:$FE$75,S9+1,FALSE),Sheet4!$A$1:$FE$75,HLOOKUP($W$1,伤害计算器!$AV$28:$BM$30,3,FALSE)+5,FALSE)</f>
        <v>20</v>
      </c>
      <c r="AA9" s="12" t="str">
        <f>VLOOKUP(HLOOKUP("普",Sheet4!$A$1:$FE$75,S9+1,FALSE),Sheet4!$A$1:$FE$75,HLOOKUP($W$1,伤害计算器!$AV$28:$BM$30,3,FALSE)+6,FALSE)</f>
        <v>践踏地面，攻击自身周围所有单位，降低目标速度。</v>
      </c>
      <c r="AB9" s="12"/>
      <c r="AC9" s="12"/>
      <c r="AD9" s="12"/>
      <c r="AE9" s="12"/>
      <c r="AF9" s="12"/>
      <c r="AG9" s="12"/>
      <c r="AH9">
        <f>VLOOKUP(HLOOKUP("普",Sheet4!$A$1:$FE$75,S9+1,FALSE),Sheet4!$A$1:$FF$75,HLOOKUP($W$1,伤害计算器!$AV$28:$BM$30,3,FALSE)+7,FALSE)</f>
        <v>60</v>
      </c>
    </row>
    <row r="10" spans="1:34">
      <c r="A10">
        <v>7</v>
      </c>
      <c r="B10" s="8" t="str">
        <f>IF(HLOOKUP(伤害计算器!$D$24,Sheet4!$A$1:$FE$75,A10+1,FALSE)=0," ",HLOOKUP(伤害计算器!$D$24,Sheet4!$A$1:$FE$75,A10+1,FALSE))</f>
        <v>刃叶斩</v>
      </c>
      <c r="C10" s="8" t="str">
        <f>VLOOKUP(HLOOKUP("普",Sheet4!$A$1:$FE$75,A10+1,FALSE),Sheet4!$A$1:$FE$75,HLOOKUP(伤害计算器!$D$24,伤害计算器!$AV$28:$BM$30,3,FALSE),FALSE)</f>
        <v>リーフブレード</v>
      </c>
      <c r="D10" s="8" t="str">
        <f>VLOOKUP(HLOOKUP("普",Sheet4!$A$1:$FE$75,A10+1,FALSE),Sheet4!$A$1:$FE$75,HLOOKUP(伤害计算器!$D$24,伤害计算器!$AV$28:$BM$30,3,FALSE)+1,FALSE)</f>
        <v>Leaf Blade</v>
      </c>
      <c r="E10" s="8" t="str">
        <f>VLOOKUP(HLOOKUP("普",Sheet4!$A$1:$FE$75,A10+1,FALSE),Sheet4!$A$1:$FE$75,HLOOKUP(伤害计算器!$D$24,伤害计算器!$AV$28:$BM$30,3,FALSE)+2,FALSE)</f>
        <v>物理</v>
      </c>
      <c r="F10" s="8">
        <f>VLOOKUP(HLOOKUP("普",Sheet4!$A$1:$FE$75,A10+1,FALSE),Sheet4!$A$1:$FE$75,HLOOKUP(伤害计算器!$D$24,伤害计算器!$AV$28:$BM$30,3,FALSE)+3,FALSE)</f>
        <v>90</v>
      </c>
      <c r="G10" s="8">
        <f>VLOOKUP(HLOOKUP("普",Sheet4!$A$1:$FE$75,A10+1,FALSE),Sheet4!$A$1:$FE$75,HLOOKUP(伤害计算器!$D$24,伤害计算器!$AV$28:$BM$30,3,FALSE)+4,FALSE)</f>
        <v>100</v>
      </c>
      <c r="H10" s="11">
        <f>VLOOKUP(HLOOKUP("普",Sheet4!$A$1:$FE$75,A10+1,FALSE),Sheet4!$A$1:$FE$75,HLOOKUP(伤害计算器!$D$24,伤害计算器!$AV$28:$BM$30,3,FALSE)+5,FALSE)</f>
        <v>15</v>
      </c>
      <c r="I10" s="12" t="str">
        <f>VLOOKUP(HLOOKUP("普",Sheet4!$A$1:$FE$75,A10+1,FALSE),Sheet4!$A$1:$FE$75,HLOOKUP(伤害计算器!$D$24,伤害计算器!$AV$28:$BM$30,3,FALSE)+6,FALSE)</f>
        <v>像用剑一般用叶子切裂对手，容易命中要害。</v>
      </c>
      <c r="J10" s="12"/>
      <c r="K10" s="12"/>
      <c r="L10" s="12"/>
      <c r="M10" s="12"/>
      <c r="N10" s="12"/>
      <c r="O10" s="12"/>
      <c r="P10">
        <f>VLOOKUP(HLOOKUP("普",Sheet4!$A$1:$FE$75,A10+1,FALSE),Sheet4!$A$1:$FF$75,HLOOKUP(伤害计算器!$D$24,伤害计算器!$AV$28:$BM$30,3,FALSE)+7,FALSE)</f>
        <v>90</v>
      </c>
      <c r="S10">
        <v>7</v>
      </c>
      <c r="T10" s="8" t="str">
        <f>IF(HLOOKUP($W$1,Sheet4!$A$1:$FE$75,S10+1,FALSE)=0," ",HLOOKUP($W$1,Sheet4!$A$1:$FE$75,S10+1,FALSE))</f>
        <v>骨头棍</v>
      </c>
      <c r="U10" s="8" t="str">
        <f>VLOOKUP(HLOOKUP("普",Sheet4!$A$1:$FE$75,S10+1,FALSE),Sheet4!$A$1:$FE$75,HLOOKUP($W$1,伤害计算器!$AV$28:$BM$30,3,FALSE),FALSE)</f>
        <v>ホネこんぼう</v>
      </c>
      <c r="V10" s="8" t="str">
        <f>VLOOKUP(HLOOKUP("普",Sheet4!$A$1:$FE$75,S10+1,FALSE),Sheet4!$A$1:$FE$75,HLOOKUP($W$1,伤害计算器!$AV$28:$BM$30,3,FALSE)+1,FALSE)</f>
        <v>Bone Club</v>
      </c>
      <c r="W10" s="9" t="str">
        <f>VLOOKUP(HLOOKUP("普",Sheet4!$A$1:$FE$75,S10+1,FALSE),Sheet4!$A$1:$FE$75,HLOOKUP($W$1,伤害计算器!$AV$28:$BM$30,3,FALSE)+2,FALSE)</f>
        <v>物理</v>
      </c>
      <c r="X10" s="9">
        <f>VLOOKUP(HLOOKUP("普",Sheet4!$A$1:$FE$75,S10+1,FALSE),Sheet4!$A$1:$FE$75,HLOOKUP($W$1,伤害计算器!$AV$28:$BM$30,3,FALSE)+3,FALSE)</f>
        <v>65</v>
      </c>
      <c r="Y10" s="9">
        <f>VLOOKUP(HLOOKUP("普",Sheet4!$A$1:$FE$75,S10+1,FALSE),Sheet4!$A$1:$FE$75,HLOOKUP($W$1,伤害计算器!$AV$28:$BM$30,3,FALSE)+4,FALSE)</f>
        <v>85</v>
      </c>
      <c r="Z10" s="10">
        <f>VLOOKUP(HLOOKUP("普",Sheet4!$A$1:$FE$75,S10+1,FALSE),Sheet4!$A$1:$FE$75,HLOOKUP($W$1,伤害计算器!$AV$28:$BM$30,3,FALSE)+5,FALSE)</f>
        <v>20</v>
      </c>
      <c r="AA10" s="12" t="str">
        <f>VLOOKUP(HLOOKUP("普",Sheet4!$A$1:$FE$75,S10+1,FALSE),Sheet4!$A$1:$FE$75,HLOOKUP($W$1,伤害计算器!$AV$28:$BM$30,3,FALSE)+6,FALSE)</f>
        <v>用手中的骨头殴打对手，会让对手害怕。</v>
      </c>
      <c r="AB10" s="12"/>
      <c r="AC10" s="12"/>
      <c r="AD10" s="12"/>
      <c r="AE10" s="12"/>
      <c r="AF10" s="12"/>
      <c r="AG10" s="12"/>
      <c r="AH10">
        <f>VLOOKUP(HLOOKUP("普",Sheet4!$A$1:$FE$75,S10+1,FALSE),Sheet4!$A$1:$FF$75,HLOOKUP($W$1,伤害计算器!$AV$28:$BM$30,3,FALSE)+7,FALSE)</f>
        <v>65</v>
      </c>
    </row>
    <row r="11" spans="1:34">
      <c r="A11">
        <v>8</v>
      </c>
      <c r="B11" s="8" t="str">
        <f>IF(HLOOKUP(伤害计算器!$D$24,Sheet4!$A$1:$FE$75,A11+1,FALSE)=0," ",HLOOKUP(伤害计算器!$D$24,Sheet4!$A$1:$FE$75,A11+1,FALSE))</f>
        <v>强力鞭挞</v>
      </c>
      <c r="C11" s="8" t="str">
        <f>VLOOKUP(HLOOKUP("普",Sheet4!$A$1:$FE$75,A11+1,FALSE),Sheet4!$A$1:$FE$75,HLOOKUP(伤害计算器!$D$24,伤害计算器!$AV$28:$BM$30,3,FALSE),FALSE)</f>
        <v>パワーウィップ</v>
      </c>
      <c r="D11" s="8" t="str">
        <f>VLOOKUP(HLOOKUP("普",Sheet4!$A$1:$FE$75,A11+1,FALSE),Sheet4!$A$1:$FE$75,HLOOKUP(伤害计算器!$D$24,伤害计算器!$AV$28:$BM$30,3,FALSE)+1,FALSE)</f>
        <v>Power Whip</v>
      </c>
      <c r="E11" s="8" t="str">
        <f>VLOOKUP(HLOOKUP("普",Sheet4!$A$1:$FE$75,A11+1,FALSE),Sheet4!$A$1:$FE$75,HLOOKUP(伤害计算器!$D$24,伤害计算器!$AV$28:$BM$30,3,FALSE)+2,FALSE)</f>
        <v>物理</v>
      </c>
      <c r="F11" s="8">
        <f>VLOOKUP(HLOOKUP("普",Sheet4!$A$1:$FE$75,A11+1,FALSE),Sheet4!$A$1:$FE$75,HLOOKUP(伤害计算器!$D$24,伤害计算器!$AV$28:$BM$30,3,FALSE)+3,FALSE)</f>
        <v>120</v>
      </c>
      <c r="G11" s="8">
        <f>VLOOKUP(HLOOKUP("普",Sheet4!$A$1:$FE$75,A11+1,FALSE),Sheet4!$A$1:$FE$75,HLOOKUP(伤害计算器!$D$24,伤害计算器!$AV$28:$BM$30,3,FALSE)+4,FALSE)</f>
        <v>85</v>
      </c>
      <c r="H11" s="11">
        <f>VLOOKUP(HLOOKUP("普",Sheet4!$A$1:$FE$75,A11+1,FALSE),Sheet4!$A$1:$FE$75,HLOOKUP(伤害计算器!$D$24,伤害计算器!$AV$28:$BM$30,3,FALSE)+5,FALSE)</f>
        <v>10</v>
      </c>
      <c r="I11" s="12" t="str">
        <f>VLOOKUP(HLOOKUP("普",Sheet4!$A$1:$FE$75,A11+1,FALSE),Sheet4!$A$1:$FE$75,HLOOKUP(伤害计算器!$D$24,伤害计算器!$AV$28:$BM$30,3,FALSE)+6,FALSE)</f>
        <v>挥舞蔓藤或触手强烈抽打对手。</v>
      </c>
      <c r="J11" s="12"/>
      <c r="K11" s="12"/>
      <c r="L11" s="12"/>
      <c r="M11" s="12"/>
      <c r="N11" s="12"/>
      <c r="O11" s="12"/>
      <c r="P11">
        <f>VLOOKUP(HLOOKUP("普",Sheet4!$A$1:$FE$75,A11+1,FALSE),Sheet4!$A$1:$FF$75,HLOOKUP(伤害计算器!$D$24,伤害计算器!$AV$28:$BM$30,3,FALSE)+7,FALSE)</f>
        <v>120</v>
      </c>
      <c r="S11">
        <v>8</v>
      </c>
      <c r="T11" s="8" t="str">
        <f>IF(HLOOKUP($W$1,Sheet4!$A$1:$FE$75,S11+1,FALSE)=0," ",HLOOKUP($W$1,Sheet4!$A$1:$FE$75,S11+1,FALSE))</f>
        <v>挖洞</v>
      </c>
      <c r="U11" s="8" t="str">
        <f>VLOOKUP(HLOOKUP("普",Sheet4!$A$1:$FE$75,S11+1,FALSE),Sheet4!$A$1:$FE$75,HLOOKUP($W$1,伤害计算器!$AV$28:$BM$30,3,FALSE),FALSE)</f>
        <v>あなをほる</v>
      </c>
      <c r="V11" s="8" t="str">
        <f>VLOOKUP(HLOOKUP("普",Sheet4!$A$1:$FE$75,S11+1,FALSE),Sheet4!$A$1:$FE$75,HLOOKUP($W$1,伤害计算器!$AV$28:$BM$30,3,FALSE)+1,FALSE)</f>
        <v>Dig</v>
      </c>
      <c r="W11" s="9" t="str">
        <f>VLOOKUP(HLOOKUP("普",Sheet4!$A$1:$FE$75,S11+1,FALSE),Sheet4!$A$1:$FE$75,HLOOKUP($W$1,伤害计算器!$AV$28:$BM$30,3,FALSE)+2,FALSE)</f>
        <v>物理</v>
      </c>
      <c r="X11" s="9">
        <f>VLOOKUP(HLOOKUP("普",Sheet4!$A$1:$FE$75,S11+1,FALSE),Sheet4!$A$1:$FE$75,HLOOKUP($W$1,伤害计算器!$AV$28:$BM$30,3,FALSE)+3,FALSE)</f>
        <v>80</v>
      </c>
      <c r="Y11" s="9">
        <f>VLOOKUP(HLOOKUP("普",Sheet4!$A$1:$FE$75,S11+1,FALSE),Sheet4!$A$1:$FE$75,HLOOKUP($W$1,伤害计算器!$AV$28:$BM$30,3,FALSE)+4,FALSE)</f>
        <v>100</v>
      </c>
      <c r="Z11" s="10">
        <f>VLOOKUP(HLOOKUP("普",Sheet4!$A$1:$FE$75,S11+1,FALSE),Sheet4!$A$1:$FE$75,HLOOKUP($W$1,伤害计算器!$AV$28:$BM$30,3,FALSE)+5,FALSE)</f>
        <v>10</v>
      </c>
      <c r="AA11" s="12" t="str">
        <f>VLOOKUP(HLOOKUP("普",Sheet4!$A$1:$FE$75,S11+1,FALSE),Sheet4!$A$1:$FE$75,HLOOKUP($W$1,伤害计算器!$AV$28:$BM$30,3,FALSE)+6,FALSE)</f>
        <v>第一回合钻下，第二回合攻击对手。能脱离洞窟。</v>
      </c>
      <c r="AB11" s="12"/>
      <c r="AC11" s="12"/>
      <c r="AD11" s="12"/>
      <c r="AE11" s="12"/>
      <c r="AF11" s="12"/>
      <c r="AG11" s="12"/>
      <c r="AH11">
        <f>VLOOKUP(HLOOKUP("普",Sheet4!$A$1:$FE$75,S11+1,FALSE),Sheet4!$A$1:$FF$75,HLOOKUP($W$1,伤害计算器!$AV$28:$BM$30,3,FALSE)+7,FALSE)</f>
        <v>80</v>
      </c>
    </row>
    <row r="12" spans="1:34">
      <c r="A12">
        <v>9</v>
      </c>
      <c r="B12" s="8" t="str">
        <f>IF(HLOOKUP(伤害计算器!$D$24,Sheet4!$A$1:$FE$75,A12+1,FALSE)=0," ",HLOOKUP(伤害计算器!$D$24,Sheet4!$A$1:$FE$75,A12+1,FALSE))</f>
        <v>木锤</v>
      </c>
      <c r="C12" s="8" t="str">
        <f>VLOOKUP(HLOOKUP("普",Sheet4!$A$1:$FE$75,A12+1,FALSE),Sheet4!$A$1:$FE$75,HLOOKUP(伤害计算器!$D$24,伤害计算器!$AV$28:$BM$30,3,FALSE),FALSE)</f>
        <v>ウッドハンマー</v>
      </c>
      <c r="D12" s="8" t="str">
        <f>VLOOKUP(HLOOKUP("普",Sheet4!$A$1:$FE$75,A12+1,FALSE),Sheet4!$A$1:$FE$75,HLOOKUP(伤害计算器!$D$24,伤害计算器!$AV$28:$BM$30,3,FALSE)+1,FALSE)</f>
        <v>Wood Hammer</v>
      </c>
      <c r="E12" s="8" t="str">
        <f>VLOOKUP(HLOOKUP("普",Sheet4!$A$1:$FE$75,A12+1,FALSE),Sheet4!$A$1:$FE$75,HLOOKUP(伤害计算器!$D$24,伤害计算器!$AV$28:$BM$30,3,FALSE)+2,FALSE)</f>
        <v>物理</v>
      </c>
      <c r="F12" s="8">
        <f>VLOOKUP(HLOOKUP("普",Sheet4!$A$1:$FE$75,A12+1,FALSE),Sheet4!$A$1:$FE$75,HLOOKUP(伤害计算器!$D$24,伤害计算器!$AV$28:$BM$30,3,FALSE)+3,FALSE)</f>
        <v>120</v>
      </c>
      <c r="G12" s="8">
        <f>VLOOKUP(HLOOKUP("普",Sheet4!$A$1:$FE$75,A12+1,FALSE),Sheet4!$A$1:$FE$75,HLOOKUP(伤害计算器!$D$24,伤害计算器!$AV$28:$BM$30,3,FALSE)+4,FALSE)</f>
        <v>100</v>
      </c>
      <c r="H12" s="11">
        <f>VLOOKUP(HLOOKUP("普",Sheet4!$A$1:$FE$75,A12+1,FALSE),Sheet4!$A$1:$FE$75,HLOOKUP(伤害计算器!$D$24,伤害计算器!$AV$28:$BM$30,3,FALSE)+5,FALSE)</f>
        <v>15</v>
      </c>
      <c r="I12" s="12" t="str">
        <f>VLOOKUP(HLOOKUP("普",Sheet4!$A$1:$FE$75,A12+1,FALSE),Sheet4!$A$1:$FE$75,HLOOKUP(伤害计算器!$D$24,伤害计算器!$AV$28:$BM$30,3,FALSE)+6,FALSE)</f>
        <v>用坚硬的身体拍打对手，自身也会受到大量伤害。</v>
      </c>
      <c r="J12" s="12"/>
      <c r="K12" s="12"/>
      <c r="L12" s="12"/>
      <c r="M12" s="12"/>
      <c r="N12" s="12"/>
      <c r="O12" s="12"/>
      <c r="P12">
        <f>VLOOKUP(HLOOKUP("普",Sheet4!$A$1:$FE$75,A12+1,FALSE),Sheet4!$A$1:$FF$75,HLOOKUP(伤害计算器!$D$24,伤害计算器!$AV$28:$BM$30,3,FALSE)+7,FALSE)</f>
        <v>120</v>
      </c>
      <c r="S12">
        <v>9</v>
      </c>
      <c r="T12" s="8" t="str">
        <f>IF(HLOOKUP($W$1,Sheet4!$A$1:$FE$75,S12+1,FALSE)=0," ",HLOOKUP($W$1,Sheet4!$A$1:$FE$75,S12+1,FALSE))</f>
        <v>钻头直击</v>
      </c>
      <c r="U12" s="8" t="str">
        <f>VLOOKUP(HLOOKUP("普",Sheet4!$A$1:$FE$75,S12+1,FALSE),Sheet4!$A$1:$FE$75,HLOOKUP($W$1,伤害计算器!$AV$28:$BM$30,3,FALSE),FALSE)</f>
        <v>ドリルライナー</v>
      </c>
      <c r="V12" s="8" t="str">
        <f>VLOOKUP(HLOOKUP("普",Sheet4!$A$1:$FE$75,S12+1,FALSE),Sheet4!$A$1:$FE$75,HLOOKUP($W$1,伤害计算器!$AV$28:$BM$30,3,FALSE)+1,FALSE)</f>
        <v>Drill Run</v>
      </c>
      <c r="W12" s="9" t="str">
        <f>VLOOKUP(HLOOKUP("普",Sheet4!$A$1:$FE$75,S12+1,FALSE),Sheet4!$A$1:$FE$75,HLOOKUP($W$1,伤害计算器!$AV$28:$BM$30,3,FALSE)+2,FALSE)</f>
        <v>物理</v>
      </c>
      <c r="X12" s="9">
        <f>VLOOKUP(HLOOKUP("普",Sheet4!$A$1:$FE$75,S12+1,FALSE),Sheet4!$A$1:$FE$75,HLOOKUP($W$1,伤害计算器!$AV$28:$BM$30,3,FALSE)+3,FALSE)</f>
        <v>80</v>
      </c>
      <c r="Y12" s="9">
        <f>VLOOKUP(HLOOKUP("普",Sheet4!$A$1:$FE$75,S12+1,FALSE),Sheet4!$A$1:$FE$75,HLOOKUP($W$1,伤害计算器!$AV$28:$BM$30,3,FALSE)+4,FALSE)</f>
        <v>95</v>
      </c>
      <c r="Z12" s="10">
        <f>VLOOKUP(HLOOKUP("普",Sheet4!$A$1:$FE$75,S12+1,FALSE),Sheet4!$A$1:$FE$75,HLOOKUP($W$1,伤害计算器!$AV$28:$BM$30,3,FALSE)+5,FALSE)</f>
        <v>10</v>
      </c>
      <c r="AA12" s="12" t="str">
        <f>VLOOKUP(HLOOKUP("普",Sheet4!$A$1:$FE$75,S12+1,FALSE),Sheet4!$A$1:$FE$75,HLOOKUP($W$1,伤害计算器!$AV$28:$BM$30,3,FALSE)+6,FALSE)</f>
        <v>将身体像钻头一般转动，撞击对手，容易命中要害。</v>
      </c>
      <c r="AB12" s="12"/>
      <c r="AC12" s="12"/>
      <c r="AD12" s="12"/>
      <c r="AE12" s="12"/>
      <c r="AF12" s="12"/>
      <c r="AG12" s="12"/>
      <c r="AH12">
        <f>VLOOKUP(HLOOKUP("普",Sheet4!$A$1:$FE$75,S12+1,FALSE),Sheet4!$A$1:$FF$75,HLOOKUP($W$1,伤害计算器!$AV$28:$BM$30,3,FALSE)+7,FALSE)</f>
        <v>80</v>
      </c>
    </row>
    <row r="13" spans="1:34">
      <c r="A13">
        <v>10</v>
      </c>
      <c r="B13" s="8" t="str">
        <f>IF(HLOOKUP(伤害计算器!$D$24,Sheet4!$A$1:$FE$75,A13+1,FALSE)=0," ",HLOOKUP(伤害计算器!$D$24,Sheet4!$A$1:$FE$75,A13+1,FALSE))</f>
        <v>花吹雪</v>
      </c>
      <c r="C13" s="8" t="str">
        <f>VLOOKUP(HLOOKUP("普",Sheet4!$A$1:$FE$75,A13+1,FALSE),Sheet4!$A$1:$FE$75,HLOOKUP(伤害计算器!$D$24,伤害计算器!$AV$28:$BM$30,3,FALSE),FALSE)</f>
        <v>はなふぶき</v>
      </c>
      <c r="D13" s="8" t="str">
        <f>VLOOKUP(HLOOKUP("普",Sheet4!$A$1:$FE$75,A13+1,FALSE),Sheet4!$A$1:$FE$75,HLOOKUP(伤害计算器!$D$24,伤害计算器!$AV$28:$BM$30,3,FALSE)+1,FALSE)</f>
        <v>Petal Blizzard</v>
      </c>
      <c r="E13" s="8" t="str">
        <f>VLOOKUP(HLOOKUP("普",Sheet4!$A$1:$FE$75,A13+1,FALSE),Sheet4!$A$1:$FE$75,HLOOKUP(伤害计算器!$D$24,伤害计算器!$AV$28:$BM$30,3,FALSE)+2,FALSE)</f>
        <v>物理</v>
      </c>
      <c r="F13" s="8">
        <f>VLOOKUP(HLOOKUP("普",Sheet4!$A$1:$FE$75,A13+1,FALSE),Sheet4!$A$1:$FE$75,HLOOKUP(伤害计算器!$D$24,伤害计算器!$AV$28:$BM$30,3,FALSE)+3,FALSE)</f>
        <v>90</v>
      </c>
      <c r="G13" s="8">
        <f>VLOOKUP(HLOOKUP("普",Sheet4!$A$1:$FE$75,A13+1,FALSE),Sheet4!$A$1:$FE$75,HLOOKUP(伤害计算器!$D$24,伤害计算器!$AV$28:$BM$30,3,FALSE)+4,FALSE)</f>
        <v>100</v>
      </c>
      <c r="H13" s="11">
        <f>VLOOKUP(HLOOKUP("普",Sheet4!$A$1:$FE$75,A13+1,FALSE),Sheet4!$A$1:$FE$75,HLOOKUP(伤害计算器!$D$24,伤害计算器!$AV$28:$BM$30,3,FALSE)+5,FALSE)</f>
        <v>15</v>
      </c>
      <c r="I13" s="12" t="str">
        <f>VLOOKUP(HLOOKUP("普",Sheet4!$A$1:$FE$75,A13+1,FALSE),Sheet4!$A$1:$FE$75,HLOOKUP(伤害计算器!$D$24,伤害计算器!$AV$28:$BM$30,3,FALSE)+6,FALSE)</f>
        <v>引发剧烈的花吹雪，攻击周围所有目标。</v>
      </c>
      <c r="J13" s="12"/>
      <c r="K13" s="12"/>
      <c r="L13" s="12"/>
      <c r="M13" s="12"/>
      <c r="N13" s="12"/>
      <c r="O13" s="12"/>
      <c r="P13">
        <f>VLOOKUP(HLOOKUP("普",Sheet4!$A$1:$FE$75,A13+1,FALSE),Sheet4!$A$1:$FF$75,HLOOKUP(伤害计算器!$D$24,伤害计算器!$AV$28:$BM$30,3,FALSE)+7,FALSE)</f>
        <v>90</v>
      </c>
      <c r="S13">
        <v>10</v>
      </c>
      <c r="T13" s="8" t="str">
        <f>IF(HLOOKUP($W$1,Sheet4!$A$1:$FE$75,S13+1,FALSE)=0," ",HLOOKUP($W$1,Sheet4!$A$1:$FE$75,S13+1,FALSE))</f>
        <v>大地原力</v>
      </c>
      <c r="U13" s="8" t="str">
        <f>VLOOKUP(HLOOKUP("普",Sheet4!$A$1:$FE$75,S13+1,FALSE),Sheet4!$A$1:$FE$75,HLOOKUP($W$1,伤害计算器!$AV$28:$BM$30,3,FALSE),FALSE)</f>
        <v>グランドフォース</v>
      </c>
      <c r="V13" s="8" t="str">
        <f>VLOOKUP(HLOOKUP("普",Sheet4!$A$1:$FE$75,S13+1,FALSE),Sheet4!$A$1:$FE$75,HLOOKUP($W$1,伤害计算器!$AV$28:$BM$30,3,FALSE)+1,FALSE)</f>
        <v>Land's Wrath</v>
      </c>
      <c r="W13" s="9" t="str">
        <f>VLOOKUP(HLOOKUP("普",Sheet4!$A$1:$FE$75,S13+1,FALSE),Sheet4!$A$1:$FE$75,HLOOKUP($W$1,伤害计算器!$AV$28:$BM$30,3,FALSE)+2,FALSE)</f>
        <v>物理</v>
      </c>
      <c r="X13" s="9">
        <f>VLOOKUP(HLOOKUP("普",Sheet4!$A$1:$FE$75,S13+1,FALSE),Sheet4!$A$1:$FE$75,HLOOKUP($W$1,伤害计算器!$AV$28:$BM$30,3,FALSE)+3,FALSE)</f>
        <v>90</v>
      </c>
      <c r="Y13" s="9">
        <f>VLOOKUP(HLOOKUP("普",Sheet4!$A$1:$FE$75,S13+1,FALSE),Sheet4!$A$1:$FE$75,HLOOKUP($W$1,伤害计算器!$AV$28:$BM$30,3,FALSE)+4,FALSE)</f>
        <v>100</v>
      </c>
      <c r="Z13" s="10">
        <f>VLOOKUP(HLOOKUP("普",Sheet4!$A$1:$FE$75,S13+1,FALSE),Sheet4!$A$1:$FE$75,HLOOKUP($W$1,伤害计算器!$AV$28:$BM$30,3,FALSE)+5,FALSE)</f>
        <v>10</v>
      </c>
      <c r="AA13" s="12" t="str">
        <f>VLOOKUP(HLOOKUP("普",Sheet4!$A$1:$FE$75,S13+1,FALSE),Sheet4!$A$1:$FE$75,HLOOKUP($W$1,伤害计算器!$AV$28:$BM$30,3,FALSE)+6,FALSE)</f>
        <v>凝聚大地的原力，攻击对方所有精灵。</v>
      </c>
      <c r="AB13" s="12"/>
      <c r="AC13" s="12"/>
      <c r="AD13" s="12"/>
      <c r="AE13" s="12"/>
      <c r="AF13" s="12"/>
      <c r="AG13" s="12"/>
      <c r="AH13">
        <f>VLOOKUP(HLOOKUP("普",Sheet4!$A$1:$FE$75,S13+1,FALSE),Sheet4!$A$1:$FF$75,HLOOKUP($W$1,伤害计算器!$AV$28:$BM$30,3,FALSE)+7,FALSE)</f>
        <v>90</v>
      </c>
    </row>
    <row r="14" spans="1:34">
      <c r="A14">
        <v>11</v>
      </c>
      <c r="B14" s="8" t="str">
        <f>IF(HLOOKUP(伤害计算器!$D$24,Sheet4!$A$1:$FE$75,A14+1,FALSE)=0," ",HLOOKUP(伤害计算器!$D$24,Sheet4!$A$1:$FE$75,A14+1,FALSE))</f>
        <v>草绳结</v>
      </c>
      <c r="C14" s="8" t="str">
        <f>VLOOKUP(HLOOKUP("普",Sheet4!$A$1:$FE$75,A14+1,FALSE),Sheet4!$A$1:$FE$75,HLOOKUP(伤害计算器!$D$24,伤害计算器!$AV$28:$BM$30,3,FALSE),FALSE)</f>
        <v>くさむすび</v>
      </c>
      <c r="D14" s="8" t="str">
        <f>VLOOKUP(HLOOKUP("普",Sheet4!$A$1:$FE$75,A14+1,FALSE),Sheet4!$A$1:$FE$75,HLOOKUP(伤害计算器!$D$24,伤害计算器!$AV$28:$BM$30,3,FALSE)+1,FALSE)</f>
        <v>Grass Knot</v>
      </c>
      <c r="E14" s="8" t="str">
        <f>VLOOKUP(HLOOKUP("普",Sheet4!$A$1:$FE$75,A14+1,FALSE),Sheet4!$A$1:$FE$75,HLOOKUP(伤害计算器!$D$24,伤害计算器!$AV$28:$BM$30,3,FALSE)+2,FALSE)</f>
        <v>特殊</v>
      </c>
      <c r="F14" s="8" t="str">
        <f>VLOOKUP(HLOOKUP("普",Sheet4!$A$1:$FE$75,A14+1,FALSE),Sheet4!$A$1:$FE$75,HLOOKUP(伤害计算器!$D$24,伤害计算器!$AV$28:$BM$30,3,FALSE)+3,FALSE)</f>
        <v>--</v>
      </c>
      <c r="G14" s="8">
        <f>VLOOKUP(HLOOKUP("普",Sheet4!$A$1:$FE$75,A14+1,FALSE),Sheet4!$A$1:$FE$75,HLOOKUP(伤害计算器!$D$24,伤害计算器!$AV$28:$BM$30,3,FALSE)+4,FALSE)</f>
        <v>100</v>
      </c>
      <c r="H14" s="11">
        <f>VLOOKUP(HLOOKUP("普",Sheet4!$A$1:$FE$75,A14+1,FALSE),Sheet4!$A$1:$FE$75,HLOOKUP(伤害计算器!$D$24,伤害计算器!$AV$28:$BM$30,3,FALSE)+5,FALSE)</f>
        <v>20</v>
      </c>
      <c r="I14" s="12" t="str">
        <f>VLOOKUP(HLOOKUP("普",Sheet4!$A$1:$FE$75,A14+1,FALSE),Sheet4!$A$1:$FE$75,HLOOKUP(伤害计算器!$D$24,伤害计算器!$AV$28:$BM$30,3,FALSE)+6,FALSE)</f>
        <v>缠绕草结绊倒对手，对手越重伤害越大。</v>
      </c>
      <c r="J14" s="12"/>
      <c r="K14" s="12"/>
      <c r="L14" s="12"/>
      <c r="M14" s="12"/>
      <c r="N14" s="12"/>
      <c r="O14" s="12"/>
      <c r="P14">
        <f>VLOOKUP(HLOOKUP("普",Sheet4!$A$1:$FE$75,A14+1,FALSE),Sheet4!$A$1:$FF$75,HLOOKUP(伤害计算器!$D$24,伤害计算器!$AV$28:$BM$30,3,FALSE)+7,FALSE)</f>
        <v>120</v>
      </c>
      <c r="S14">
        <v>11</v>
      </c>
      <c r="T14" s="8" t="str">
        <f>IF(HLOOKUP($W$1,Sheet4!$A$1:$FE$75,S14+1,FALSE)=0," ",HLOOKUP($W$1,Sheet4!$A$1:$FE$75,S14+1,FALSE))</f>
        <v>地震</v>
      </c>
      <c r="U14" s="8" t="str">
        <f>VLOOKUP(HLOOKUP("普",Sheet4!$A$1:$FE$75,S14+1,FALSE),Sheet4!$A$1:$FE$75,HLOOKUP($W$1,伤害计算器!$AV$28:$BM$30,3,FALSE),FALSE)</f>
        <v>じしん</v>
      </c>
      <c r="V14" s="8" t="str">
        <f>VLOOKUP(HLOOKUP("普",Sheet4!$A$1:$FE$75,S14+1,FALSE),Sheet4!$A$1:$FE$75,HLOOKUP($W$1,伤害计算器!$AV$28:$BM$30,3,FALSE)+1,FALSE)</f>
        <v>Earthquake</v>
      </c>
      <c r="W14" s="9" t="str">
        <f>VLOOKUP(HLOOKUP("普",Sheet4!$A$1:$FE$75,S14+1,FALSE),Sheet4!$A$1:$FE$75,HLOOKUP($W$1,伤害计算器!$AV$28:$BM$30,3,FALSE)+2,FALSE)</f>
        <v>物理</v>
      </c>
      <c r="X14" s="9">
        <f>VLOOKUP(HLOOKUP("普",Sheet4!$A$1:$FE$75,S14+1,FALSE),Sheet4!$A$1:$FE$75,HLOOKUP($W$1,伤害计算器!$AV$28:$BM$30,3,FALSE)+3,FALSE)</f>
        <v>100</v>
      </c>
      <c r="Y14" s="9">
        <f>VLOOKUP(HLOOKUP("普",Sheet4!$A$1:$FE$75,S14+1,FALSE),Sheet4!$A$1:$FE$75,HLOOKUP($W$1,伤害计算器!$AV$28:$BM$30,3,FALSE)+4,FALSE)</f>
        <v>100</v>
      </c>
      <c r="Z14" s="10">
        <f>VLOOKUP(HLOOKUP("普",Sheet4!$A$1:$FE$75,S14+1,FALSE),Sheet4!$A$1:$FE$75,HLOOKUP($W$1,伤害计算器!$AV$28:$BM$30,3,FALSE)+5,FALSE)</f>
        <v>10</v>
      </c>
      <c r="AA14" s="12" t="str">
        <f>VLOOKUP(HLOOKUP("普",Sheet4!$A$1:$FE$75,S14+1,FALSE),Sheet4!$A$1:$FE$75,HLOOKUP($W$1,伤害计算器!$AV$28:$BM$30,3,FALSE)+6,FALSE)</f>
        <v>用地震的冲击攻击自身周围所有单位。</v>
      </c>
      <c r="AB14" s="12"/>
      <c r="AC14" s="12"/>
      <c r="AD14" s="12"/>
      <c r="AE14" s="12"/>
      <c r="AF14" s="12"/>
      <c r="AG14" s="12"/>
      <c r="AH14">
        <f>VLOOKUP(HLOOKUP("普",Sheet4!$A$1:$FE$75,S14+1,FALSE),Sheet4!$A$1:$FF$75,HLOOKUP($W$1,伤害计算器!$AV$28:$BM$30,3,FALSE)+7,FALSE)</f>
        <v>100</v>
      </c>
    </row>
    <row r="15" spans="1:34">
      <c r="A15">
        <v>12</v>
      </c>
      <c r="B15" s="8" t="str">
        <f>IF(HLOOKUP(伤害计算器!$D$24,Sheet4!$A$1:$FE$75,A15+1,FALSE)=0," ",HLOOKUP(伤害计算器!$D$24,Sheet4!$A$1:$FE$75,A15+1,FALSE))</f>
        <v>吸取</v>
      </c>
      <c r="C15" s="8" t="str">
        <f>VLOOKUP(HLOOKUP("普",Sheet4!$A$1:$FE$75,A15+1,FALSE),Sheet4!$A$1:$FE$75,HLOOKUP(伤害计算器!$D$24,伤害计算器!$AV$28:$BM$30,3,FALSE),FALSE)</f>
        <v>すいとる</v>
      </c>
      <c r="D15" s="8" t="str">
        <f>VLOOKUP(HLOOKUP("普",Sheet4!$A$1:$FE$75,A15+1,FALSE),Sheet4!$A$1:$FE$75,HLOOKUP(伤害计算器!$D$24,伤害计算器!$AV$28:$BM$30,3,FALSE)+1,FALSE)</f>
        <v>Absorb</v>
      </c>
      <c r="E15" s="8" t="str">
        <f>VLOOKUP(HLOOKUP("普",Sheet4!$A$1:$FE$75,A15+1,FALSE),Sheet4!$A$1:$FE$75,HLOOKUP(伤害计算器!$D$24,伤害计算器!$AV$28:$BM$30,3,FALSE)+2,FALSE)</f>
        <v>特殊</v>
      </c>
      <c r="F15" s="8">
        <f>VLOOKUP(HLOOKUP("普",Sheet4!$A$1:$FE$75,A15+1,FALSE),Sheet4!$A$1:$FE$75,HLOOKUP(伤害计算器!$D$24,伤害计算器!$AV$28:$BM$30,3,FALSE)+3,FALSE)</f>
        <v>20</v>
      </c>
      <c r="G15" s="8">
        <f>VLOOKUP(HLOOKUP("普",Sheet4!$A$1:$FE$75,A15+1,FALSE),Sheet4!$A$1:$FE$75,HLOOKUP(伤害计算器!$D$24,伤害计算器!$AV$28:$BM$30,3,FALSE)+4,FALSE)</f>
        <v>100</v>
      </c>
      <c r="H15" s="11">
        <f>VLOOKUP(HLOOKUP("普",Sheet4!$A$1:$FE$75,A15+1,FALSE),Sheet4!$A$1:$FE$75,HLOOKUP(伤害计算器!$D$24,伤害计算器!$AV$28:$BM$30,3,FALSE)+5,FALSE)</f>
        <v>25</v>
      </c>
      <c r="I15" s="12" t="str">
        <f>VLOOKUP(HLOOKUP("普",Sheet4!$A$1:$FE$75,A15+1,FALSE),Sheet4!$A$1:$FE$75,HLOOKUP(伤害计算器!$D$24,伤害计算器!$AV$28:$BM$30,3,FALSE)+6,FALSE)</f>
        <v>吸取养分的攻击，伤害的一半回复自身HP。</v>
      </c>
      <c r="J15" s="12"/>
      <c r="K15" s="12"/>
      <c r="L15" s="12"/>
      <c r="M15" s="12"/>
      <c r="N15" s="12"/>
      <c r="O15" s="12"/>
      <c r="P15">
        <f>VLOOKUP(HLOOKUP("普",Sheet4!$A$1:$FE$75,A15+1,FALSE),Sheet4!$A$1:$FF$75,HLOOKUP(伤害计算器!$D$24,伤害计算器!$AV$28:$BM$30,3,FALSE)+7,FALSE)</f>
        <v>20</v>
      </c>
      <c r="S15">
        <v>12</v>
      </c>
      <c r="T15" s="8" t="str">
        <f>IF(HLOOKUP($W$1,Sheet4!$A$1:$FE$75,S15+1,FALSE)=0," ",HLOOKUP($W$1,Sheet4!$A$1:$FE$75,S15+1,FALSE))</f>
        <v>扔泥</v>
      </c>
      <c r="U15" s="8" t="str">
        <f>VLOOKUP(HLOOKUP("普",Sheet4!$A$1:$FE$75,S15+1,FALSE),Sheet4!$A$1:$FE$75,HLOOKUP($W$1,伤害计算器!$AV$28:$BM$30,3,FALSE),FALSE)</f>
        <v>どろかけ</v>
      </c>
      <c r="V15" s="8" t="str">
        <f>VLOOKUP(HLOOKUP("普",Sheet4!$A$1:$FE$75,S15+1,FALSE),Sheet4!$A$1:$FE$75,HLOOKUP($W$1,伤害计算器!$AV$28:$BM$30,3,FALSE)+1,FALSE)</f>
        <v>Mud-Slap</v>
      </c>
      <c r="W15" s="9" t="str">
        <f>VLOOKUP(HLOOKUP("普",Sheet4!$A$1:$FE$75,S15+1,FALSE),Sheet4!$A$1:$FE$75,HLOOKUP($W$1,伤害计算器!$AV$28:$BM$30,3,FALSE)+2,FALSE)</f>
        <v>特殊</v>
      </c>
      <c r="X15" s="9">
        <f>VLOOKUP(HLOOKUP("普",Sheet4!$A$1:$FE$75,S15+1,FALSE),Sheet4!$A$1:$FE$75,HLOOKUP($W$1,伤害计算器!$AV$28:$BM$30,3,FALSE)+3,FALSE)</f>
        <v>20</v>
      </c>
      <c r="Y15" s="9">
        <f>VLOOKUP(HLOOKUP("普",Sheet4!$A$1:$FE$75,S15+1,FALSE),Sheet4!$A$1:$FE$75,HLOOKUP($W$1,伤害计算器!$AV$28:$BM$30,3,FALSE)+4,FALSE)</f>
        <v>100</v>
      </c>
      <c r="Z15" s="10">
        <f>VLOOKUP(HLOOKUP("普",Sheet4!$A$1:$FE$75,S15+1,FALSE),Sheet4!$A$1:$FE$75,HLOOKUP($W$1,伤害计算器!$AV$28:$BM$30,3,FALSE)+5,FALSE)</f>
        <v>10</v>
      </c>
      <c r="AA15" s="12" t="str">
        <f>VLOOKUP(HLOOKUP("普",Sheet4!$A$1:$FE$75,S15+1,FALSE),Sheet4!$A$1:$FE$75,HLOOKUP($W$1,伤害计算器!$AV$28:$BM$30,3,FALSE)+6,FALSE)</f>
        <v>向对手的脸投掷泥块攻击，降低命中率。</v>
      </c>
      <c r="AB15" s="12"/>
      <c r="AC15" s="12"/>
      <c r="AD15" s="12"/>
      <c r="AE15" s="12"/>
      <c r="AF15" s="12"/>
      <c r="AG15" s="12"/>
      <c r="AH15">
        <f>VLOOKUP(HLOOKUP("普",Sheet4!$A$1:$FE$75,S15+1,FALSE),Sheet4!$A$1:$FF$75,HLOOKUP($W$1,伤害计算器!$AV$28:$BM$30,3,FALSE)+7,FALSE)</f>
        <v>20</v>
      </c>
    </row>
    <row r="16" spans="1:34">
      <c r="A16">
        <v>13</v>
      </c>
      <c r="B16" s="8" t="str">
        <f>IF(HLOOKUP(伤害计算器!$D$24,Sheet4!$A$1:$FE$75,A16+1,FALSE)=0," ",HLOOKUP(伤害计算器!$D$24,Sheet4!$A$1:$FE$75,A16+1,FALSE))</f>
        <v>百万吸取</v>
      </c>
      <c r="C16" s="8" t="str">
        <f>VLOOKUP(HLOOKUP("普",Sheet4!$A$1:$FE$75,A16+1,FALSE),Sheet4!$A$1:$FE$75,HLOOKUP(伤害计算器!$D$24,伤害计算器!$AV$28:$BM$30,3,FALSE),FALSE)</f>
        <v>メガドレイン</v>
      </c>
      <c r="D16" s="8" t="str">
        <f>VLOOKUP(HLOOKUP("普",Sheet4!$A$1:$FE$75,A16+1,FALSE),Sheet4!$A$1:$FE$75,HLOOKUP(伤害计算器!$D$24,伤害计算器!$AV$28:$BM$30,3,FALSE)+1,FALSE)</f>
        <v>Mega Drain</v>
      </c>
      <c r="E16" s="8" t="str">
        <f>VLOOKUP(HLOOKUP("普",Sheet4!$A$1:$FE$75,A16+1,FALSE),Sheet4!$A$1:$FE$75,HLOOKUP(伤害计算器!$D$24,伤害计算器!$AV$28:$BM$30,3,FALSE)+2,FALSE)</f>
        <v>特殊</v>
      </c>
      <c r="F16" s="8">
        <f>VLOOKUP(HLOOKUP("普",Sheet4!$A$1:$FE$75,A16+1,FALSE),Sheet4!$A$1:$FE$75,HLOOKUP(伤害计算器!$D$24,伤害计算器!$AV$28:$BM$30,3,FALSE)+3,FALSE)</f>
        <v>40</v>
      </c>
      <c r="G16" s="8">
        <f>VLOOKUP(HLOOKUP("普",Sheet4!$A$1:$FE$75,A16+1,FALSE),Sheet4!$A$1:$FE$75,HLOOKUP(伤害计算器!$D$24,伤害计算器!$AV$28:$BM$30,3,FALSE)+4,FALSE)</f>
        <v>100</v>
      </c>
      <c r="H16" s="11">
        <f>VLOOKUP(HLOOKUP("普",Sheet4!$A$1:$FE$75,A16+1,FALSE),Sheet4!$A$1:$FE$75,HLOOKUP(伤害计算器!$D$24,伤害计算器!$AV$28:$BM$30,3,FALSE)+5,FALSE)</f>
        <v>15</v>
      </c>
      <c r="I16" s="12" t="str">
        <f>VLOOKUP(HLOOKUP("普",Sheet4!$A$1:$FE$75,A16+1,FALSE),Sheet4!$A$1:$FE$75,HLOOKUP(伤害计算器!$D$24,伤害计算器!$AV$28:$BM$30,3,FALSE)+6,FALSE)</f>
        <v>吸取养分的攻击，伤害的一半回复自身HP。</v>
      </c>
      <c r="J16" s="12"/>
      <c r="K16" s="12"/>
      <c r="L16" s="12"/>
      <c r="M16" s="12"/>
      <c r="N16" s="12"/>
      <c r="O16" s="12"/>
      <c r="P16">
        <f>VLOOKUP(HLOOKUP("普",Sheet4!$A$1:$FE$75,A16+1,FALSE),Sheet4!$A$1:$FF$75,HLOOKUP(伤害计算器!$D$24,伤害计算器!$AV$28:$BM$30,3,FALSE)+7,FALSE)</f>
        <v>40</v>
      </c>
      <c r="S16">
        <v>13</v>
      </c>
      <c r="T16" s="8" t="str">
        <f>IF(HLOOKUP($W$1,Sheet4!$A$1:$FE$75,S16+1,FALSE)=0," ",HLOOKUP($W$1,Sheet4!$A$1:$FE$75,S16+1,FALSE))</f>
        <v>泥浆喷射</v>
      </c>
      <c r="U16" s="8" t="str">
        <f>VLOOKUP(HLOOKUP("普",Sheet4!$A$1:$FE$75,S16+1,FALSE),Sheet4!$A$1:$FE$75,HLOOKUP($W$1,伤害计算器!$AV$28:$BM$30,3,FALSE),FALSE)</f>
        <v>マッドショット</v>
      </c>
      <c r="V16" s="8" t="str">
        <f>VLOOKUP(HLOOKUP("普",Sheet4!$A$1:$FE$75,S16+1,FALSE),Sheet4!$A$1:$FE$75,HLOOKUP($W$1,伤害计算器!$AV$28:$BM$30,3,FALSE)+1,FALSE)</f>
        <v>Mud Shot</v>
      </c>
      <c r="W16" s="9" t="str">
        <f>VLOOKUP(HLOOKUP("普",Sheet4!$A$1:$FE$75,S16+1,FALSE),Sheet4!$A$1:$FE$75,HLOOKUP($W$1,伤害计算器!$AV$28:$BM$30,3,FALSE)+2,FALSE)</f>
        <v>特殊</v>
      </c>
      <c r="X16" s="9">
        <f>VLOOKUP(HLOOKUP("普",Sheet4!$A$1:$FE$75,S16+1,FALSE),Sheet4!$A$1:$FE$75,HLOOKUP($W$1,伤害计算器!$AV$28:$BM$30,3,FALSE)+3,FALSE)</f>
        <v>55</v>
      </c>
      <c r="Y16" s="9">
        <f>VLOOKUP(HLOOKUP("普",Sheet4!$A$1:$FE$75,S16+1,FALSE),Sheet4!$A$1:$FE$75,HLOOKUP($W$1,伤害计算器!$AV$28:$BM$30,3,FALSE)+4,FALSE)</f>
        <v>95</v>
      </c>
      <c r="Z16" s="10">
        <f>VLOOKUP(HLOOKUP("普",Sheet4!$A$1:$FE$75,S16+1,FALSE),Sheet4!$A$1:$FE$75,HLOOKUP($W$1,伤害计算器!$AV$28:$BM$30,3,FALSE)+5,FALSE)</f>
        <v>15</v>
      </c>
      <c r="AA16" s="12" t="str">
        <f>VLOOKUP(HLOOKUP("普",Sheet4!$A$1:$FE$75,S16+1,FALSE),Sheet4!$A$1:$FE$75,HLOOKUP($W$1,伤害计算器!$AV$28:$BM$30,3,FALSE)+6,FALSE)</f>
        <v>向对手投掷泥块攻击，同时降低对手速度。</v>
      </c>
      <c r="AB16" s="12"/>
      <c r="AC16" s="12"/>
      <c r="AD16" s="12"/>
      <c r="AE16" s="12"/>
      <c r="AF16" s="12"/>
      <c r="AG16" s="12"/>
      <c r="AH16">
        <f>VLOOKUP(HLOOKUP("普",Sheet4!$A$1:$FE$75,S16+1,FALSE),Sheet4!$A$1:$FF$75,HLOOKUP($W$1,伤害计算器!$AV$28:$BM$30,3,FALSE)+7,FALSE)</f>
        <v>55</v>
      </c>
    </row>
    <row r="17" spans="1:34">
      <c r="A17">
        <v>14</v>
      </c>
      <c r="B17" s="8" t="str">
        <f>IF(HLOOKUP(伤害计算器!$D$24,Sheet4!$A$1:$FE$75,A17+1,FALSE)=0," ",HLOOKUP(伤害计算器!$D$24,Sheet4!$A$1:$FE$75,A17+1,FALSE))</f>
        <v>草之誓</v>
      </c>
      <c r="C17" s="8" t="str">
        <f>VLOOKUP(HLOOKUP("普",Sheet4!$A$1:$FE$75,A17+1,FALSE),Sheet4!$A$1:$FE$75,HLOOKUP(伤害计算器!$D$24,伤害计算器!$AV$28:$BM$30,3,FALSE),FALSE)</f>
        <v>くさのちかい</v>
      </c>
      <c r="D17" s="8" t="str">
        <f>VLOOKUP(HLOOKUP("普",Sheet4!$A$1:$FE$75,A17+1,FALSE),Sheet4!$A$1:$FE$75,HLOOKUP(伤害计算器!$D$24,伤害计算器!$AV$28:$BM$30,3,FALSE)+1,FALSE)</f>
        <v>Grass Pledge</v>
      </c>
      <c r="E17" s="8" t="str">
        <f>VLOOKUP(HLOOKUP("普",Sheet4!$A$1:$FE$75,A17+1,FALSE),Sheet4!$A$1:$FE$75,HLOOKUP(伤害计算器!$D$24,伤害计算器!$AV$28:$BM$30,3,FALSE)+2,FALSE)</f>
        <v>特殊</v>
      </c>
      <c r="F17" s="8">
        <f>VLOOKUP(HLOOKUP("普",Sheet4!$A$1:$FE$75,A17+1,FALSE),Sheet4!$A$1:$FE$75,HLOOKUP(伤害计算器!$D$24,伤害计算器!$AV$28:$BM$30,3,FALSE)+3,FALSE)</f>
        <v>80</v>
      </c>
      <c r="G17" s="8">
        <f>VLOOKUP(HLOOKUP("普",Sheet4!$A$1:$FE$75,A17+1,FALSE),Sheet4!$A$1:$FE$75,HLOOKUP(伤害计算器!$D$24,伤害计算器!$AV$28:$BM$30,3,FALSE)+4,FALSE)</f>
        <v>100</v>
      </c>
      <c r="H17" s="11">
        <f>VLOOKUP(HLOOKUP("普",Sheet4!$A$1:$FE$75,A17+1,FALSE),Sheet4!$A$1:$FE$75,HLOOKUP(伤害计算器!$D$24,伤害计算器!$AV$28:$BM$30,3,FALSE)+5,FALSE)</f>
        <v>10</v>
      </c>
      <c r="I17" s="12" t="str">
        <f>VLOOKUP(HLOOKUP("普",Sheet4!$A$1:$FE$75,A17+1,FALSE),Sheet4!$A$1:$FE$75,HLOOKUP(伤害计算器!$D$24,伤害计算器!$AV$28:$BM$30,3,FALSE)+6,FALSE)</f>
        <v>用草柱攻击，与水组合的话威力上升，周围变成湿原。</v>
      </c>
      <c r="J17" s="12"/>
      <c r="K17" s="12"/>
      <c r="L17" s="12"/>
      <c r="M17" s="12"/>
      <c r="N17" s="12"/>
      <c r="O17" s="12"/>
      <c r="P17">
        <f>VLOOKUP(HLOOKUP("普",Sheet4!$A$1:$FE$75,A17+1,FALSE),Sheet4!$A$1:$FF$75,HLOOKUP(伤害计算器!$D$24,伤害计算器!$AV$28:$BM$30,3,FALSE)+7,FALSE)</f>
        <v>80</v>
      </c>
      <c r="S17">
        <v>14</v>
      </c>
      <c r="T17" s="8" t="str">
        <f>IF(HLOOKUP($W$1,Sheet4!$A$1:$FE$75,S17+1,FALSE)=0," ",HLOOKUP($W$1,Sheet4!$A$1:$FE$75,S17+1,FALSE))</f>
        <v>泥爆弹</v>
      </c>
      <c r="U17" s="8" t="str">
        <f>VLOOKUP(HLOOKUP("普",Sheet4!$A$1:$FE$75,S17+1,FALSE),Sheet4!$A$1:$FE$75,HLOOKUP($W$1,伤害计算器!$AV$28:$BM$30,3,FALSE),FALSE)</f>
        <v>どろばくだん</v>
      </c>
      <c r="V17" s="8" t="str">
        <f>VLOOKUP(HLOOKUP("普",Sheet4!$A$1:$FE$75,S17+1,FALSE),Sheet4!$A$1:$FE$75,HLOOKUP($W$1,伤害计算器!$AV$28:$BM$30,3,FALSE)+1,FALSE)</f>
        <v>Mud Bomb</v>
      </c>
      <c r="W17" s="9" t="str">
        <f>VLOOKUP(HLOOKUP("普",Sheet4!$A$1:$FE$75,S17+1,FALSE),Sheet4!$A$1:$FE$75,HLOOKUP($W$1,伤害计算器!$AV$28:$BM$30,3,FALSE)+2,FALSE)</f>
        <v>特殊</v>
      </c>
      <c r="X17" s="9">
        <f>VLOOKUP(HLOOKUP("普",Sheet4!$A$1:$FE$75,S17+1,FALSE),Sheet4!$A$1:$FE$75,HLOOKUP($W$1,伤害计算器!$AV$28:$BM$30,3,FALSE)+3,FALSE)</f>
        <v>65</v>
      </c>
      <c r="Y17" s="9">
        <f>VLOOKUP(HLOOKUP("普",Sheet4!$A$1:$FE$75,S17+1,FALSE),Sheet4!$A$1:$FE$75,HLOOKUP($W$1,伤害计算器!$AV$28:$BM$30,3,FALSE)+4,FALSE)</f>
        <v>85</v>
      </c>
      <c r="Z17" s="10">
        <f>VLOOKUP(HLOOKUP("普",Sheet4!$A$1:$FE$75,S17+1,FALSE),Sheet4!$A$1:$FE$75,HLOOKUP($W$1,伤害计算器!$AV$28:$BM$30,3,FALSE)+5,FALSE)</f>
        <v>10</v>
      </c>
      <c r="AA17" s="12" t="str">
        <f>VLOOKUP(HLOOKUP("普",Sheet4!$A$1:$FE$75,S17+1,FALSE),Sheet4!$A$1:$FE$75,HLOOKUP($W$1,伤害计算器!$AV$28:$BM$30,3,FALSE)+6,FALSE)</f>
        <v>发射坚硬的泥块攻击，会降低对手命中率。</v>
      </c>
      <c r="AB17" s="12"/>
      <c r="AC17" s="12"/>
      <c r="AD17" s="12"/>
      <c r="AE17" s="12"/>
      <c r="AF17" s="12"/>
      <c r="AG17" s="12"/>
      <c r="AH17">
        <f>VLOOKUP(HLOOKUP("普",Sheet4!$A$1:$FE$75,S17+1,FALSE),Sheet4!$A$1:$FF$75,HLOOKUP($W$1,伤害计算器!$AV$28:$BM$30,3,FALSE)+7,FALSE)</f>
        <v>65</v>
      </c>
    </row>
    <row r="18" spans="1:34">
      <c r="A18">
        <v>15</v>
      </c>
      <c r="B18" s="8" t="str">
        <f>IF(HLOOKUP(伤害计算器!$D$24,Sheet4!$A$1:$FE$75,A18+1,FALSE)=0," ",HLOOKUP(伤害计算器!$D$24,Sheet4!$A$1:$FE$75,A18+1,FALSE))</f>
        <v>魔叶斩</v>
      </c>
      <c r="C18" s="8" t="str">
        <f>VLOOKUP(HLOOKUP("普",Sheet4!$A$1:$FE$75,A18+1,FALSE),Sheet4!$A$1:$FE$75,HLOOKUP(伤害计算器!$D$24,伤害计算器!$AV$28:$BM$30,3,FALSE),FALSE)</f>
        <v>マジカルリーフ</v>
      </c>
      <c r="D18" s="8" t="str">
        <f>VLOOKUP(HLOOKUP("普",Sheet4!$A$1:$FE$75,A18+1,FALSE),Sheet4!$A$1:$FE$75,HLOOKUP(伤害计算器!$D$24,伤害计算器!$AV$28:$BM$30,3,FALSE)+1,FALSE)</f>
        <v>Magical Leaf</v>
      </c>
      <c r="E18" s="8" t="str">
        <f>VLOOKUP(HLOOKUP("普",Sheet4!$A$1:$FE$75,A18+1,FALSE),Sheet4!$A$1:$FE$75,HLOOKUP(伤害计算器!$D$24,伤害计算器!$AV$28:$BM$30,3,FALSE)+2,FALSE)</f>
        <v>特殊</v>
      </c>
      <c r="F18" s="8">
        <f>VLOOKUP(HLOOKUP("普",Sheet4!$A$1:$FE$75,A18+1,FALSE),Sheet4!$A$1:$FE$75,HLOOKUP(伤害计算器!$D$24,伤害计算器!$AV$28:$BM$30,3,FALSE)+3,FALSE)</f>
        <v>60</v>
      </c>
      <c r="G18" s="8" t="str">
        <f>VLOOKUP(HLOOKUP("普",Sheet4!$A$1:$FE$75,A18+1,FALSE),Sheet4!$A$1:$FE$75,HLOOKUP(伤害计算器!$D$24,伤害计算器!$AV$28:$BM$30,3,FALSE)+4,FALSE)</f>
        <v>--</v>
      </c>
      <c r="H18" s="11">
        <f>VLOOKUP(HLOOKUP("普",Sheet4!$A$1:$FE$75,A18+1,FALSE),Sheet4!$A$1:$FE$75,HLOOKUP(伤害计算器!$D$24,伤害计算器!$AV$28:$BM$30,3,FALSE)+5,FALSE)</f>
        <v>20</v>
      </c>
      <c r="I18" s="12" t="str">
        <f>VLOOKUP(HLOOKUP("普",Sheet4!$A$1:$FE$75,A18+1,FALSE),Sheet4!$A$1:$FE$75,HLOOKUP(伤害计算器!$D$24,伤害计算器!$AV$28:$BM$30,3,FALSE)+6,FALSE)</f>
        <v>发出会追尾对手的神秘树叶，必定能命中目标。</v>
      </c>
      <c r="J18" s="12"/>
      <c r="K18" s="12"/>
      <c r="L18" s="12"/>
      <c r="M18" s="12"/>
      <c r="N18" s="12"/>
      <c r="O18" s="12"/>
      <c r="P18">
        <f>VLOOKUP(HLOOKUP("普",Sheet4!$A$1:$FE$75,A18+1,FALSE),Sheet4!$A$1:$FF$75,HLOOKUP(伤害计算器!$D$24,伤害计算器!$AV$28:$BM$30,3,FALSE)+7,FALSE)</f>
        <v>60</v>
      </c>
      <c r="S18">
        <v>15</v>
      </c>
      <c r="T18" s="8" t="str">
        <f>IF(HLOOKUP($W$1,Sheet4!$A$1:$FE$75,S18+1,FALSE)=0," ",HLOOKUP($W$1,Sheet4!$A$1:$FE$75,S18+1,FALSE))</f>
        <v>大地之力</v>
      </c>
      <c r="U18" s="8" t="str">
        <f>VLOOKUP(HLOOKUP("普",Sheet4!$A$1:$FE$75,S18+1,FALSE),Sheet4!$A$1:$FE$75,HLOOKUP($W$1,伤害计算器!$AV$28:$BM$30,3,FALSE),FALSE)</f>
        <v>だいちのちから</v>
      </c>
      <c r="V18" s="8" t="str">
        <f>VLOOKUP(HLOOKUP("普",Sheet4!$A$1:$FE$75,S18+1,FALSE),Sheet4!$A$1:$FE$75,HLOOKUP($W$1,伤害计算器!$AV$28:$BM$30,3,FALSE)+1,FALSE)</f>
        <v>Earth Power</v>
      </c>
      <c r="W18" s="9" t="str">
        <f>VLOOKUP(HLOOKUP("普",Sheet4!$A$1:$FE$75,S18+1,FALSE),Sheet4!$A$1:$FE$75,HLOOKUP($W$1,伤害计算器!$AV$28:$BM$30,3,FALSE)+2,FALSE)</f>
        <v>特殊</v>
      </c>
      <c r="X18" s="9">
        <f>VLOOKUP(HLOOKUP("普",Sheet4!$A$1:$FE$75,S18+1,FALSE),Sheet4!$A$1:$FE$75,HLOOKUP($W$1,伤害计算器!$AV$28:$BM$30,3,FALSE)+3,FALSE)</f>
        <v>90</v>
      </c>
      <c r="Y18" s="9">
        <f>VLOOKUP(HLOOKUP("普",Sheet4!$A$1:$FE$75,S18+1,FALSE),Sheet4!$A$1:$FE$75,HLOOKUP($W$1,伤害计算器!$AV$28:$BM$30,3,FALSE)+4,FALSE)</f>
        <v>100</v>
      </c>
      <c r="Z18" s="10">
        <f>VLOOKUP(HLOOKUP("普",Sheet4!$A$1:$FE$75,S18+1,FALSE),Sheet4!$A$1:$FE$75,HLOOKUP($W$1,伤害计算器!$AV$28:$BM$30,3,FALSE)+5,FALSE)</f>
        <v>10</v>
      </c>
      <c r="AA18" s="12" t="str">
        <f>VLOOKUP(HLOOKUP("普",Sheet4!$A$1:$FE$75,S18+1,FALSE),Sheet4!$A$1:$FE$75,HLOOKUP($W$1,伤害计算器!$AV$28:$BM$30,3,FALSE)+6,FALSE)</f>
        <v>在对手脚下释放大地的力量，会降低对手特殊防。</v>
      </c>
      <c r="AB18" s="12"/>
      <c r="AC18" s="12"/>
      <c r="AD18" s="12"/>
      <c r="AE18" s="12"/>
      <c r="AF18" s="12"/>
      <c r="AG18" s="12"/>
      <c r="AH18">
        <f>VLOOKUP(HLOOKUP("普",Sheet4!$A$1:$FE$75,S18+1,FALSE),Sheet4!$A$1:$FF$75,HLOOKUP($W$1,伤害计算器!$AV$28:$BM$30,3,FALSE)+7,FALSE)</f>
        <v>90</v>
      </c>
    </row>
    <row r="19" spans="1:34">
      <c r="A19">
        <v>16</v>
      </c>
      <c r="B19" s="8" t="str">
        <f>IF(HLOOKUP(伤害计算器!$D$24,Sheet4!$A$1:$FE$75,A19+1,FALSE)=0," ",HLOOKUP(伤害计算器!$D$24,Sheet4!$A$1:$FE$75,A19+1,FALSE))</f>
        <v>草旋风</v>
      </c>
      <c r="C19" s="8" t="str">
        <f>VLOOKUP(HLOOKUP("普",Sheet4!$A$1:$FE$75,A19+1,FALSE),Sheet4!$A$1:$FE$75,HLOOKUP(伤害计算器!$D$24,伤害计算器!$AV$28:$BM$30,3,FALSE),FALSE)</f>
        <v>グラスミキサー</v>
      </c>
      <c r="D19" s="8" t="str">
        <f>VLOOKUP(HLOOKUP("普",Sheet4!$A$1:$FE$75,A19+1,FALSE),Sheet4!$A$1:$FE$75,HLOOKUP(伤害计算器!$D$24,伤害计算器!$AV$28:$BM$30,3,FALSE)+1,FALSE)</f>
        <v>Leaf Tornado</v>
      </c>
      <c r="E19" s="8" t="str">
        <f>VLOOKUP(HLOOKUP("普",Sheet4!$A$1:$FE$75,A19+1,FALSE),Sheet4!$A$1:$FE$75,HLOOKUP(伤害计算器!$D$24,伤害计算器!$AV$28:$BM$30,3,FALSE)+2,FALSE)</f>
        <v>特殊</v>
      </c>
      <c r="F19" s="8">
        <f>VLOOKUP(HLOOKUP("普",Sheet4!$A$1:$FE$75,A19+1,FALSE),Sheet4!$A$1:$FE$75,HLOOKUP(伤害计算器!$D$24,伤害计算器!$AV$28:$BM$30,3,FALSE)+3,FALSE)</f>
        <v>65</v>
      </c>
      <c r="G19" s="8">
        <f>VLOOKUP(HLOOKUP("普",Sheet4!$A$1:$FE$75,A19+1,FALSE),Sheet4!$A$1:$FE$75,HLOOKUP(伤害计算器!$D$24,伤害计算器!$AV$28:$BM$30,3,FALSE)+4,FALSE)</f>
        <v>90</v>
      </c>
      <c r="H19" s="11">
        <f>VLOOKUP(HLOOKUP("普",Sheet4!$A$1:$FE$75,A19+1,FALSE),Sheet4!$A$1:$FE$75,HLOOKUP(伤害计算器!$D$24,伤害计算器!$AV$28:$BM$30,3,FALSE)+5,FALSE)</f>
        <v>10</v>
      </c>
      <c r="I19" s="12" t="str">
        <f>VLOOKUP(HLOOKUP("普",Sheet4!$A$1:$FE$75,A19+1,FALSE),Sheet4!$A$1:$FE$75,HLOOKUP(伤害计算器!$D$24,伤害计算器!$AV$28:$BM$30,3,FALSE)+6,FALSE)</f>
        <v>用锋锐的树叶围绕对手攻击，会降低对手命中率。</v>
      </c>
      <c r="J19" s="12"/>
      <c r="K19" s="12"/>
      <c r="L19" s="12"/>
      <c r="M19" s="12"/>
      <c r="N19" s="12"/>
      <c r="O19" s="12"/>
      <c r="P19">
        <f>VLOOKUP(HLOOKUP("普",Sheet4!$A$1:$FE$75,A19+1,FALSE),Sheet4!$A$1:$FF$75,HLOOKUP(伤害计算器!$D$24,伤害计算器!$AV$28:$BM$30,3,FALSE)+7,FALSE)</f>
        <v>65</v>
      </c>
      <c r="S19">
        <v>16</v>
      </c>
      <c r="T19" s="8" t="str">
        <f>IF(HLOOKUP($W$1,Sheet4!$A$1:$FE$75,S19+1,FALSE)=0," ",HLOOKUP($W$1,Sheet4!$A$1:$FE$75,S19+1,FALSE))</f>
        <v>断崖之剑</v>
      </c>
      <c r="U19" s="8" t="str">
        <f>VLOOKUP(HLOOKUP("普",Sheet4!$A$1:$FE$75,S19+1,FALSE),Sheet4!$A$1:$FE$75,HLOOKUP($W$1,伤害计算器!$AV$28:$BM$30,3,FALSE),FALSE)</f>
        <v>だんがいのつるぎ</v>
      </c>
      <c r="V19" s="8" t="str">
        <f>VLOOKUP(HLOOKUP("普",Sheet4!$A$1:$FE$75,S19+1,FALSE),Sheet4!$A$1:$FE$75,HLOOKUP($W$1,伤害计算器!$AV$28:$BM$30,3,FALSE)+1,FALSE)</f>
        <v>Precipice Blades</v>
      </c>
      <c r="W19" s="9" t="str">
        <f>VLOOKUP(HLOOKUP("普",Sheet4!$A$1:$FE$75,S19+1,FALSE),Sheet4!$A$1:$FE$75,HLOOKUP($W$1,伤害计算器!$AV$28:$BM$30,3,FALSE)+2,FALSE)</f>
        <v>物理</v>
      </c>
      <c r="X19" s="9">
        <f>VLOOKUP(HLOOKUP("普",Sheet4!$A$1:$FE$75,S19+1,FALSE),Sheet4!$A$1:$FE$75,HLOOKUP($W$1,伤害计算器!$AV$28:$BM$30,3,FALSE)+3,FALSE)</f>
        <v>120</v>
      </c>
      <c r="Y19" s="9">
        <f>VLOOKUP(HLOOKUP("普",Sheet4!$A$1:$FE$75,S19+1,FALSE),Sheet4!$A$1:$FE$75,HLOOKUP($W$1,伤害计算器!$AV$28:$BM$30,3,FALSE)+4,FALSE)</f>
        <v>85</v>
      </c>
      <c r="Z19" s="10">
        <f>VLOOKUP(HLOOKUP("普",Sheet4!$A$1:$FE$75,S19+1,FALSE),Sheet4!$A$1:$FE$75,HLOOKUP($W$1,伤害计算器!$AV$28:$BM$30,3,FALSE)+5,FALSE)</f>
        <v>10</v>
      </c>
      <c r="AA19" s="12">
        <f>VLOOKUP(HLOOKUP("普",Sheet4!$A$1:$FE$75,S19+1,FALSE),Sheet4!$A$1:$FE$75,HLOOKUP($W$1,伤害计算器!$AV$28:$BM$30,3,FALSE)+6,FALSE)</f>
        <v>0</v>
      </c>
      <c r="AB19" s="12"/>
      <c r="AC19" s="12"/>
      <c r="AD19" s="12"/>
      <c r="AE19" s="12"/>
      <c r="AF19" s="12"/>
      <c r="AG19" s="12"/>
      <c r="AH19">
        <f>VLOOKUP(HLOOKUP("普",Sheet4!$A$1:$FE$75,S19+1,FALSE),Sheet4!$A$1:$FF$75,HLOOKUP($W$1,伤害计算器!$AV$28:$BM$30,3,FALSE)+7,FALSE)</f>
        <v>120</v>
      </c>
    </row>
    <row r="20" spans="1:34">
      <c r="A20">
        <v>17</v>
      </c>
      <c r="B20" s="8" t="str">
        <f>IF(HLOOKUP(伤害计算器!$D$24,Sheet4!$A$1:$FE$75,A20+1,FALSE)=0," ",HLOOKUP(伤害计算器!$D$24,Sheet4!$A$1:$FE$75,A20+1,FALSE))</f>
        <v>亿万吸取</v>
      </c>
      <c r="C20" s="8" t="str">
        <f>VLOOKUP(HLOOKUP("普",Sheet4!$A$1:$FE$75,A20+1,FALSE),Sheet4!$A$1:$FE$75,HLOOKUP(伤害计算器!$D$24,伤害计算器!$AV$28:$BM$30,3,FALSE),FALSE)</f>
        <v>ギガドレイン</v>
      </c>
      <c r="D20" s="8" t="str">
        <f>VLOOKUP(HLOOKUP("普",Sheet4!$A$1:$FE$75,A20+1,FALSE),Sheet4!$A$1:$FE$75,HLOOKUP(伤害计算器!$D$24,伤害计算器!$AV$28:$BM$30,3,FALSE)+1,FALSE)</f>
        <v>Giga Drain</v>
      </c>
      <c r="E20" s="8" t="str">
        <f>VLOOKUP(HLOOKUP("普",Sheet4!$A$1:$FE$75,A20+1,FALSE),Sheet4!$A$1:$FE$75,HLOOKUP(伤害计算器!$D$24,伤害计算器!$AV$28:$BM$30,3,FALSE)+2,FALSE)</f>
        <v>特殊</v>
      </c>
      <c r="F20" s="8">
        <f>VLOOKUP(HLOOKUP("普",Sheet4!$A$1:$FE$75,A20+1,FALSE),Sheet4!$A$1:$FE$75,HLOOKUP(伤害计算器!$D$24,伤害计算器!$AV$28:$BM$30,3,FALSE)+3,FALSE)</f>
        <v>75</v>
      </c>
      <c r="G20" s="8">
        <f>VLOOKUP(HLOOKUP("普",Sheet4!$A$1:$FE$75,A20+1,FALSE),Sheet4!$A$1:$FE$75,HLOOKUP(伤害计算器!$D$24,伤害计算器!$AV$28:$BM$30,3,FALSE)+4,FALSE)</f>
        <v>100</v>
      </c>
      <c r="H20" s="11">
        <f>VLOOKUP(HLOOKUP("普",Sheet4!$A$1:$FE$75,A20+1,FALSE),Sheet4!$A$1:$FE$75,HLOOKUP(伤害计算器!$D$24,伤害计算器!$AV$28:$BM$30,3,FALSE)+5,FALSE)</f>
        <v>10</v>
      </c>
      <c r="I20" s="12" t="str">
        <f>VLOOKUP(HLOOKUP("普",Sheet4!$A$1:$FE$75,A20+1,FALSE),Sheet4!$A$1:$FE$75,HLOOKUP(伤害计算器!$D$24,伤害计算器!$AV$28:$BM$30,3,FALSE)+6,FALSE)</f>
        <v>吸取养分的攻击，伤害的一半回复自身HP。</v>
      </c>
      <c r="J20" s="12"/>
      <c r="K20" s="12"/>
      <c r="L20" s="12"/>
      <c r="M20" s="12"/>
      <c r="N20" s="12"/>
      <c r="O20" s="12"/>
      <c r="P20">
        <f>VLOOKUP(HLOOKUP("普",Sheet4!$A$1:$FE$75,A20+1,FALSE),Sheet4!$A$1:$FF$75,HLOOKUP(伤害计算器!$D$24,伤害计算器!$AV$28:$BM$30,3,FALSE)+7,FALSE)</f>
        <v>75</v>
      </c>
      <c r="S20">
        <v>17</v>
      </c>
      <c r="T20" s="8" t="str">
        <f>IF(HLOOKUP($W$1,Sheet4!$A$1:$FE$75,S20+1,FALSE)=0," ",HLOOKUP($W$1,Sheet4!$A$1:$FE$75,S20+1,FALSE))</f>
        <v>大地原力</v>
      </c>
      <c r="U20" s="8" t="str">
        <f>VLOOKUP(HLOOKUP("普",Sheet4!$A$1:$FE$75,S20+1,FALSE),Sheet4!$A$1:$FE$75,HLOOKUP($W$1,伤害计算器!$AV$28:$BM$30,3,FALSE),FALSE)</f>
        <v>グランドフォース</v>
      </c>
      <c r="V20" s="8" t="str">
        <f>VLOOKUP(HLOOKUP("普",Sheet4!$A$1:$FE$75,S20+1,FALSE),Sheet4!$A$1:$FE$75,HLOOKUP($W$1,伤害计算器!$AV$28:$BM$30,3,FALSE)+1,FALSE)</f>
        <v>Land's Wrath</v>
      </c>
      <c r="W20" s="9" t="str">
        <f>VLOOKUP(HLOOKUP("普",Sheet4!$A$1:$FE$75,S20+1,FALSE),Sheet4!$A$1:$FE$75,HLOOKUP($W$1,伤害计算器!$AV$28:$BM$30,3,FALSE)+2,FALSE)</f>
        <v>物理</v>
      </c>
      <c r="X20" s="9">
        <f>VLOOKUP(HLOOKUP("普",Sheet4!$A$1:$FE$75,S20+1,FALSE),Sheet4!$A$1:$FE$75,HLOOKUP($W$1,伤害计算器!$AV$28:$BM$30,3,FALSE)+3,FALSE)</f>
        <v>90</v>
      </c>
      <c r="Y20" s="9">
        <f>VLOOKUP(HLOOKUP("普",Sheet4!$A$1:$FE$75,S20+1,FALSE),Sheet4!$A$1:$FE$75,HLOOKUP($W$1,伤害计算器!$AV$28:$BM$30,3,FALSE)+4,FALSE)</f>
        <v>100</v>
      </c>
      <c r="Z20" s="10">
        <f>VLOOKUP(HLOOKUP("普",Sheet4!$A$1:$FE$75,S20+1,FALSE),Sheet4!$A$1:$FE$75,HLOOKUP($W$1,伤害计算器!$AV$28:$BM$30,3,FALSE)+5,FALSE)</f>
        <v>10</v>
      </c>
      <c r="AA20" s="12">
        <f>VLOOKUP(HLOOKUP("普",Sheet4!$A$1:$FE$75,S20+1,FALSE),Sheet4!$A$1:$FE$75,HLOOKUP($W$1,伤害计算器!$AV$28:$BM$30,3,FALSE)+6,FALSE)</f>
        <v>0</v>
      </c>
      <c r="AB20" s="12"/>
      <c r="AC20" s="12"/>
      <c r="AD20" s="12"/>
      <c r="AE20" s="12"/>
      <c r="AF20" s="12"/>
      <c r="AG20" s="12"/>
      <c r="AH20">
        <f>VLOOKUP(HLOOKUP("普",Sheet4!$A$1:$FE$75,S20+1,FALSE),Sheet4!$A$1:$FF$75,HLOOKUP($W$1,伤害计算器!$AV$28:$BM$30,3,FALSE)+7,FALSE)</f>
        <v>90</v>
      </c>
    </row>
    <row r="21" spans="1:34">
      <c r="A21">
        <v>18</v>
      </c>
      <c r="B21" s="8" t="str">
        <f>IF(HLOOKUP(伤害计算器!$D$24,Sheet4!$A$1:$FE$75,A21+1,FALSE)=0," ",HLOOKUP(伤害计算器!$D$24,Sheet4!$A$1:$FE$75,A21+1,FALSE))</f>
        <v>能量球</v>
      </c>
      <c r="C21" s="8" t="str">
        <f>VLOOKUP(HLOOKUP("普",Sheet4!$A$1:$FE$75,A21+1,FALSE),Sheet4!$A$1:$FE$75,HLOOKUP(伤害计算器!$D$24,伤害计算器!$AV$28:$BM$30,3,FALSE),FALSE)</f>
        <v>エナジーボール</v>
      </c>
      <c r="D21" s="8" t="str">
        <f>VLOOKUP(HLOOKUP("普",Sheet4!$A$1:$FE$75,A21+1,FALSE),Sheet4!$A$1:$FE$75,HLOOKUP(伤害计算器!$D$24,伤害计算器!$AV$28:$BM$30,3,FALSE)+1,FALSE)</f>
        <v>Energy Ball</v>
      </c>
      <c r="E21" s="8" t="str">
        <f>VLOOKUP(HLOOKUP("普",Sheet4!$A$1:$FE$75,A21+1,FALSE),Sheet4!$A$1:$FE$75,HLOOKUP(伤害计算器!$D$24,伤害计算器!$AV$28:$BM$30,3,FALSE)+2,FALSE)</f>
        <v>特殊</v>
      </c>
      <c r="F21" s="8">
        <f>VLOOKUP(HLOOKUP("普",Sheet4!$A$1:$FE$75,A21+1,FALSE),Sheet4!$A$1:$FE$75,HLOOKUP(伤害计算器!$D$24,伤害计算器!$AV$28:$BM$30,3,FALSE)+3,FALSE)</f>
        <v>90</v>
      </c>
      <c r="G21" s="8">
        <f>VLOOKUP(HLOOKUP("普",Sheet4!$A$1:$FE$75,A21+1,FALSE),Sheet4!$A$1:$FE$75,HLOOKUP(伤害计算器!$D$24,伤害计算器!$AV$28:$BM$30,3,FALSE)+4,FALSE)</f>
        <v>100</v>
      </c>
      <c r="H21" s="11">
        <f>VLOOKUP(HLOOKUP("普",Sheet4!$A$1:$FE$75,A21+1,FALSE),Sheet4!$A$1:$FE$75,HLOOKUP(伤害计算器!$D$24,伤害计算器!$AV$28:$BM$30,3,FALSE)+5,FALSE)</f>
        <v>10</v>
      </c>
      <c r="I21" s="12" t="str">
        <f>VLOOKUP(HLOOKUP("普",Sheet4!$A$1:$FE$75,A21+1,FALSE),Sheet4!$A$1:$FE$75,HLOOKUP(伤害计算器!$D$24,伤害计算器!$AV$28:$BM$30,3,FALSE)+6,FALSE)</f>
        <v>从大自然中吸收生命的力量发射，会降低对手特殊防。</v>
      </c>
      <c r="J21" s="12"/>
      <c r="K21" s="12"/>
      <c r="L21" s="12"/>
      <c r="M21" s="12"/>
      <c r="N21" s="12"/>
      <c r="O21" s="12"/>
      <c r="P21">
        <f>VLOOKUP(HLOOKUP("普",Sheet4!$A$1:$FE$75,A21+1,FALSE),Sheet4!$A$1:$FF$75,HLOOKUP(伤害计算器!$D$24,伤害计算器!$AV$28:$BM$30,3,FALSE)+7,FALSE)</f>
        <v>90</v>
      </c>
      <c r="S21">
        <v>18</v>
      </c>
      <c r="T21" s="8" t="str">
        <f>IF(HLOOKUP($W$1,Sheet4!$A$1:$FE$75,S21+1,FALSE)=0," ",HLOOKUP($W$1,Sheet4!$A$1:$FE$75,S21+1,FALSE))</f>
        <v> </v>
      </c>
      <c r="U21" s="8">
        <f>VLOOKUP(HLOOKUP("普",Sheet4!$A$1:$FE$75,S21+1,FALSE),Sheet4!$A$1:$FE$75,HLOOKUP($W$1,伤害计算器!$AV$28:$BM$30,3,FALSE),FALSE)</f>
        <v>0</v>
      </c>
      <c r="V21" s="8">
        <f>VLOOKUP(HLOOKUP("普",Sheet4!$A$1:$FE$75,S21+1,FALSE),Sheet4!$A$1:$FE$75,HLOOKUP($W$1,伤害计算器!$AV$28:$BM$30,3,FALSE)+1,FALSE)</f>
        <v>0</v>
      </c>
      <c r="W21" s="9">
        <f>VLOOKUP(HLOOKUP("普",Sheet4!$A$1:$FE$75,S21+1,FALSE),Sheet4!$A$1:$FE$75,HLOOKUP($W$1,伤害计算器!$AV$28:$BM$30,3,FALSE)+2,FALSE)</f>
        <v>0</v>
      </c>
      <c r="X21" s="9">
        <f>VLOOKUP(HLOOKUP("普",Sheet4!$A$1:$FE$75,S21+1,FALSE),Sheet4!$A$1:$FE$75,HLOOKUP($W$1,伤害计算器!$AV$28:$BM$30,3,FALSE)+3,FALSE)</f>
        <v>0</v>
      </c>
      <c r="Y21" s="9">
        <f>VLOOKUP(HLOOKUP("普",Sheet4!$A$1:$FE$75,S21+1,FALSE),Sheet4!$A$1:$FE$75,HLOOKUP($W$1,伤害计算器!$AV$28:$BM$30,3,FALSE)+4,FALSE)</f>
        <v>0</v>
      </c>
      <c r="Z21" s="10">
        <f>VLOOKUP(HLOOKUP("普",Sheet4!$A$1:$FE$75,S21+1,FALSE),Sheet4!$A$1:$FE$75,HLOOKUP($W$1,伤害计算器!$AV$28:$BM$30,3,FALSE)+5,FALSE)</f>
        <v>0</v>
      </c>
      <c r="AA21" s="12">
        <f>VLOOKUP(HLOOKUP("普",Sheet4!$A$1:$FE$75,S21+1,FALSE),Sheet4!$A$1:$FE$75,HLOOKUP($W$1,伤害计算器!$AV$28:$BM$30,3,FALSE)+6,FALSE)</f>
        <v>0</v>
      </c>
      <c r="AB21" s="12"/>
      <c r="AC21" s="12"/>
      <c r="AD21" s="12"/>
      <c r="AE21" s="12"/>
      <c r="AF21" s="12"/>
      <c r="AG21" s="12"/>
      <c r="AH21">
        <f>VLOOKUP(HLOOKUP("普",Sheet4!$A$1:$FE$75,S21+1,FALSE),Sheet4!$A$1:$FF$75,HLOOKUP($W$1,伤害计算器!$AV$28:$BM$30,3,FALSE)+7,FALSE)</f>
        <v>0</v>
      </c>
    </row>
    <row r="22" spans="1:34">
      <c r="A22">
        <v>19</v>
      </c>
      <c r="B22" s="8" t="str">
        <f>IF(HLOOKUP(伤害计算器!$D$24,Sheet4!$A$1:$FE$75,A22+1,FALSE)=0," ",HLOOKUP(伤害计算器!$D$24,Sheet4!$A$1:$FE$75,A22+1,FALSE))</f>
        <v>太阳光线</v>
      </c>
      <c r="C22" s="8" t="str">
        <f>VLOOKUP(HLOOKUP("普",Sheet4!$A$1:$FE$75,A22+1,FALSE),Sheet4!$A$1:$FE$75,HLOOKUP(伤害计算器!$D$24,伤害计算器!$AV$28:$BM$30,3,FALSE),FALSE)</f>
        <v>ソーラービーム</v>
      </c>
      <c r="D22" s="8" t="str">
        <f>VLOOKUP(HLOOKUP("普",Sheet4!$A$1:$FE$75,A22+1,FALSE),Sheet4!$A$1:$FE$75,HLOOKUP(伤害计算器!$D$24,伤害计算器!$AV$28:$BM$30,3,FALSE)+1,FALSE)</f>
        <v>Solarbeam</v>
      </c>
      <c r="E22" s="8" t="str">
        <f>VLOOKUP(HLOOKUP("普",Sheet4!$A$1:$FE$75,A22+1,FALSE),Sheet4!$A$1:$FE$75,HLOOKUP(伤害计算器!$D$24,伤害计算器!$AV$28:$BM$30,3,FALSE)+2,FALSE)</f>
        <v>特殊</v>
      </c>
      <c r="F22" s="8">
        <f>VLOOKUP(HLOOKUP("普",Sheet4!$A$1:$FE$75,A22+1,FALSE),Sheet4!$A$1:$FE$75,HLOOKUP(伤害计算器!$D$24,伤害计算器!$AV$28:$BM$30,3,FALSE)+3,FALSE)</f>
        <v>120</v>
      </c>
      <c r="G22" s="8">
        <f>VLOOKUP(HLOOKUP("普",Sheet4!$A$1:$FE$75,A22+1,FALSE),Sheet4!$A$1:$FE$75,HLOOKUP(伤害计算器!$D$24,伤害计算器!$AV$28:$BM$30,3,FALSE)+4,FALSE)</f>
        <v>100</v>
      </c>
      <c r="H22" s="11">
        <f>VLOOKUP(HLOOKUP("普",Sheet4!$A$1:$FE$75,A22+1,FALSE),Sheet4!$A$1:$FE$75,HLOOKUP(伤害计算器!$D$24,伤害计算器!$AV$28:$BM$30,3,FALSE)+5,FALSE)</f>
        <v>10</v>
      </c>
      <c r="I22" s="12" t="str">
        <f>VLOOKUP(HLOOKUP("普",Sheet4!$A$1:$FE$75,A22+1,FALSE),Sheet4!$A$1:$FE$75,HLOOKUP(伤害计算器!$D$24,伤害计算器!$AV$28:$BM$30,3,FALSE)+6,FALSE)</f>
        <v>第一回合积蓄阳光，第二回合发射光束攻击。</v>
      </c>
      <c r="J22" s="12"/>
      <c r="K22" s="12"/>
      <c r="L22" s="12"/>
      <c r="M22" s="12"/>
      <c r="N22" s="12"/>
      <c r="O22" s="12"/>
      <c r="P22">
        <f>VLOOKUP(HLOOKUP("普",Sheet4!$A$1:$FE$75,A22+1,FALSE),Sheet4!$A$1:$FF$75,HLOOKUP(伤害计算器!$D$24,伤害计算器!$AV$28:$BM$30,3,FALSE)+7,FALSE)</f>
        <v>120</v>
      </c>
      <c r="S22">
        <v>19</v>
      </c>
      <c r="T22" s="8" t="str">
        <f>IF(HLOOKUP($W$1,Sheet4!$A$1:$FE$75,S22+1,FALSE)=0," ",HLOOKUP($W$1,Sheet4!$A$1:$FE$75,S22+1,FALSE))</f>
        <v> </v>
      </c>
      <c r="U22" s="8">
        <f>VLOOKUP(HLOOKUP("普",Sheet4!$A$1:$FE$75,S22+1,FALSE),Sheet4!$A$1:$FE$75,HLOOKUP($W$1,伤害计算器!$AV$28:$BM$30,3,FALSE),FALSE)</f>
        <v>0</v>
      </c>
      <c r="V22" s="8">
        <f>VLOOKUP(HLOOKUP("普",Sheet4!$A$1:$FE$75,S22+1,FALSE),Sheet4!$A$1:$FE$75,HLOOKUP($W$1,伤害计算器!$AV$28:$BM$30,3,FALSE)+1,FALSE)</f>
        <v>0</v>
      </c>
      <c r="W22" s="9">
        <f>VLOOKUP(HLOOKUP("普",Sheet4!$A$1:$FE$75,S22+1,FALSE),Sheet4!$A$1:$FE$75,HLOOKUP($W$1,伤害计算器!$AV$28:$BM$30,3,FALSE)+2,FALSE)</f>
        <v>0</v>
      </c>
      <c r="X22" s="9">
        <f>VLOOKUP(HLOOKUP("普",Sheet4!$A$1:$FE$75,S22+1,FALSE),Sheet4!$A$1:$FE$75,HLOOKUP($W$1,伤害计算器!$AV$28:$BM$30,3,FALSE)+3,FALSE)</f>
        <v>0</v>
      </c>
      <c r="Y22" s="9">
        <f>VLOOKUP(HLOOKUP("普",Sheet4!$A$1:$FE$75,S22+1,FALSE),Sheet4!$A$1:$FE$75,HLOOKUP($W$1,伤害计算器!$AV$28:$BM$30,3,FALSE)+4,FALSE)</f>
        <v>0</v>
      </c>
      <c r="Z22" s="10">
        <f>VLOOKUP(HLOOKUP("普",Sheet4!$A$1:$FE$75,S22+1,FALSE),Sheet4!$A$1:$FE$75,HLOOKUP($W$1,伤害计算器!$AV$28:$BM$30,3,FALSE)+5,FALSE)</f>
        <v>0</v>
      </c>
      <c r="AA22" s="12">
        <f>VLOOKUP(HLOOKUP("普",Sheet4!$A$1:$FE$75,S22+1,FALSE),Sheet4!$A$1:$FE$75,HLOOKUP($W$1,伤害计算器!$AV$28:$BM$30,3,FALSE)+6,FALSE)</f>
        <v>0</v>
      </c>
      <c r="AB22" s="12"/>
      <c r="AC22" s="12"/>
      <c r="AD22" s="12"/>
      <c r="AE22" s="12"/>
      <c r="AF22" s="12"/>
      <c r="AG22" s="12"/>
      <c r="AH22">
        <f>VLOOKUP(HLOOKUP("普",Sheet4!$A$1:$FE$75,S22+1,FALSE),Sheet4!$A$1:$FF$75,HLOOKUP($W$1,伤害计算器!$AV$28:$BM$30,3,FALSE)+7,FALSE)</f>
        <v>0</v>
      </c>
    </row>
    <row r="23" spans="1:34">
      <c r="A23">
        <v>20</v>
      </c>
      <c r="B23" s="8" t="str">
        <f>IF(HLOOKUP(伤害计算器!$D$24,Sheet4!$A$1:$FE$75,A23+1,FALSE)=0," ",HLOOKUP(伤害计算器!$D$24,Sheet4!$A$1:$FE$75,A23+1,FALSE))</f>
        <v>花瓣舞</v>
      </c>
      <c r="C23" s="8" t="str">
        <f>VLOOKUP(HLOOKUP("普",Sheet4!$A$1:$FE$75,A23+1,FALSE),Sheet4!$A$1:$FE$75,HLOOKUP(伤害计算器!$D$24,伤害计算器!$AV$28:$BM$30,3,FALSE),FALSE)</f>
        <v>はなびらのまい</v>
      </c>
      <c r="D23" s="8" t="str">
        <f>VLOOKUP(HLOOKUP("普",Sheet4!$A$1:$FE$75,A23+1,FALSE),Sheet4!$A$1:$FE$75,HLOOKUP(伤害计算器!$D$24,伤害计算器!$AV$28:$BM$30,3,FALSE)+1,FALSE)</f>
        <v>Petal Dance</v>
      </c>
      <c r="E23" s="8" t="str">
        <f>VLOOKUP(HLOOKUP("普",Sheet4!$A$1:$FE$75,A23+1,FALSE),Sheet4!$A$1:$FE$75,HLOOKUP(伤害计算器!$D$24,伤害计算器!$AV$28:$BM$30,3,FALSE)+2,FALSE)</f>
        <v>特殊</v>
      </c>
      <c r="F23" s="8">
        <f>VLOOKUP(HLOOKUP("普",Sheet4!$A$1:$FE$75,A23+1,FALSE),Sheet4!$A$1:$FE$75,HLOOKUP(伤害计算器!$D$24,伤害计算器!$AV$28:$BM$30,3,FALSE)+3,FALSE)</f>
        <v>120</v>
      </c>
      <c r="G23" s="8">
        <f>VLOOKUP(HLOOKUP("普",Sheet4!$A$1:$FE$75,A23+1,FALSE),Sheet4!$A$1:$FE$75,HLOOKUP(伤害计算器!$D$24,伤害计算器!$AV$28:$BM$30,3,FALSE)+4,FALSE)</f>
        <v>100</v>
      </c>
      <c r="H23" s="11">
        <f>VLOOKUP(HLOOKUP("普",Sheet4!$A$1:$FE$75,A23+1,FALSE),Sheet4!$A$1:$FE$75,HLOOKUP(伤害计算器!$D$24,伤害计算器!$AV$28:$BM$30,3,FALSE)+5,FALSE)</f>
        <v>10</v>
      </c>
      <c r="I23" s="12" t="str">
        <f>VLOOKUP(HLOOKUP("普",Sheet4!$A$1:$FE$75,A23+1,FALSE),Sheet4!$A$1:$FE$75,HLOOKUP(伤害计算器!$D$24,伤害计算器!$AV$28:$BM$30,3,FALSE)+6,FALSE)</f>
        <v>2～3回合内飞洒花瓣攻击，飞洒后会混乱。</v>
      </c>
      <c r="J23" s="12"/>
      <c r="K23" s="12"/>
      <c r="L23" s="12"/>
      <c r="M23" s="12"/>
      <c r="N23" s="12"/>
      <c r="O23" s="12"/>
      <c r="P23">
        <f>VLOOKUP(HLOOKUP("普",Sheet4!$A$1:$FE$75,A23+1,FALSE),Sheet4!$A$1:$FF$75,HLOOKUP(伤害计算器!$D$24,伤害计算器!$AV$28:$BM$30,3,FALSE)+7,FALSE)</f>
        <v>120</v>
      </c>
      <c r="S23">
        <v>20</v>
      </c>
      <c r="T23" s="8" t="str">
        <f>IF(HLOOKUP($W$1,Sheet4!$A$1:$FE$75,S23+1,FALSE)=0," ",HLOOKUP($W$1,Sheet4!$A$1:$FE$75,S23+1,FALSE))</f>
        <v> </v>
      </c>
      <c r="U23" s="8">
        <f>VLOOKUP(HLOOKUP("普",Sheet4!$A$1:$FE$75,S23+1,FALSE),Sheet4!$A$1:$FE$75,HLOOKUP($W$1,伤害计算器!$AV$28:$BM$30,3,FALSE),FALSE)</f>
        <v>0</v>
      </c>
      <c r="V23" s="8">
        <f>VLOOKUP(HLOOKUP("普",Sheet4!$A$1:$FE$75,S23+1,FALSE),Sheet4!$A$1:$FE$75,HLOOKUP($W$1,伤害计算器!$AV$28:$BM$30,3,FALSE)+1,FALSE)</f>
        <v>0</v>
      </c>
      <c r="W23" s="9">
        <f>VLOOKUP(HLOOKUP("普",Sheet4!$A$1:$FE$75,S23+1,FALSE),Sheet4!$A$1:$FE$75,HLOOKUP($W$1,伤害计算器!$AV$28:$BM$30,3,FALSE)+2,FALSE)</f>
        <v>0</v>
      </c>
      <c r="X23" s="9">
        <f>VLOOKUP(HLOOKUP("普",Sheet4!$A$1:$FE$75,S23+1,FALSE),Sheet4!$A$1:$FE$75,HLOOKUP($W$1,伤害计算器!$AV$28:$BM$30,3,FALSE)+3,FALSE)</f>
        <v>0</v>
      </c>
      <c r="Y23" s="9">
        <f>VLOOKUP(HLOOKUP("普",Sheet4!$A$1:$FE$75,S23+1,FALSE),Sheet4!$A$1:$FE$75,HLOOKUP($W$1,伤害计算器!$AV$28:$BM$30,3,FALSE)+4,FALSE)</f>
        <v>0</v>
      </c>
      <c r="Z23" s="10">
        <f>VLOOKUP(HLOOKUP("普",Sheet4!$A$1:$FE$75,S23+1,FALSE),Sheet4!$A$1:$FE$75,HLOOKUP($W$1,伤害计算器!$AV$28:$BM$30,3,FALSE)+5,FALSE)</f>
        <v>0</v>
      </c>
      <c r="AA23" s="12">
        <f>VLOOKUP(HLOOKUP("普",Sheet4!$A$1:$FE$75,S23+1,FALSE),Sheet4!$A$1:$FE$75,HLOOKUP($W$1,伤害计算器!$AV$28:$BM$30,3,FALSE)+6,FALSE)</f>
        <v>0</v>
      </c>
      <c r="AB23" s="12"/>
      <c r="AC23" s="12"/>
      <c r="AD23" s="12"/>
      <c r="AE23" s="12"/>
      <c r="AF23" s="12"/>
      <c r="AG23" s="12"/>
      <c r="AH23">
        <f>VLOOKUP(HLOOKUP("普",Sheet4!$A$1:$FE$75,S23+1,FALSE),Sheet4!$A$1:$FF$75,HLOOKUP($W$1,伤害计算器!$AV$28:$BM$30,3,FALSE)+7,FALSE)</f>
        <v>0</v>
      </c>
    </row>
    <row r="24" spans="1:34">
      <c r="A24">
        <v>21</v>
      </c>
      <c r="B24" s="8" t="str">
        <f>IF(HLOOKUP(伤害计算器!$D$24,Sheet4!$A$1:$FE$75,A24+1,FALSE)=0," ",HLOOKUP(伤害计算器!$D$24,Sheet4!$A$1:$FE$75,A24+1,FALSE))</f>
        <v>闪耀种子</v>
      </c>
      <c r="C24" s="8" t="str">
        <f>VLOOKUP(HLOOKUP("普",Sheet4!$A$1:$FE$75,A24+1,FALSE),Sheet4!$A$1:$FE$75,HLOOKUP(伤害计算器!$D$24,伤害计算器!$AV$28:$BM$30,3,FALSE),FALSE)</f>
        <v>シードフレア</v>
      </c>
      <c r="D24" s="8" t="str">
        <f>VLOOKUP(HLOOKUP("普",Sheet4!$A$1:$FE$75,A24+1,FALSE),Sheet4!$A$1:$FE$75,HLOOKUP(伤害计算器!$D$24,伤害计算器!$AV$28:$BM$30,3,FALSE)+1,FALSE)</f>
        <v>Seed Flare</v>
      </c>
      <c r="E24" s="8" t="str">
        <f>VLOOKUP(HLOOKUP("普",Sheet4!$A$1:$FE$75,A24+1,FALSE),Sheet4!$A$1:$FE$75,HLOOKUP(伤害计算器!$D$24,伤害计算器!$AV$28:$BM$30,3,FALSE)+2,FALSE)</f>
        <v>特殊</v>
      </c>
      <c r="F24" s="8">
        <f>VLOOKUP(HLOOKUP("普",Sheet4!$A$1:$FE$75,A24+1,FALSE),Sheet4!$A$1:$FE$75,HLOOKUP(伤害计算器!$D$24,伤害计算器!$AV$28:$BM$30,3,FALSE)+3,FALSE)</f>
        <v>120</v>
      </c>
      <c r="G24" s="8">
        <f>VLOOKUP(HLOOKUP("普",Sheet4!$A$1:$FE$75,A24+1,FALSE),Sheet4!$A$1:$FE$75,HLOOKUP(伤害计算器!$D$24,伤害计算器!$AV$28:$BM$30,3,FALSE)+4,FALSE)</f>
        <v>85</v>
      </c>
      <c r="H24" s="11">
        <f>VLOOKUP(HLOOKUP("普",Sheet4!$A$1:$FE$75,A24+1,FALSE),Sheet4!$A$1:$FE$75,HLOOKUP(伤害计算器!$D$24,伤害计算器!$AV$28:$BM$30,3,FALSE)+5,FALSE)</f>
        <v>5</v>
      </c>
      <c r="I24" s="12" t="str">
        <f>VLOOKUP(HLOOKUP("普",Sheet4!$A$1:$FE$75,A24+1,FALSE),Sheet4!$A$1:$FE$75,HLOOKUP(伤害计算器!$D$24,伤害计算器!$AV$28:$BM$30,3,FALSE)+6,FALSE)</f>
        <v>从体内发出冲击波，会降低对手特殊防。</v>
      </c>
      <c r="J24" s="12"/>
      <c r="K24" s="12"/>
      <c r="L24" s="12"/>
      <c r="M24" s="12"/>
      <c r="N24" s="12"/>
      <c r="O24" s="12"/>
      <c r="P24">
        <f>VLOOKUP(HLOOKUP("普",Sheet4!$A$1:$FE$75,A24+1,FALSE),Sheet4!$A$1:$FF$75,HLOOKUP(伤害计算器!$D$24,伤害计算器!$AV$28:$BM$30,3,FALSE)+7,FALSE)</f>
        <v>120</v>
      </c>
      <c r="S24">
        <v>21</v>
      </c>
      <c r="T24" s="8" t="str">
        <f>IF(HLOOKUP($W$1,Sheet4!$A$1:$FE$75,S24+1,FALSE)=0," ",HLOOKUP($W$1,Sheet4!$A$1:$FE$75,S24+1,FALSE))</f>
        <v> </v>
      </c>
      <c r="U24" s="8">
        <f>VLOOKUP(HLOOKUP("普",Sheet4!$A$1:$FE$75,S24+1,FALSE),Sheet4!$A$1:$FE$75,HLOOKUP($W$1,伤害计算器!$AV$28:$BM$30,3,FALSE),FALSE)</f>
        <v>0</v>
      </c>
      <c r="V24" s="8">
        <f>VLOOKUP(HLOOKUP("普",Sheet4!$A$1:$FE$75,S24+1,FALSE),Sheet4!$A$1:$FE$75,HLOOKUP($W$1,伤害计算器!$AV$28:$BM$30,3,FALSE)+1,FALSE)</f>
        <v>0</v>
      </c>
      <c r="W24" s="9">
        <f>VLOOKUP(HLOOKUP("普",Sheet4!$A$1:$FE$75,S24+1,FALSE),Sheet4!$A$1:$FE$75,HLOOKUP($W$1,伤害计算器!$AV$28:$BM$30,3,FALSE)+2,FALSE)</f>
        <v>0</v>
      </c>
      <c r="X24" s="9">
        <f>VLOOKUP(HLOOKUP("普",Sheet4!$A$1:$FE$75,S24+1,FALSE),Sheet4!$A$1:$FE$75,HLOOKUP($W$1,伤害计算器!$AV$28:$BM$30,3,FALSE)+3,FALSE)</f>
        <v>0</v>
      </c>
      <c r="Y24" s="9">
        <f>VLOOKUP(HLOOKUP("普",Sheet4!$A$1:$FE$75,S24+1,FALSE),Sheet4!$A$1:$FE$75,HLOOKUP($W$1,伤害计算器!$AV$28:$BM$30,3,FALSE)+4,FALSE)</f>
        <v>0</v>
      </c>
      <c r="Z24" s="10">
        <f>VLOOKUP(HLOOKUP("普",Sheet4!$A$1:$FE$75,S24+1,FALSE),Sheet4!$A$1:$FE$75,HLOOKUP($W$1,伤害计算器!$AV$28:$BM$30,3,FALSE)+5,FALSE)</f>
        <v>0</v>
      </c>
      <c r="AA24" s="12">
        <f>VLOOKUP(HLOOKUP("普",Sheet4!$A$1:$FE$75,S24+1,FALSE),Sheet4!$A$1:$FE$75,HLOOKUP($W$1,伤害计算器!$AV$28:$BM$30,3,FALSE)+6,FALSE)</f>
        <v>0</v>
      </c>
      <c r="AB24" s="12"/>
      <c r="AC24" s="12"/>
      <c r="AD24" s="12"/>
      <c r="AE24" s="12"/>
      <c r="AF24" s="12"/>
      <c r="AG24" s="12"/>
      <c r="AH24">
        <f>VLOOKUP(HLOOKUP("普",Sheet4!$A$1:$FE$75,S24+1,FALSE),Sheet4!$A$1:$FF$75,HLOOKUP($W$1,伤害计算器!$AV$28:$BM$30,3,FALSE)+7,FALSE)</f>
        <v>0</v>
      </c>
    </row>
    <row r="25" spans="1:34">
      <c r="A25">
        <v>22</v>
      </c>
      <c r="B25" s="8" t="str">
        <f>IF(HLOOKUP(伤害计算器!$D$24,Sheet4!$A$1:$FE$75,A25+1,FALSE)=0," ",HLOOKUP(伤害计算器!$D$24,Sheet4!$A$1:$FE$75,A25+1,FALSE))</f>
        <v>飞叶风暴</v>
      </c>
      <c r="C25" s="8" t="str">
        <f>VLOOKUP(HLOOKUP("普",Sheet4!$A$1:$FE$75,A25+1,FALSE),Sheet4!$A$1:$FE$75,HLOOKUP(伤害计算器!$D$24,伤害计算器!$AV$28:$BM$30,3,FALSE),FALSE)</f>
        <v>リーフストーム</v>
      </c>
      <c r="D25" s="8" t="str">
        <f>VLOOKUP(HLOOKUP("普",Sheet4!$A$1:$FE$75,A25+1,FALSE),Sheet4!$A$1:$FE$75,HLOOKUP(伤害计算器!$D$24,伤害计算器!$AV$28:$BM$30,3,FALSE)+1,FALSE)</f>
        <v>Leaf Storm</v>
      </c>
      <c r="E25" s="8" t="str">
        <f>VLOOKUP(HLOOKUP("普",Sheet4!$A$1:$FE$75,A25+1,FALSE),Sheet4!$A$1:$FE$75,HLOOKUP(伤害计算器!$D$24,伤害计算器!$AV$28:$BM$30,3,FALSE)+2,FALSE)</f>
        <v>特殊</v>
      </c>
      <c r="F25" s="8">
        <f>VLOOKUP(HLOOKUP("普",Sheet4!$A$1:$FE$75,A25+1,FALSE),Sheet4!$A$1:$FE$75,HLOOKUP(伤害计算器!$D$24,伤害计算器!$AV$28:$BM$30,3,FALSE)+3,FALSE)</f>
        <v>130</v>
      </c>
      <c r="G25" s="8">
        <f>VLOOKUP(HLOOKUP("普",Sheet4!$A$1:$FE$75,A25+1,FALSE),Sheet4!$A$1:$FE$75,HLOOKUP(伤害计算器!$D$24,伤害计算器!$AV$28:$BM$30,3,FALSE)+4,FALSE)</f>
        <v>90</v>
      </c>
      <c r="H25" s="11">
        <f>VLOOKUP(HLOOKUP("普",Sheet4!$A$1:$FE$75,A25+1,FALSE),Sheet4!$A$1:$FE$75,HLOOKUP(伤害计算器!$D$24,伤害计算器!$AV$28:$BM$30,3,FALSE)+5,FALSE)</f>
        <v>5</v>
      </c>
      <c r="I25" s="12" t="str">
        <f>VLOOKUP(HLOOKUP("普",Sheet4!$A$1:$FE$75,A25+1,FALSE),Sheet4!$A$1:$FE$75,HLOOKUP(伤害计算器!$D$24,伤害计算器!$AV$28:$BM$30,3,FALSE)+6,FALSE)</f>
        <v>用尖锐的叶子制造风暴，使用后的副作用会大幅降低自身特殊攻。</v>
      </c>
      <c r="J25" s="12"/>
      <c r="K25" s="12"/>
      <c r="L25" s="12"/>
      <c r="M25" s="12"/>
      <c r="N25" s="12"/>
      <c r="O25" s="12"/>
      <c r="P25">
        <f>VLOOKUP(HLOOKUP("普",Sheet4!$A$1:$FE$75,A25+1,FALSE),Sheet4!$A$1:$FF$75,HLOOKUP(伤害计算器!$D$24,伤害计算器!$AV$28:$BM$30,3,FALSE)+7,FALSE)</f>
        <v>130</v>
      </c>
      <c r="S25">
        <v>22</v>
      </c>
      <c r="T25" s="8" t="str">
        <f>IF(HLOOKUP($W$1,Sheet4!$A$1:$FE$75,S25+1,FALSE)=0," ",HLOOKUP($W$1,Sheet4!$A$1:$FE$75,S25+1,FALSE))</f>
        <v> </v>
      </c>
      <c r="U25" s="8">
        <f>VLOOKUP(HLOOKUP("普",Sheet4!$A$1:$FE$75,S25+1,FALSE),Sheet4!$A$1:$FE$75,HLOOKUP($W$1,伤害计算器!$AV$28:$BM$30,3,FALSE),FALSE)</f>
        <v>0</v>
      </c>
      <c r="V25" s="8">
        <f>VLOOKUP(HLOOKUP("普",Sheet4!$A$1:$FE$75,S25+1,FALSE),Sheet4!$A$1:$FE$75,HLOOKUP($W$1,伤害计算器!$AV$28:$BM$30,3,FALSE)+1,FALSE)</f>
        <v>0</v>
      </c>
      <c r="W25" s="9">
        <f>VLOOKUP(HLOOKUP("普",Sheet4!$A$1:$FE$75,S25+1,FALSE),Sheet4!$A$1:$FE$75,HLOOKUP($W$1,伤害计算器!$AV$28:$BM$30,3,FALSE)+2,FALSE)</f>
        <v>0</v>
      </c>
      <c r="X25" s="9">
        <f>VLOOKUP(HLOOKUP("普",Sheet4!$A$1:$FE$75,S25+1,FALSE),Sheet4!$A$1:$FE$75,HLOOKUP($W$1,伤害计算器!$AV$28:$BM$30,3,FALSE)+3,FALSE)</f>
        <v>0</v>
      </c>
      <c r="Y25" s="9">
        <f>VLOOKUP(HLOOKUP("普",Sheet4!$A$1:$FE$75,S25+1,FALSE),Sheet4!$A$1:$FE$75,HLOOKUP($W$1,伤害计算器!$AV$28:$BM$30,3,FALSE)+4,FALSE)</f>
        <v>0</v>
      </c>
      <c r="Z25" s="10">
        <f>VLOOKUP(HLOOKUP("普",Sheet4!$A$1:$FE$75,S25+1,FALSE),Sheet4!$A$1:$FE$75,HLOOKUP($W$1,伤害计算器!$AV$28:$BM$30,3,FALSE)+5,FALSE)</f>
        <v>0</v>
      </c>
      <c r="AA25" s="12">
        <f>VLOOKUP(HLOOKUP("普",Sheet4!$A$1:$FE$75,S25+1,FALSE),Sheet4!$A$1:$FE$75,HLOOKUP($W$1,伤害计算器!$AV$28:$BM$30,3,FALSE)+6,FALSE)</f>
        <v>0</v>
      </c>
      <c r="AB25" s="12"/>
      <c r="AC25" s="12"/>
      <c r="AD25" s="12"/>
      <c r="AE25" s="12"/>
      <c r="AF25" s="12"/>
      <c r="AG25" s="12"/>
      <c r="AH25">
        <f>VLOOKUP(HLOOKUP("普",Sheet4!$A$1:$FE$75,S25+1,FALSE),Sheet4!$A$1:$FF$75,HLOOKUP($W$1,伤害计算器!$AV$28:$BM$30,3,FALSE)+7,FALSE)</f>
        <v>0</v>
      </c>
    </row>
    <row r="26" spans="1:34">
      <c r="A26">
        <v>23</v>
      </c>
      <c r="B26" s="8" t="str">
        <f>IF(HLOOKUP(伤害计算器!$D$24,Sheet4!$A$1:$FE$75,A26+1,FALSE)=0," ",HLOOKUP(伤害计算器!$D$24,Sheet4!$A$1:$FE$75,A26+1,FALSE))</f>
        <v>硬化植物理</v>
      </c>
      <c r="C26" s="8" t="str">
        <f>VLOOKUP(HLOOKUP("普",Sheet4!$A$1:$FE$75,A26+1,FALSE),Sheet4!$A$1:$FE$75,HLOOKUP(伤害计算器!$D$24,伤害计算器!$AV$28:$BM$30,3,FALSE),FALSE)</f>
        <v>ハードプラント</v>
      </c>
      <c r="D26" s="8" t="str">
        <f>VLOOKUP(HLOOKUP("普",Sheet4!$A$1:$FE$75,A26+1,FALSE),Sheet4!$A$1:$FE$75,HLOOKUP(伤害计算器!$D$24,伤害计算器!$AV$28:$BM$30,3,FALSE)+1,FALSE)</f>
        <v>Frenzy Plant</v>
      </c>
      <c r="E26" s="8" t="str">
        <f>VLOOKUP(HLOOKUP("普",Sheet4!$A$1:$FE$75,A26+1,FALSE),Sheet4!$A$1:$FE$75,HLOOKUP(伤害计算器!$D$24,伤害计算器!$AV$28:$BM$30,3,FALSE)+2,FALSE)</f>
        <v>特殊</v>
      </c>
      <c r="F26" s="8">
        <f>VLOOKUP(HLOOKUP("普",Sheet4!$A$1:$FE$75,A26+1,FALSE),Sheet4!$A$1:$FE$75,HLOOKUP(伤害计算器!$D$24,伤害计算器!$AV$28:$BM$30,3,FALSE)+3,FALSE)</f>
        <v>150</v>
      </c>
      <c r="G26" s="8">
        <f>VLOOKUP(HLOOKUP("普",Sheet4!$A$1:$FE$75,A26+1,FALSE),Sheet4!$A$1:$FE$75,HLOOKUP(伤害计算器!$D$24,伤害计算器!$AV$28:$BM$30,3,FALSE)+4,FALSE)</f>
        <v>90</v>
      </c>
      <c r="H26" s="11">
        <f>VLOOKUP(HLOOKUP("普",Sheet4!$A$1:$FE$75,A26+1,FALSE),Sheet4!$A$1:$FE$75,HLOOKUP(伤害计算器!$D$24,伤害计算器!$AV$28:$BM$30,3,FALSE)+5,FALSE)</f>
        <v>5</v>
      </c>
      <c r="I26" s="12" t="str">
        <f>VLOOKUP(HLOOKUP("普",Sheet4!$A$1:$FE$75,A26+1,FALSE),Sheet4!$A$1:$FE$75,HLOOKUP(伤害计算器!$D$24,伤害计算器!$AV$28:$BM$30,3,FALSE)+6,FALSE)</f>
        <v>用巨大的树木拍击对手，下回合不能行动。</v>
      </c>
      <c r="J26" s="12"/>
      <c r="K26" s="12"/>
      <c r="L26" s="12"/>
      <c r="M26" s="12"/>
      <c r="N26" s="12"/>
      <c r="O26" s="12"/>
      <c r="P26">
        <f>VLOOKUP(HLOOKUP("普",Sheet4!$A$1:$FE$75,A26+1,FALSE),Sheet4!$A$1:$FF$75,HLOOKUP(伤害计算器!$D$24,伤害计算器!$AV$28:$BM$30,3,FALSE)+7,FALSE)</f>
        <v>150</v>
      </c>
      <c r="S26">
        <v>23</v>
      </c>
      <c r="T26" s="8" t="str">
        <f>IF(HLOOKUP($W$1,Sheet4!$A$1:$FE$75,S26+1,FALSE)=0," ",HLOOKUP($W$1,Sheet4!$A$1:$FE$75,S26+1,FALSE))</f>
        <v> </v>
      </c>
      <c r="U26" s="8">
        <f>VLOOKUP(HLOOKUP("普",Sheet4!$A$1:$FE$75,S26+1,FALSE),Sheet4!$A$1:$FE$75,HLOOKUP($W$1,伤害计算器!$AV$28:$BM$30,3,FALSE),FALSE)</f>
        <v>0</v>
      </c>
      <c r="V26" s="8">
        <f>VLOOKUP(HLOOKUP("普",Sheet4!$A$1:$FE$75,S26+1,FALSE),Sheet4!$A$1:$FE$75,HLOOKUP($W$1,伤害计算器!$AV$28:$BM$30,3,FALSE)+1,FALSE)</f>
        <v>0</v>
      </c>
      <c r="W26" s="9">
        <f>VLOOKUP(HLOOKUP("普",Sheet4!$A$1:$FE$75,S26+1,FALSE),Sheet4!$A$1:$FE$75,HLOOKUP($W$1,伤害计算器!$AV$28:$BM$30,3,FALSE)+2,FALSE)</f>
        <v>0</v>
      </c>
      <c r="X26" s="9">
        <f>VLOOKUP(HLOOKUP("普",Sheet4!$A$1:$FE$75,S26+1,FALSE),Sheet4!$A$1:$FE$75,HLOOKUP($W$1,伤害计算器!$AV$28:$BM$30,3,FALSE)+3,FALSE)</f>
        <v>0</v>
      </c>
      <c r="Y26" s="9">
        <f>VLOOKUP(HLOOKUP("普",Sheet4!$A$1:$FE$75,S26+1,FALSE),Sheet4!$A$1:$FE$75,HLOOKUP($W$1,伤害计算器!$AV$28:$BM$30,3,FALSE)+4,FALSE)</f>
        <v>0</v>
      </c>
      <c r="Z26" s="10">
        <f>VLOOKUP(HLOOKUP("普",Sheet4!$A$1:$FE$75,S26+1,FALSE),Sheet4!$A$1:$FE$75,HLOOKUP($W$1,伤害计算器!$AV$28:$BM$30,3,FALSE)+5,FALSE)</f>
        <v>0</v>
      </c>
      <c r="AA26" s="12">
        <f>VLOOKUP(HLOOKUP("普",Sheet4!$A$1:$FE$75,S26+1,FALSE),Sheet4!$A$1:$FE$75,HLOOKUP($W$1,伤害计算器!$AV$28:$BM$30,3,FALSE)+6,FALSE)</f>
        <v>0</v>
      </c>
      <c r="AB26" s="12"/>
      <c r="AC26" s="12"/>
      <c r="AD26" s="12"/>
      <c r="AE26" s="12"/>
      <c r="AF26" s="12"/>
      <c r="AG26" s="12"/>
      <c r="AH26">
        <f>VLOOKUP(HLOOKUP("普",Sheet4!$A$1:$FE$75,S26+1,FALSE),Sheet4!$A$1:$FF$75,HLOOKUP($W$1,伤害计算器!$AV$28:$BM$30,3,FALSE)+7,FALSE)</f>
        <v>0</v>
      </c>
    </row>
    <row r="27" spans="1:34">
      <c r="A27">
        <v>24</v>
      </c>
      <c r="B27" s="8" t="str">
        <f>IF(HLOOKUP(伤害计算器!$D$24,Sheet4!$A$1:$FE$75,A27+1,FALSE)=0," ",HLOOKUP(伤害计算器!$D$24,Sheet4!$A$1:$FE$75,A27+1,FALSE))</f>
        <v> </v>
      </c>
      <c r="C27" s="8">
        <f>VLOOKUP(HLOOKUP("普",Sheet4!$A$1:$FE$75,A27+1,FALSE),Sheet4!$A$1:$FE$75,HLOOKUP(伤害计算器!$D$24,伤害计算器!$AV$28:$BM$30,3,FALSE),FALSE)</f>
        <v>0</v>
      </c>
      <c r="D27" s="8">
        <f>VLOOKUP(HLOOKUP("普",Sheet4!$A$1:$FE$75,A27+1,FALSE),Sheet4!$A$1:$FE$75,HLOOKUP(伤害计算器!$D$24,伤害计算器!$AV$28:$BM$30,3,FALSE)+1,FALSE)</f>
        <v>0</v>
      </c>
      <c r="E27" s="8">
        <f>VLOOKUP(HLOOKUP("普",Sheet4!$A$1:$FE$75,A27+1,FALSE),Sheet4!$A$1:$FE$75,HLOOKUP(伤害计算器!$D$24,伤害计算器!$AV$28:$BM$30,3,FALSE)+2,FALSE)</f>
        <v>0</v>
      </c>
      <c r="F27" s="8">
        <f>VLOOKUP(HLOOKUP("普",Sheet4!$A$1:$FE$75,A27+1,FALSE),Sheet4!$A$1:$FE$75,HLOOKUP(伤害计算器!$D$24,伤害计算器!$AV$28:$BM$30,3,FALSE)+3,FALSE)</f>
        <v>0</v>
      </c>
      <c r="G27" s="8">
        <f>VLOOKUP(HLOOKUP("普",Sheet4!$A$1:$FE$75,A27+1,FALSE),Sheet4!$A$1:$FE$75,HLOOKUP(伤害计算器!$D$24,伤害计算器!$AV$28:$BM$30,3,FALSE)+4,FALSE)</f>
        <v>0</v>
      </c>
      <c r="H27" s="11">
        <f>VLOOKUP(HLOOKUP("普",Sheet4!$A$1:$FE$75,A27+1,FALSE),Sheet4!$A$1:$FE$75,HLOOKUP(伤害计算器!$D$24,伤害计算器!$AV$28:$BM$30,3,FALSE)+5,FALSE)</f>
        <v>0</v>
      </c>
      <c r="I27" s="12">
        <f>VLOOKUP(HLOOKUP("普",Sheet4!$A$1:$FE$75,A27+1,FALSE),Sheet4!$A$1:$FE$75,HLOOKUP(伤害计算器!$D$24,伤害计算器!$AV$28:$BM$30,3,FALSE)+6,FALSE)</f>
        <v>0</v>
      </c>
      <c r="J27" s="12"/>
      <c r="K27" s="12"/>
      <c r="L27" s="12"/>
      <c r="M27" s="12"/>
      <c r="N27" s="12"/>
      <c r="O27" s="12"/>
      <c r="P27">
        <f>VLOOKUP(HLOOKUP("普",Sheet4!$A$1:$FE$75,A27+1,FALSE),Sheet4!$A$1:$FF$75,HLOOKUP(伤害计算器!$D$24,伤害计算器!$AV$28:$BM$30,3,FALSE)+7,FALSE)</f>
        <v>0</v>
      </c>
      <c r="S27">
        <v>24</v>
      </c>
      <c r="T27" s="8" t="str">
        <f>IF(HLOOKUP($W$1,Sheet4!$A$1:$FE$75,S27+1,FALSE)=0," ",HLOOKUP($W$1,Sheet4!$A$1:$FE$75,S27+1,FALSE))</f>
        <v> </v>
      </c>
      <c r="U27" s="8">
        <f>VLOOKUP(HLOOKUP("普",Sheet4!$A$1:$FE$75,S27+1,FALSE),Sheet4!$A$1:$FE$75,HLOOKUP($W$1,伤害计算器!$AV$28:$BM$30,3,FALSE),FALSE)</f>
        <v>0</v>
      </c>
      <c r="V27" s="8">
        <f>VLOOKUP(HLOOKUP("普",Sheet4!$A$1:$FE$75,S27+1,FALSE),Sheet4!$A$1:$FE$75,HLOOKUP($W$1,伤害计算器!$AV$28:$BM$30,3,FALSE)+1,FALSE)</f>
        <v>0</v>
      </c>
      <c r="W27" s="9">
        <f>VLOOKUP(HLOOKUP("普",Sheet4!$A$1:$FE$75,S27+1,FALSE),Sheet4!$A$1:$FE$75,HLOOKUP($W$1,伤害计算器!$AV$28:$BM$30,3,FALSE)+2,FALSE)</f>
        <v>0</v>
      </c>
      <c r="X27" s="9">
        <f>VLOOKUP(HLOOKUP("普",Sheet4!$A$1:$FE$75,S27+1,FALSE),Sheet4!$A$1:$FE$75,HLOOKUP($W$1,伤害计算器!$AV$28:$BM$30,3,FALSE)+3,FALSE)</f>
        <v>0</v>
      </c>
      <c r="Y27" s="9">
        <f>VLOOKUP(HLOOKUP("普",Sheet4!$A$1:$FE$75,S27+1,FALSE),Sheet4!$A$1:$FE$75,HLOOKUP($W$1,伤害计算器!$AV$28:$BM$30,3,FALSE)+4,FALSE)</f>
        <v>0</v>
      </c>
      <c r="Z27" s="10">
        <f>VLOOKUP(HLOOKUP("普",Sheet4!$A$1:$FE$75,S27+1,FALSE),Sheet4!$A$1:$FE$75,HLOOKUP($W$1,伤害计算器!$AV$28:$BM$30,3,FALSE)+5,FALSE)</f>
        <v>0</v>
      </c>
      <c r="AA27" s="12">
        <f>VLOOKUP(HLOOKUP("普",Sheet4!$A$1:$FE$75,S27+1,FALSE),Sheet4!$A$1:$FE$75,HLOOKUP($W$1,伤害计算器!$AV$28:$BM$30,3,FALSE)+6,FALSE)</f>
        <v>0</v>
      </c>
      <c r="AB27" s="12"/>
      <c r="AC27" s="12"/>
      <c r="AD27" s="12"/>
      <c r="AE27" s="12"/>
      <c r="AF27" s="12"/>
      <c r="AG27" s="12"/>
      <c r="AH27">
        <f>VLOOKUP(HLOOKUP("普",Sheet4!$A$1:$FE$75,S27+1,FALSE),Sheet4!$A$1:$FF$75,HLOOKUP($W$1,伤害计算器!$AV$28:$BM$30,3,FALSE)+7,FALSE)</f>
        <v>0</v>
      </c>
    </row>
    <row r="28" spans="1:34">
      <c r="A28">
        <v>25</v>
      </c>
      <c r="B28" s="8" t="str">
        <f>IF(HLOOKUP(伤害计算器!$D$24,Sheet4!$A$1:$FE$75,A28+1,FALSE)=0," ",HLOOKUP(伤害计算器!$D$24,Sheet4!$A$1:$FE$75,A28+1,FALSE))</f>
        <v> </v>
      </c>
      <c r="C28" s="8">
        <f>VLOOKUP(HLOOKUP("普",Sheet4!$A$1:$FE$75,A28+1,FALSE),Sheet4!$A$1:$FE$75,HLOOKUP(伤害计算器!$D$24,伤害计算器!$AV$28:$BM$30,3,FALSE),FALSE)</f>
        <v>0</v>
      </c>
      <c r="D28" s="8">
        <f>VLOOKUP(HLOOKUP("普",Sheet4!$A$1:$FE$75,A28+1,FALSE),Sheet4!$A$1:$FE$75,HLOOKUP(伤害计算器!$D$24,伤害计算器!$AV$28:$BM$30,3,FALSE)+1,FALSE)</f>
        <v>0</v>
      </c>
      <c r="E28" s="8">
        <f>VLOOKUP(HLOOKUP("普",Sheet4!$A$1:$FE$75,A28+1,FALSE),Sheet4!$A$1:$FE$75,HLOOKUP(伤害计算器!$D$24,伤害计算器!$AV$28:$BM$30,3,FALSE)+2,FALSE)</f>
        <v>0</v>
      </c>
      <c r="F28" s="8">
        <f>VLOOKUP(HLOOKUP("普",Sheet4!$A$1:$FE$75,A28+1,FALSE),Sheet4!$A$1:$FE$75,HLOOKUP(伤害计算器!$D$24,伤害计算器!$AV$28:$BM$30,3,FALSE)+3,FALSE)</f>
        <v>0</v>
      </c>
      <c r="G28" s="8">
        <f>VLOOKUP(HLOOKUP("普",Sheet4!$A$1:$FE$75,A28+1,FALSE),Sheet4!$A$1:$FE$75,HLOOKUP(伤害计算器!$D$24,伤害计算器!$AV$28:$BM$30,3,FALSE)+4,FALSE)</f>
        <v>0</v>
      </c>
      <c r="H28" s="11">
        <f>VLOOKUP(HLOOKUP("普",Sheet4!$A$1:$FE$75,A28+1,FALSE),Sheet4!$A$1:$FE$75,HLOOKUP(伤害计算器!$D$24,伤害计算器!$AV$28:$BM$30,3,FALSE)+5,FALSE)</f>
        <v>0</v>
      </c>
      <c r="I28" s="12">
        <f>VLOOKUP(HLOOKUP("普",Sheet4!$A$1:$FE$75,A28+1,FALSE),Sheet4!$A$1:$FE$75,HLOOKUP(伤害计算器!$D$24,伤害计算器!$AV$28:$BM$30,3,FALSE)+6,FALSE)</f>
        <v>0</v>
      </c>
      <c r="J28" s="12"/>
      <c r="K28" s="12"/>
      <c r="L28" s="12"/>
      <c r="M28" s="12"/>
      <c r="N28" s="12"/>
      <c r="O28" s="12"/>
      <c r="P28">
        <f>VLOOKUP(HLOOKUP("普",Sheet4!$A$1:$FE$75,A28+1,FALSE),Sheet4!$A$1:$FF$75,HLOOKUP(伤害计算器!$D$24,伤害计算器!$AV$28:$BM$30,3,FALSE)+7,FALSE)</f>
        <v>0</v>
      </c>
      <c r="S28">
        <v>25</v>
      </c>
      <c r="T28" s="8" t="str">
        <f>IF(HLOOKUP($W$1,Sheet4!$A$1:$FE$75,S28+1,FALSE)=0," ",HLOOKUP($W$1,Sheet4!$A$1:$FE$75,S28+1,FALSE))</f>
        <v> </v>
      </c>
      <c r="U28" s="8">
        <f>VLOOKUP(HLOOKUP("普",Sheet4!$A$1:$FE$75,S28+1,FALSE),Sheet4!$A$1:$FE$75,HLOOKUP($W$1,伤害计算器!$AV$28:$BM$30,3,FALSE),FALSE)</f>
        <v>0</v>
      </c>
      <c r="V28" s="8">
        <f>VLOOKUP(HLOOKUP("普",Sheet4!$A$1:$FE$75,S28+1,FALSE),Sheet4!$A$1:$FE$75,HLOOKUP($W$1,伤害计算器!$AV$28:$BM$30,3,FALSE)+1,FALSE)</f>
        <v>0</v>
      </c>
      <c r="W28" s="9">
        <f>VLOOKUP(HLOOKUP("普",Sheet4!$A$1:$FE$75,S28+1,FALSE),Sheet4!$A$1:$FE$75,HLOOKUP($W$1,伤害计算器!$AV$28:$BM$30,3,FALSE)+2,FALSE)</f>
        <v>0</v>
      </c>
      <c r="X28" s="9">
        <f>VLOOKUP(HLOOKUP("普",Sheet4!$A$1:$FE$75,S28+1,FALSE),Sheet4!$A$1:$FE$75,HLOOKUP($W$1,伤害计算器!$AV$28:$BM$30,3,FALSE)+3,FALSE)</f>
        <v>0</v>
      </c>
      <c r="Y28" s="9">
        <f>VLOOKUP(HLOOKUP("普",Sheet4!$A$1:$FE$75,S28+1,FALSE),Sheet4!$A$1:$FE$75,HLOOKUP($W$1,伤害计算器!$AV$28:$BM$30,3,FALSE)+4,FALSE)</f>
        <v>0</v>
      </c>
      <c r="Z28" s="10">
        <f>VLOOKUP(HLOOKUP("普",Sheet4!$A$1:$FE$75,S28+1,FALSE),Sheet4!$A$1:$FE$75,HLOOKUP($W$1,伤害计算器!$AV$28:$BM$30,3,FALSE)+5,FALSE)</f>
        <v>0</v>
      </c>
      <c r="AA28" s="12">
        <f>VLOOKUP(HLOOKUP("普",Sheet4!$A$1:$FE$75,S28+1,FALSE),Sheet4!$A$1:$FE$75,HLOOKUP($W$1,伤害计算器!$AV$28:$BM$30,3,FALSE)+6,FALSE)</f>
        <v>0</v>
      </c>
      <c r="AB28" s="12"/>
      <c r="AC28" s="12"/>
      <c r="AD28" s="12"/>
      <c r="AE28" s="12"/>
      <c r="AF28" s="12"/>
      <c r="AG28" s="12"/>
      <c r="AH28">
        <f>VLOOKUP(HLOOKUP("普",Sheet4!$A$1:$FE$75,S28+1,FALSE),Sheet4!$A$1:$FF$75,HLOOKUP($W$1,伤害计算器!$AV$28:$BM$30,3,FALSE)+7,FALSE)</f>
        <v>0</v>
      </c>
    </row>
    <row r="29" spans="1:34">
      <c r="A29">
        <v>26</v>
      </c>
      <c r="B29" s="8" t="str">
        <f>IF(HLOOKUP(伤害计算器!$D$24,Sheet4!$A$1:$FE$75,A29+1,FALSE)=0," ",HLOOKUP(伤害计算器!$D$24,Sheet4!$A$1:$FE$75,A29+1,FALSE))</f>
        <v> </v>
      </c>
      <c r="C29" s="8">
        <f>VLOOKUP(HLOOKUP("普",Sheet4!$A$1:$FE$75,A29+1,FALSE),Sheet4!$A$1:$FE$75,HLOOKUP(伤害计算器!$D$24,伤害计算器!$AV$28:$BM$30,3,FALSE),FALSE)</f>
        <v>0</v>
      </c>
      <c r="D29" s="8">
        <f>VLOOKUP(HLOOKUP("普",Sheet4!$A$1:$FE$75,A29+1,FALSE),Sheet4!$A$1:$FE$75,HLOOKUP(伤害计算器!$D$24,伤害计算器!$AV$28:$BM$30,3,FALSE)+1,FALSE)</f>
        <v>0</v>
      </c>
      <c r="E29" s="8">
        <f>VLOOKUP(HLOOKUP("普",Sheet4!$A$1:$FE$75,A29+1,FALSE),Sheet4!$A$1:$FE$75,HLOOKUP(伤害计算器!$D$24,伤害计算器!$AV$28:$BM$30,3,FALSE)+2,FALSE)</f>
        <v>0</v>
      </c>
      <c r="F29" s="8">
        <f>VLOOKUP(HLOOKUP("普",Sheet4!$A$1:$FE$75,A29+1,FALSE),Sheet4!$A$1:$FE$75,HLOOKUP(伤害计算器!$D$24,伤害计算器!$AV$28:$BM$30,3,FALSE)+3,FALSE)</f>
        <v>0</v>
      </c>
      <c r="G29" s="8">
        <f>VLOOKUP(HLOOKUP("普",Sheet4!$A$1:$FE$75,A29+1,FALSE),Sheet4!$A$1:$FE$75,HLOOKUP(伤害计算器!$D$24,伤害计算器!$AV$28:$BM$30,3,FALSE)+4,FALSE)</f>
        <v>0</v>
      </c>
      <c r="H29" s="11">
        <f>VLOOKUP(HLOOKUP("普",Sheet4!$A$1:$FE$75,A29+1,FALSE),Sheet4!$A$1:$FE$75,HLOOKUP(伤害计算器!$D$24,伤害计算器!$AV$28:$BM$30,3,FALSE)+5,FALSE)</f>
        <v>0</v>
      </c>
      <c r="I29" s="12">
        <f>VLOOKUP(HLOOKUP("普",Sheet4!$A$1:$FE$75,A29+1,FALSE),Sheet4!$A$1:$FE$75,HLOOKUP(伤害计算器!$D$24,伤害计算器!$AV$28:$BM$30,3,FALSE)+6,FALSE)</f>
        <v>0</v>
      </c>
      <c r="J29" s="12"/>
      <c r="K29" s="12"/>
      <c r="L29" s="12"/>
      <c r="M29" s="12"/>
      <c r="N29" s="12"/>
      <c r="O29" s="12"/>
      <c r="P29">
        <f>VLOOKUP(HLOOKUP("普",Sheet4!$A$1:$FE$75,A29+1,FALSE),Sheet4!$A$1:$FF$75,HLOOKUP(伤害计算器!$D$24,伤害计算器!$AV$28:$BM$30,3,FALSE)+7,FALSE)</f>
        <v>0</v>
      </c>
      <c r="S29">
        <v>26</v>
      </c>
      <c r="T29" s="8" t="str">
        <f>IF(HLOOKUP($W$1,Sheet4!$A$1:$FE$75,S29+1,FALSE)=0," ",HLOOKUP($W$1,Sheet4!$A$1:$FE$75,S29+1,FALSE))</f>
        <v> </v>
      </c>
      <c r="U29" s="8">
        <f>VLOOKUP(HLOOKUP("普",Sheet4!$A$1:$FE$75,S29+1,FALSE),Sheet4!$A$1:$FE$75,HLOOKUP($W$1,伤害计算器!$AV$28:$BM$30,3,FALSE),FALSE)</f>
        <v>0</v>
      </c>
      <c r="V29" s="8">
        <f>VLOOKUP(HLOOKUP("普",Sheet4!$A$1:$FE$75,S29+1,FALSE),Sheet4!$A$1:$FE$75,HLOOKUP($W$1,伤害计算器!$AV$28:$BM$30,3,FALSE)+1,FALSE)</f>
        <v>0</v>
      </c>
      <c r="W29" s="9">
        <f>VLOOKUP(HLOOKUP("普",Sheet4!$A$1:$FE$75,S29+1,FALSE),Sheet4!$A$1:$FE$75,HLOOKUP($W$1,伤害计算器!$AV$28:$BM$30,3,FALSE)+2,FALSE)</f>
        <v>0</v>
      </c>
      <c r="X29" s="9">
        <f>VLOOKUP(HLOOKUP("普",Sheet4!$A$1:$FE$75,S29+1,FALSE),Sheet4!$A$1:$FE$75,HLOOKUP($W$1,伤害计算器!$AV$28:$BM$30,3,FALSE)+3,FALSE)</f>
        <v>0</v>
      </c>
      <c r="Y29" s="9">
        <f>VLOOKUP(HLOOKUP("普",Sheet4!$A$1:$FE$75,S29+1,FALSE),Sheet4!$A$1:$FE$75,HLOOKUP($W$1,伤害计算器!$AV$28:$BM$30,3,FALSE)+4,FALSE)</f>
        <v>0</v>
      </c>
      <c r="Z29" s="10">
        <f>VLOOKUP(HLOOKUP("普",Sheet4!$A$1:$FE$75,S29+1,FALSE),Sheet4!$A$1:$FE$75,HLOOKUP($W$1,伤害计算器!$AV$28:$BM$30,3,FALSE)+5,FALSE)</f>
        <v>0</v>
      </c>
      <c r="AA29" s="12">
        <f>VLOOKUP(HLOOKUP("普",Sheet4!$A$1:$FE$75,S29+1,FALSE),Sheet4!$A$1:$FE$75,HLOOKUP($W$1,伤害计算器!$AV$28:$BM$30,3,FALSE)+6,FALSE)</f>
        <v>0</v>
      </c>
      <c r="AB29" s="12"/>
      <c r="AC29" s="12"/>
      <c r="AD29" s="12"/>
      <c r="AE29" s="12"/>
      <c r="AF29" s="12"/>
      <c r="AG29" s="12"/>
      <c r="AH29">
        <f>VLOOKUP(HLOOKUP("普",Sheet4!$A$1:$FE$75,S29+1,FALSE),Sheet4!$A$1:$FF$75,HLOOKUP($W$1,伤害计算器!$AV$28:$BM$30,3,FALSE)+7,FALSE)</f>
        <v>0</v>
      </c>
    </row>
    <row r="30" spans="1:34">
      <c r="A30">
        <v>27</v>
      </c>
      <c r="B30" s="8" t="str">
        <f>IF(HLOOKUP(伤害计算器!$D$24,Sheet4!$A$1:$FE$75,A30+1,FALSE)=0," ",HLOOKUP(伤害计算器!$D$24,Sheet4!$A$1:$FE$75,A30+1,FALSE))</f>
        <v> </v>
      </c>
      <c r="C30" s="8">
        <f>VLOOKUP(HLOOKUP("普",Sheet4!$A$1:$FE$75,A30+1,FALSE),Sheet4!$A$1:$FE$75,HLOOKUP(伤害计算器!$D$24,伤害计算器!$AV$28:$BM$30,3,FALSE),FALSE)</f>
        <v>0</v>
      </c>
      <c r="D30" s="8">
        <f>VLOOKUP(HLOOKUP("普",Sheet4!$A$1:$FE$75,A30+1,FALSE),Sheet4!$A$1:$FE$75,HLOOKUP(伤害计算器!$D$24,伤害计算器!$AV$28:$BM$30,3,FALSE)+1,FALSE)</f>
        <v>0</v>
      </c>
      <c r="E30" s="8">
        <f>VLOOKUP(HLOOKUP("普",Sheet4!$A$1:$FE$75,A30+1,FALSE),Sheet4!$A$1:$FE$75,HLOOKUP(伤害计算器!$D$24,伤害计算器!$AV$28:$BM$30,3,FALSE)+2,FALSE)</f>
        <v>0</v>
      </c>
      <c r="F30" s="8">
        <f>VLOOKUP(HLOOKUP("普",Sheet4!$A$1:$FE$75,A30+1,FALSE),Sheet4!$A$1:$FE$75,HLOOKUP(伤害计算器!$D$24,伤害计算器!$AV$28:$BM$30,3,FALSE)+3,FALSE)</f>
        <v>0</v>
      </c>
      <c r="G30" s="8">
        <f>VLOOKUP(HLOOKUP("普",Sheet4!$A$1:$FE$75,A30+1,FALSE),Sheet4!$A$1:$FE$75,HLOOKUP(伤害计算器!$D$24,伤害计算器!$AV$28:$BM$30,3,FALSE)+4,FALSE)</f>
        <v>0</v>
      </c>
      <c r="H30" s="11">
        <f>VLOOKUP(HLOOKUP("普",Sheet4!$A$1:$FE$75,A30+1,FALSE),Sheet4!$A$1:$FE$75,HLOOKUP(伤害计算器!$D$24,伤害计算器!$AV$28:$BM$30,3,FALSE)+5,FALSE)</f>
        <v>0</v>
      </c>
      <c r="I30" s="12">
        <f>VLOOKUP(HLOOKUP("普",Sheet4!$A$1:$FE$75,A30+1,FALSE),Sheet4!$A$1:$FE$75,HLOOKUP(伤害计算器!$D$24,伤害计算器!$AV$28:$BM$30,3,FALSE)+6,FALSE)</f>
        <v>0</v>
      </c>
      <c r="J30" s="12"/>
      <c r="K30" s="12"/>
      <c r="L30" s="12"/>
      <c r="M30" s="12"/>
      <c r="N30" s="12"/>
      <c r="O30" s="12"/>
      <c r="P30">
        <f>VLOOKUP(HLOOKUP("普",Sheet4!$A$1:$FE$75,A30+1,FALSE),Sheet4!$A$1:$FF$75,HLOOKUP(伤害计算器!$D$24,伤害计算器!$AV$28:$BM$30,3,FALSE)+7,FALSE)</f>
        <v>0</v>
      </c>
      <c r="S30">
        <v>27</v>
      </c>
      <c r="T30" s="8" t="str">
        <f>IF(HLOOKUP($W$1,Sheet4!$A$1:$FE$75,S30+1,FALSE)=0," ",HLOOKUP($W$1,Sheet4!$A$1:$FE$75,S30+1,FALSE))</f>
        <v> </v>
      </c>
      <c r="U30" s="8">
        <f>VLOOKUP(HLOOKUP("普",Sheet4!$A$1:$FE$75,S30+1,FALSE),Sheet4!$A$1:$FE$75,HLOOKUP($W$1,伤害计算器!$AV$28:$BM$30,3,FALSE),FALSE)</f>
        <v>0</v>
      </c>
      <c r="V30" s="8">
        <f>VLOOKUP(HLOOKUP("普",Sheet4!$A$1:$FE$75,S30+1,FALSE),Sheet4!$A$1:$FE$75,HLOOKUP($W$1,伤害计算器!$AV$28:$BM$30,3,FALSE)+1,FALSE)</f>
        <v>0</v>
      </c>
      <c r="W30" s="9">
        <f>VLOOKUP(HLOOKUP("普",Sheet4!$A$1:$FE$75,S30+1,FALSE),Sheet4!$A$1:$FE$75,HLOOKUP($W$1,伤害计算器!$AV$28:$BM$30,3,FALSE)+2,FALSE)</f>
        <v>0</v>
      </c>
      <c r="X30" s="9">
        <f>VLOOKUP(HLOOKUP("普",Sheet4!$A$1:$FE$75,S30+1,FALSE),Sheet4!$A$1:$FE$75,HLOOKUP($W$1,伤害计算器!$AV$28:$BM$30,3,FALSE)+3,FALSE)</f>
        <v>0</v>
      </c>
      <c r="Y30" s="9">
        <f>VLOOKUP(HLOOKUP("普",Sheet4!$A$1:$FE$75,S30+1,FALSE),Sheet4!$A$1:$FE$75,HLOOKUP($W$1,伤害计算器!$AV$28:$BM$30,3,FALSE)+4,FALSE)</f>
        <v>0</v>
      </c>
      <c r="Z30" s="10">
        <f>VLOOKUP(HLOOKUP("普",Sheet4!$A$1:$FE$75,S30+1,FALSE),Sheet4!$A$1:$FE$75,HLOOKUP($W$1,伤害计算器!$AV$28:$BM$30,3,FALSE)+5,FALSE)</f>
        <v>0</v>
      </c>
      <c r="AA30" s="12">
        <f>VLOOKUP(HLOOKUP("普",Sheet4!$A$1:$FE$75,S30+1,FALSE),Sheet4!$A$1:$FE$75,HLOOKUP($W$1,伤害计算器!$AV$28:$BM$30,3,FALSE)+6,FALSE)</f>
        <v>0</v>
      </c>
      <c r="AB30" s="12"/>
      <c r="AC30" s="12"/>
      <c r="AD30" s="12"/>
      <c r="AE30" s="12"/>
      <c r="AF30" s="12"/>
      <c r="AG30" s="12"/>
      <c r="AH30">
        <f>VLOOKUP(HLOOKUP("普",Sheet4!$A$1:$FE$75,S30+1,FALSE),Sheet4!$A$1:$FF$75,HLOOKUP($W$1,伤害计算器!$AV$28:$BM$30,3,FALSE)+7,FALSE)</f>
        <v>0</v>
      </c>
    </row>
    <row r="31" spans="1:34">
      <c r="A31">
        <v>28</v>
      </c>
      <c r="B31" s="8" t="str">
        <f>IF(HLOOKUP(伤害计算器!$D$24,Sheet4!$A$1:$FE$75,A31+1,FALSE)=0," ",HLOOKUP(伤害计算器!$D$24,Sheet4!$A$1:$FE$75,A31+1,FALSE))</f>
        <v> </v>
      </c>
      <c r="C31" s="8">
        <f>VLOOKUP(HLOOKUP("普",Sheet4!$A$1:$FE$75,A31+1,FALSE),Sheet4!$A$1:$FE$75,HLOOKUP(伤害计算器!$D$24,伤害计算器!$AV$28:$BM$30,3,FALSE),FALSE)</f>
        <v>0</v>
      </c>
      <c r="D31" s="8">
        <f>VLOOKUP(HLOOKUP("普",Sheet4!$A$1:$FE$75,A31+1,FALSE),Sheet4!$A$1:$FE$75,HLOOKUP(伤害计算器!$D$24,伤害计算器!$AV$28:$BM$30,3,FALSE)+1,FALSE)</f>
        <v>0</v>
      </c>
      <c r="E31" s="8">
        <f>VLOOKUP(HLOOKUP("普",Sheet4!$A$1:$FE$75,A31+1,FALSE),Sheet4!$A$1:$FE$75,HLOOKUP(伤害计算器!$D$24,伤害计算器!$AV$28:$BM$30,3,FALSE)+2,FALSE)</f>
        <v>0</v>
      </c>
      <c r="F31" s="8">
        <f>VLOOKUP(HLOOKUP("普",Sheet4!$A$1:$FE$75,A31+1,FALSE),Sheet4!$A$1:$FE$75,HLOOKUP(伤害计算器!$D$24,伤害计算器!$AV$28:$BM$30,3,FALSE)+3,FALSE)</f>
        <v>0</v>
      </c>
      <c r="G31" s="8">
        <f>VLOOKUP(HLOOKUP("普",Sheet4!$A$1:$FE$75,A31+1,FALSE),Sheet4!$A$1:$FE$75,HLOOKUP(伤害计算器!$D$24,伤害计算器!$AV$28:$BM$30,3,FALSE)+4,FALSE)</f>
        <v>0</v>
      </c>
      <c r="H31" s="11">
        <f>VLOOKUP(HLOOKUP("普",Sheet4!$A$1:$FE$75,A31+1,FALSE),Sheet4!$A$1:$FE$75,HLOOKUP(伤害计算器!$D$24,伤害计算器!$AV$28:$BM$30,3,FALSE)+5,FALSE)</f>
        <v>0</v>
      </c>
      <c r="I31" s="12">
        <f>VLOOKUP(HLOOKUP("普",Sheet4!$A$1:$FE$75,A31+1,FALSE),Sheet4!$A$1:$FE$75,HLOOKUP(伤害计算器!$D$24,伤害计算器!$AV$28:$BM$30,3,FALSE)+6,FALSE)</f>
        <v>0</v>
      </c>
      <c r="J31" s="12"/>
      <c r="K31" s="12"/>
      <c r="L31" s="12"/>
      <c r="M31" s="12"/>
      <c r="N31" s="12"/>
      <c r="O31" s="12"/>
      <c r="P31">
        <f>VLOOKUP(HLOOKUP("普",Sheet4!$A$1:$FE$75,A31+1,FALSE),Sheet4!$A$1:$FF$75,HLOOKUP(伤害计算器!$D$24,伤害计算器!$AV$28:$BM$30,3,FALSE)+7,FALSE)</f>
        <v>0</v>
      </c>
      <c r="S31">
        <v>28</v>
      </c>
      <c r="T31" s="8" t="str">
        <f>IF(HLOOKUP($W$1,Sheet4!$A$1:$FE$75,S31+1,FALSE)=0," ",HLOOKUP($W$1,Sheet4!$A$1:$FE$75,S31+1,FALSE))</f>
        <v> </v>
      </c>
      <c r="U31" s="8">
        <f>VLOOKUP(HLOOKUP("普",Sheet4!$A$1:$FE$75,S31+1,FALSE),Sheet4!$A$1:$FE$75,HLOOKUP($W$1,伤害计算器!$AV$28:$BM$30,3,FALSE),FALSE)</f>
        <v>0</v>
      </c>
      <c r="V31" s="8">
        <f>VLOOKUP(HLOOKUP("普",Sheet4!$A$1:$FE$75,S31+1,FALSE),Sheet4!$A$1:$FE$75,HLOOKUP($W$1,伤害计算器!$AV$28:$BM$30,3,FALSE)+1,FALSE)</f>
        <v>0</v>
      </c>
      <c r="W31" s="9">
        <f>VLOOKUP(HLOOKUP("普",Sheet4!$A$1:$FE$75,S31+1,FALSE),Sheet4!$A$1:$FE$75,HLOOKUP($W$1,伤害计算器!$AV$28:$BM$30,3,FALSE)+2,FALSE)</f>
        <v>0</v>
      </c>
      <c r="X31" s="9">
        <f>VLOOKUP(HLOOKUP("普",Sheet4!$A$1:$FE$75,S31+1,FALSE),Sheet4!$A$1:$FE$75,HLOOKUP($W$1,伤害计算器!$AV$28:$BM$30,3,FALSE)+3,FALSE)</f>
        <v>0</v>
      </c>
      <c r="Y31" s="9">
        <f>VLOOKUP(HLOOKUP("普",Sheet4!$A$1:$FE$75,S31+1,FALSE),Sheet4!$A$1:$FE$75,HLOOKUP($W$1,伤害计算器!$AV$28:$BM$30,3,FALSE)+4,FALSE)</f>
        <v>0</v>
      </c>
      <c r="Z31" s="10">
        <f>VLOOKUP(HLOOKUP("普",Sheet4!$A$1:$FE$75,S31+1,FALSE),Sheet4!$A$1:$FE$75,HLOOKUP($W$1,伤害计算器!$AV$28:$BM$30,3,FALSE)+5,FALSE)</f>
        <v>0</v>
      </c>
      <c r="AA31" s="12">
        <f>VLOOKUP(HLOOKUP("普",Sheet4!$A$1:$FE$75,S31+1,FALSE),Sheet4!$A$1:$FE$75,HLOOKUP($W$1,伤害计算器!$AV$28:$BM$30,3,FALSE)+6,FALSE)</f>
        <v>0</v>
      </c>
      <c r="AB31" s="12"/>
      <c r="AC31" s="12"/>
      <c r="AD31" s="12"/>
      <c r="AE31" s="12"/>
      <c r="AF31" s="12"/>
      <c r="AG31" s="12"/>
      <c r="AH31">
        <f>VLOOKUP(HLOOKUP("普",Sheet4!$A$1:$FE$75,S31+1,FALSE),Sheet4!$A$1:$FF$75,HLOOKUP($W$1,伤害计算器!$AV$28:$BM$30,3,FALSE)+7,FALSE)</f>
        <v>0</v>
      </c>
    </row>
    <row r="32" spans="1:34">
      <c r="A32">
        <v>29</v>
      </c>
      <c r="B32" s="8" t="str">
        <f>IF(HLOOKUP(伤害计算器!$D$24,Sheet4!$A$1:$FE$75,A32+1,FALSE)=0," ",HLOOKUP(伤害计算器!$D$24,Sheet4!$A$1:$FE$75,A32+1,FALSE))</f>
        <v> </v>
      </c>
      <c r="C32" s="8">
        <f>VLOOKUP(HLOOKUP("普",Sheet4!$A$1:$FE$75,A32+1,FALSE),Sheet4!$A$1:$FE$75,HLOOKUP(伤害计算器!$D$24,伤害计算器!$AV$28:$BM$30,3,FALSE),FALSE)</f>
        <v>0</v>
      </c>
      <c r="D32" s="8">
        <f>VLOOKUP(HLOOKUP("普",Sheet4!$A$1:$FE$75,A32+1,FALSE),Sheet4!$A$1:$FE$75,HLOOKUP(伤害计算器!$D$24,伤害计算器!$AV$28:$BM$30,3,FALSE)+1,FALSE)</f>
        <v>0</v>
      </c>
      <c r="E32" s="8">
        <f>VLOOKUP(HLOOKUP("普",Sheet4!$A$1:$FE$75,A32+1,FALSE),Sheet4!$A$1:$FE$75,HLOOKUP(伤害计算器!$D$24,伤害计算器!$AV$28:$BM$30,3,FALSE)+2,FALSE)</f>
        <v>0</v>
      </c>
      <c r="F32" s="8">
        <f>VLOOKUP(HLOOKUP("普",Sheet4!$A$1:$FE$75,A32+1,FALSE),Sheet4!$A$1:$FE$75,HLOOKUP(伤害计算器!$D$24,伤害计算器!$AV$28:$BM$30,3,FALSE)+3,FALSE)</f>
        <v>0</v>
      </c>
      <c r="G32" s="8">
        <f>VLOOKUP(HLOOKUP("普",Sheet4!$A$1:$FE$75,A32+1,FALSE),Sheet4!$A$1:$FE$75,HLOOKUP(伤害计算器!$D$24,伤害计算器!$AV$28:$BM$30,3,FALSE)+4,FALSE)</f>
        <v>0</v>
      </c>
      <c r="H32" s="11">
        <f>VLOOKUP(HLOOKUP("普",Sheet4!$A$1:$FE$75,A32+1,FALSE),Sheet4!$A$1:$FE$75,HLOOKUP(伤害计算器!$D$24,伤害计算器!$AV$28:$BM$30,3,FALSE)+5,FALSE)</f>
        <v>0</v>
      </c>
      <c r="I32" s="12">
        <f>VLOOKUP(HLOOKUP("普",Sheet4!$A$1:$FE$75,A32+1,FALSE),Sheet4!$A$1:$FE$75,HLOOKUP(伤害计算器!$D$24,伤害计算器!$AV$28:$BM$30,3,FALSE)+6,FALSE)</f>
        <v>0</v>
      </c>
      <c r="J32" s="12"/>
      <c r="K32" s="12"/>
      <c r="L32" s="12"/>
      <c r="M32" s="12"/>
      <c r="N32" s="12"/>
      <c r="O32" s="12"/>
      <c r="P32">
        <f>VLOOKUP(HLOOKUP("普",Sheet4!$A$1:$FE$75,A32+1,FALSE),Sheet4!$A$1:$FF$75,HLOOKUP(伤害计算器!$D$24,伤害计算器!$AV$28:$BM$30,3,FALSE)+7,FALSE)</f>
        <v>0</v>
      </c>
      <c r="S32">
        <v>29</v>
      </c>
      <c r="T32" s="8" t="str">
        <f>IF(HLOOKUP($W$1,Sheet4!$A$1:$FE$75,S32+1,FALSE)=0," ",HLOOKUP($W$1,Sheet4!$A$1:$FE$75,S32+1,FALSE))</f>
        <v> </v>
      </c>
      <c r="U32" s="8">
        <f>VLOOKUP(HLOOKUP("普",Sheet4!$A$1:$FE$75,S32+1,FALSE),Sheet4!$A$1:$FE$75,HLOOKUP($W$1,伤害计算器!$AV$28:$BM$30,3,FALSE),FALSE)</f>
        <v>0</v>
      </c>
      <c r="V32" s="8">
        <f>VLOOKUP(HLOOKUP("普",Sheet4!$A$1:$FE$75,S32+1,FALSE),Sheet4!$A$1:$FE$75,HLOOKUP($W$1,伤害计算器!$AV$28:$BM$30,3,FALSE)+1,FALSE)</f>
        <v>0</v>
      </c>
      <c r="W32" s="9">
        <f>VLOOKUP(HLOOKUP("普",Sheet4!$A$1:$FE$75,S32+1,FALSE),Sheet4!$A$1:$FE$75,HLOOKUP($W$1,伤害计算器!$AV$28:$BM$30,3,FALSE)+2,FALSE)</f>
        <v>0</v>
      </c>
      <c r="X32" s="9">
        <f>VLOOKUP(HLOOKUP("普",Sheet4!$A$1:$FE$75,S32+1,FALSE),Sheet4!$A$1:$FE$75,HLOOKUP($W$1,伤害计算器!$AV$28:$BM$30,3,FALSE)+3,FALSE)</f>
        <v>0</v>
      </c>
      <c r="Y32" s="9">
        <f>VLOOKUP(HLOOKUP("普",Sheet4!$A$1:$FE$75,S32+1,FALSE),Sheet4!$A$1:$FE$75,HLOOKUP($W$1,伤害计算器!$AV$28:$BM$30,3,FALSE)+4,FALSE)</f>
        <v>0</v>
      </c>
      <c r="Z32" s="10">
        <f>VLOOKUP(HLOOKUP("普",Sheet4!$A$1:$FE$75,S32+1,FALSE),Sheet4!$A$1:$FE$75,HLOOKUP($W$1,伤害计算器!$AV$28:$BM$30,3,FALSE)+5,FALSE)</f>
        <v>0</v>
      </c>
      <c r="AA32" s="12">
        <f>VLOOKUP(HLOOKUP("普",Sheet4!$A$1:$FE$75,S32+1,FALSE),Sheet4!$A$1:$FE$75,HLOOKUP($W$1,伤害计算器!$AV$28:$BM$30,3,FALSE)+6,FALSE)</f>
        <v>0</v>
      </c>
      <c r="AB32" s="12"/>
      <c r="AC32" s="12"/>
      <c r="AD32" s="12"/>
      <c r="AE32" s="12"/>
      <c r="AF32" s="12"/>
      <c r="AG32" s="12"/>
      <c r="AH32">
        <f>VLOOKUP(HLOOKUP("普",Sheet4!$A$1:$FE$75,S32+1,FALSE),Sheet4!$A$1:$FF$75,HLOOKUP($W$1,伤害计算器!$AV$28:$BM$30,3,FALSE)+7,FALSE)</f>
        <v>0</v>
      </c>
    </row>
    <row r="33" spans="1:34">
      <c r="A33">
        <v>30</v>
      </c>
      <c r="B33" s="8" t="str">
        <f>IF(HLOOKUP(伤害计算器!$D$24,Sheet4!$A$1:$FE$75,A33+1,FALSE)=0," ",HLOOKUP(伤害计算器!$D$24,Sheet4!$A$1:$FE$75,A33+1,FALSE))</f>
        <v> </v>
      </c>
      <c r="C33" s="8">
        <f>VLOOKUP(HLOOKUP("普",Sheet4!$A$1:$FE$75,A33+1,FALSE),Sheet4!$A$1:$FE$75,HLOOKUP(伤害计算器!$D$24,伤害计算器!$AV$28:$BM$30,3,FALSE),FALSE)</f>
        <v>0</v>
      </c>
      <c r="D33" s="8">
        <f>VLOOKUP(HLOOKUP("普",Sheet4!$A$1:$FE$75,A33+1,FALSE),Sheet4!$A$1:$FE$75,HLOOKUP(伤害计算器!$D$24,伤害计算器!$AV$28:$BM$30,3,FALSE)+1,FALSE)</f>
        <v>0</v>
      </c>
      <c r="E33" s="8">
        <f>VLOOKUP(HLOOKUP("普",Sheet4!$A$1:$FE$75,A33+1,FALSE),Sheet4!$A$1:$FE$75,HLOOKUP(伤害计算器!$D$24,伤害计算器!$AV$28:$BM$30,3,FALSE)+2,FALSE)</f>
        <v>0</v>
      </c>
      <c r="F33" s="8">
        <f>VLOOKUP(HLOOKUP("普",Sheet4!$A$1:$FE$75,A33+1,FALSE),Sheet4!$A$1:$FE$75,HLOOKUP(伤害计算器!$D$24,伤害计算器!$AV$28:$BM$30,3,FALSE)+3,FALSE)</f>
        <v>0</v>
      </c>
      <c r="G33" s="8">
        <f>VLOOKUP(HLOOKUP("普",Sheet4!$A$1:$FE$75,A33+1,FALSE),Sheet4!$A$1:$FE$75,HLOOKUP(伤害计算器!$D$24,伤害计算器!$AV$28:$BM$30,3,FALSE)+4,FALSE)</f>
        <v>0</v>
      </c>
      <c r="H33" s="11">
        <f>VLOOKUP(HLOOKUP("普",Sheet4!$A$1:$FE$75,A33+1,FALSE),Sheet4!$A$1:$FE$75,HLOOKUP(伤害计算器!$D$24,伤害计算器!$AV$28:$BM$30,3,FALSE)+5,FALSE)</f>
        <v>0</v>
      </c>
      <c r="I33" s="12">
        <f>VLOOKUP(HLOOKUP("普",Sheet4!$A$1:$FE$75,A33+1,FALSE),Sheet4!$A$1:$FE$75,HLOOKUP(伤害计算器!$D$24,伤害计算器!$AV$28:$BM$30,3,FALSE)+6,FALSE)</f>
        <v>0</v>
      </c>
      <c r="J33" s="12"/>
      <c r="K33" s="12"/>
      <c r="L33" s="12"/>
      <c r="M33" s="12"/>
      <c r="N33" s="12"/>
      <c r="O33" s="12"/>
      <c r="P33">
        <f>VLOOKUP(HLOOKUP("普",Sheet4!$A$1:$FE$75,A33+1,FALSE),Sheet4!$A$1:$FF$75,HLOOKUP(伤害计算器!$D$24,伤害计算器!$AV$28:$BM$30,3,FALSE)+7,FALSE)</f>
        <v>0</v>
      </c>
      <c r="S33">
        <v>30</v>
      </c>
      <c r="T33" s="8" t="str">
        <f>IF(HLOOKUP($W$1,Sheet4!$A$1:$FE$75,S33+1,FALSE)=0," ",HLOOKUP($W$1,Sheet4!$A$1:$FE$75,S33+1,FALSE))</f>
        <v> </v>
      </c>
      <c r="U33" s="8">
        <f>VLOOKUP(HLOOKUP("普",Sheet4!$A$1:$FE$75,S33+1,FALSE),Sheet4!$A$1:$FE$75,HLOOKUP($W$1,伤害计算器!$AV$28:$BM$30,3,FALSE),FALSE)</f>
        <v>0</v>
      </c>
      <c r="V33" s="8">
        <f>VLOOKUP(HLOOKUP("普",Sheet4!$A$1:$FE$75,S33+1,FALSE),Sheet4!$A$1:$FE$75,HLOOKUP($W$1,伤害计算器!$AV$28:$BM$30,3,FALSE)+1,FALSE)</f>
        <v>0</v>
      </c>
      <c r="W33" s="9">
        <f>VLOOKUP(HLOOKUP("普",Sheet4!$A$1:$FE$75,S33+1,FALSE),Sheet4!$A$1:$FE$75,HLOOKUP($W$1,伤害计算器!$AV$28:$BM$30,3,FALSE)+2,FALSE)</f>
        <v>0</v>
      </c>
      <c r="X33" s="9">
        <f>VLOOKUP(HLOOKUP("普",Sheet4!$A$1:$FE$75,S33+1,FALSE),Sheet4!$A$1:$FE$75,HLOOKUP($W$1,伤害计算器!$AV$28:$BM$30,3,FALSE)+3,FALSE)</f>
        <v>0</v>
      </c>
      <c r="Y33" s="9">
        <f>VLOOKUP(HLOOKUP("普",Sheet4!$A$1:$FE$75,S33+1,FALSE),Sheet4!$A$1:$FE$75,HLOOKUP($W$1,伤害计算器!$AV$28:$BM$30,3,FALSE)+4,FALSE)</f>
        <v>0</v>
      </c>
      <c r="Z33" s="10">
        <f>VLOOKUP(HLOOKUP("普",Sheet4!$A$1:$FE$75,S33+1,FALSE),Sheet4!$A$1:$FE$75,HLOOKUP($W$1,伤害计算器!$AV$28:$BM$30,3,FALSE)+5,FALSE)</f>
        <v>0</v>
      </c>
      <c r="AA33" s="12">
        <f>VLOOKUP(HLOOKUP("普",Sheet4!$A$1:$FE$75,S33+1,FALSE),Sheet4!$A$1:$FE$75,HLOOKUP($W$1,伤害计算器!$AV$28:$BM$30,3,FALSE)+6,FALSE)</f>
        <v>0</v>
      </c>
      <c r="AB33" s="12"/>
      <c r="AC33" s="12"/>
      <c r="AD33" s="12"/>
      <c r="AE33" s="12"/>
      <c r="AF33" s="12"/>
      <c r="AG33" s="12"/>
      <c r="AH33">
        <f>VLOOKUP(HLOOKUP("普",Sheet4!$A$1:$FE$75,S33+1,FALSE),Sheet4!$A$1:$FF$75,HLOOKUP($W$1,伤害计算器!$AV$28:$BM$30,3,FALSE)+7,FALSE)</f>
        <v>0</v>
      </c>
    </row>
    <row r="34" spans="1:34">
      <c r="A34">
        <v>31</v>
      </c>
      <c r="B34" s="8" t="str">
        <f>IF(HLOOKUP(伤害计算器!$D$24,Sheet4!$A$1:$FE$75,A34+1,FALSE)=0," ",HLOOKUP(伤害计算器!$D$24,Sheet4!$A$1:$FE$75,A34+1,FALSE))</f>
        <v> </v>
      </c>
      <c r="C34" s="8">
        <f>VLOOKUP(HLOOKUP("普",Sheet4!$A$1:$FE$75,A34+1,FALSE),Sheet4!$A$1:$FE$75,HLOOKUP(伤害计算器!$D$24,伤害计算器!$AV$28:$BM$30,3,FALSE),FALSE)</f>
        <v>0</v>
      </c>
      <c r="D34" s="8">
        <f>VLOOKUP(HLOOKUP("普",Sheet4!$A$1:$FE$75,A34+1,FALSE),Sheet4!$A$1:$FE$75,HLOOKUP(伤害计算器!$D$24,伤害计算器!$AV$28:$BM$30,3,FALSE)+1,FALSE)</f>
        <v>0</v>
      </c>
      <c r="E34" s="8">
        <f>VLOOKUP(HLOOKUP("普",Sheet4!$A$1:$FE$75,A34+1,FALSE),Sheet4!$A$1:$FE$75,HLOOKUP(伤害计算器!$D$24,伤害计算器!$AV$28:$BM$30,3,FALSE)+2,FALSE)</f>
        <v>0</v>
      </c>
      <c r="F34" s="8">
        <f>VLOOKUP(HLOOKUP("普",Sheet4!$A$1:$FE$75,A34+1,FALSE),Sheet4!$A$1:$FE$75,HLOOKUP(伤害计算器!$D$24,伤害计算器!$AV$28:$BM$30,3,FALSE)+3,FALSE)</f>
        <v>0</v>
      </c>
      <c r="G34" s="8">
        <f>VLOOKUP(HLOOKUP("普",Sheet4!$A$1:$FE$75,A34+1,FALSE),Sheet4!$A$1:$FE$75,HLOOKUP(伤害计算器!$D$24,伤害计算器!$AV$28:$BM$30,3,FALSE)+4,FALSE)</f>
        <v>0</v>
      </c>
      <c r="H34" s="11">
        <f>VLOOKUP(HLOOKUP("普",Sheet4!$A$1:$FE$75,A34+1,FALSE),Sheet4!$A$1:$FE$75,HLOOKUP(伤害计算器!$D$24,伤害计算器!$AV$28:$BM$30,3,FALSE)+5,FALSE)</f>
        <v>0</v>
      </c>
      <c r="I34" s="12">
        <f>VLOOKUP(HLOOKUP("普",Sheet4!$A$1:$FE$75,A34+1,FALSE),Sheet4!$A$1:$FE$75,HLOOKUP(伤害计算器!$D$24,伤害计算器!$AV$28:$BM$30,3,FALSE)+6,FALSE)</f>
        <v>0</v>
      </c>
      <c r="J34" s="12"/>
      <c r="K34" s="12"/>
      <c r="L34" s="12"/>
      <c r="M34" s="12"/>
      <c r="N34" s="12"/>
      <c r="O34" s="12"/>
      <c r="P34">
        <f>VLOOKUP(HLOOKUP("普",Sheet4!$A$1:$FE$75,A34+1,FALSE),Sheet4!$A$1:$FF$75,HLOOKUP(伤害计算器!$D$24,伤害计算器!$AV$28:$BM$30,3,FALSE)+7,FALSE)</f>
        <v>0</v>
      </c>
      <c r="S34">
        <v>31</v>
      </c>
      <c r="T34" s="8" t="str">
        <f>IF(HLOOKUP($W$1,Sheet4!$A$1:$FE$75,S34+1,FALSE)=0," ",HLOOKUP($W$1,Sheet4!$A$1:$FE$75,S34+1,FALSE))</f>
        <v> </v>
      </c>
      <c r="U34" s="8">
        <f>VLOOKUP(HLOOKUP("普",Sheet4!$A$1:$FE$75,S34+1,FALSE),Sheet4!$A$1:$FE$75,HLOOKUP($W$1,伤害计算器!$AV$28:$BM$30,3,FALSE),FALSE)</f>
        <v>0</v>
      </c>
      <c r="V34" s="8">
        <f>VLOOKUP(HLOOKUP("普",Sheet4!$A$1:$FE$75,S34+1,FALSE),Sheet4!$A$1:$FE$75,HLOOKUP($W$1,伤害计算器!$AV$28:$BM$30,3,FALSE)+1,FALSE)</f>
        <v>0</v>
      </c>
      <c r="W34" s="9">
        <f>VLOOKUP(HLOOKUP("普",Sheet4!$A$1:$FE$75,S34+1,FALSE),Sheet4!$A$1:$FE$75,HLOOKUP($W$1,伤害计算器!$AV$28:$BM$30,3,FALSE)+2,FALSE)</f>
        <v>0</v>
      </c>
      <c r="X34" s="9">
        <f>VLOOKUP(HLOOKUP("普",Sheet4!$A$1:$FE$75,S34+1,FALSE),Sheet4!$A$1:$FE$75,HLOOKUP($W$1,伤害计算器!$AV$28:$BM$30,3,FALSE)+3,FALSE)</f>
        <v>0</v>
      </c>
      <c r="Y34" s="9">
        <f>VLOOKUP(HLOOKUP("普",Sheet4!$A$1:$FE$75,S34+1,FALSE),Sheet4!$A$1:$FE$75,HLOOKUP($W$1,伤害计算器!$AV$28:$BM$30,3,FALSE)+4,FALSE)</f>
        <v>0</v>
      </c>
      <c r="Z34" s="10">
        <f>VLOOKUP(HLOOKUP("普",Sheet4!$A$1:$FE$75,S34+1,FALSE),Sheet4!$A$1:$FE$75,HLOOKUP($W$1,伤害计算器!$AV$28:$BM$30,3,FALSE)+5,FALSE)</f>
        <v>0</v>
      </c>
      <c r="AA34" s="12">
        <f>VLOOKUP(HLOOKUP("普",Sheet4!$A$1:$FE$75,S34+1,FALSE),Sheet4!$A$1:$FE$75,HLOOKUP($W$1,伤害计算器!$AV$28:$BM$30,3,FALSE)+6,FALSE)</f>
        <v>0</v>
      </c>
      <c r="AB34" s="12"/>
      <c r="AC34" s="12"/>
      <c r="AD34" s="12"/>
      <c r="AE34" s="12"/>
      <c r="AF34" s="12"/>
      <c r="AG34" s="12"/>
      <c r="AH34">
        <f>VLOOKUP(HLOOKUP("普",Sheet4!$A$1:$FE$75,S34+1,FALSE),Sheet4!$A$1:$FF$75,HLOOKUP($W$1,伤害计算器!$AV$28:$BM$30,3,FALSE)+7,FALSE)</f>
        <v>0</v>
      </c>
    </row>
    <row r="35" spans="1:34">
      <c r="A35">
        <v>32</v>
      </c>
      <c r="B35" s="8" t="str">
        <f>IF(HLOOKUP(伤害计算器!$D$24,Sheet4!$A$1:$FE$75,A35+1,FALSE)=0," ",HLOOKUP(伤害计算器!$D$24,Sheet4!$A$1:$FE$75,A35+1,FALSE))</f>
        <v> </v>
      </c>
      <c r="C35" s="8">
        <f>VLOOKUP(HLOOKUP("普",Sheet4!$A$1:$FE$75,A35+1,FALSE),Sheet4!$A$1:$FE$75,HLOOKUP(伤害计算器!$D$24,伤害计算器!$AV$28:$BM$30,3,FALSE),FALSE)</f>
        <v>0</v>
      </c>
      <c r="D35" s="8">
        <f>VLOOKUP(HLOOKUP("普",Sheet4!$A$1:$FE$75,A35+1,FALSE),Sheet4!$A$1:$FE$75,HLOOKUP(伤害计算器!$D$24,伤害计算器!$AV$28:$BM$30,3,FALSE)+1,FALSE)</f>
        <v>0</v>
      </c>
      <c r="E35" s="8">
        <f>VLOOKUP(HLOOKUP("普",Sheet4!$A$1:$FE$75,A35+1,FALSE),Sheet4!$A$1:$FE$75,HLOOKUP(伤害计算器!$D$24,伤害计算器!$AV$28:$BM$30,3,FALSE)+2,FALSE)</f>
        <v>0</v>
      </c>
      <c r="F35" s="8">
        <f>VLOOKUP(HLOOKUP("普",Sheet4!$A$1:$FE$75,A35+1,FALSE),Sheet4!$A$1:$FE$75,HLOOKUP(伤害计算器!$D$24,伤害计算器!$AV$28:$BM$30,3,FALSE)+3,FALSE)</f>
        <v>0</v>
      </c>
      <c r="G35" s="8">
        <f>VLOOKUP(HLOOKUP("普",Sheet4!$A$1:$FE$75,A35+1,FALSE),Sheet4!$A$1:$FE$75,HLOOKUP(伤害计算器!$D$24,伤害计算器!$AV$28:$BM$30,3,FALSE)+4,FALSE)</f>
        <v>0</v>
      </c>
      <c r="H35" s="11">
        <f>VLOOKUP(HLOOKUP("普",Sheet4!$A$1:$FE$75,A35+1,FALSE),Sheet4!$A$1:$FE$75,HLOOKUP(伤害计算器!$D$24,伤害计算器!$AV$28:$BM$30,3,FALSE)+5,FALSE)</f>
        <v>0</v>
      </c>
      <c r="I35" s="12">
        <f>VLOOKUP(HLOOKUP("普",Sheet4!$A$1:$FE$75,A35+1,FALSE),Sheet4!$A$1:$FE$75,HLOOKUP(伤害计算器!$D$24,伤害计算器!$AV$28:$BM$30,3,FALSE)+6,FALSE)</f>
        <v>0</v>
      </c>
      <c r="J35" s="12"/>
      <c r="K35" s="12"/>
      <c r="L35" s="12"/>
      <c r="M35" s="12"/>
      <c r="N35" s="12"/>
      <c r="O35" s="12"/>
      <c r="P35">
        <f>VLOOKUP(HLOOKUP("普",Sheet4!$A$1:$FE$75,A35+1,FALSE),Sheet4!$A$1:$FF$75,HLOOKUP(伤害计算器!$D$24,伤害计算器!$AV$28:$BM$30,3,FALSE)+7,FALSE)</f>
        <v>0</v>
      </c>
      <c r="S35">
        <v>32</v>
      </c>
      <c r="T35" s="8" t="str">
        <f>IF(HLOOKUP($W$1,Sheet4!$A$1:$FE$75,S35+1,FALSE)=0," ",HLOOKUP($W$1,Sheet4!$A$1:$FE$75,S35+1,FALSE))</f>
        <v> </v>
      </c>
      <c r="U35" s="8">
        <f>VLOOKUP(HLOOKUP("普",Sheet4!$A$1:$FE$75,S35+1,FALSE),Sheet4!$A$1:$FE$75,HLOOKUP($W$1,伤害计算器!$AV$28:$BM$30,3,FALSE),FALSE)</f>
        <v>0</v>
      </c>
      <c r="V35" s="8">
        <f>VLOOKUP(HLOOKUP("普",Sheet4!$A$1:$FE$75,S35+1,FALSE),Sheet4!$A$1:$FE$75,HLOOKUP($W$1,伤害计算器!$AV$28:$BM$30,3,FALSE)+1,FALSE)</f>
        <v>0</v>
      </c>
      <c r="W35" s="9">
        <f>VLOOKUP(HLOOKUP("普",Sheet4!$A$1:$FE$75,S35+1,FALSE),Sheet4!$A$1:$FE$75,HLOOKUP($W$1,伤害计算器!$AV$28:$BM$30,3,FALSE)+2,FALSE)</f>
        <v>0</v>
      </c>
      <c r="X35" s="9">
        <f>VLOOKUP(HLOOKUP("普",Sheet4!$A$1:$FE$75,S35+1,FALSE),Sheet4!$A$1:$FE$75,HLOOKUP($W$1,伤害计算器!$AV$28:$BM$30,3,FALSE)+3,FALSE)</f>
        <v>0</v>
      </c>
      <c r="Y35" s="9">
        <f>VLOOKUP(HLOOKUP("普",Sheet4!$A$1:$FE$75,S35+1,FALSE),Sheet4!$A$1:$FE$75,HLOOKUP($W$1,伤害计算器!$AV$28:$BM$30,3,FALSE)+4,FALSE)</f>
        <v>0</v>
      </c>
      <c r="Z35" s="10">
        <f>VLOOKUP(HLOOKUP("普",Sheet4!$A$1:$FE$75,S35+1,FALSE),Sheet4!$A$1:$FE$75,HLOOKUP($W$1,伤害计算器!$AV$28:$BM$30,3,FALSE)+5,FALSE)</f>
        <v>0</v>
      </c>
      <c r="AA35" s="12">
        <f>VLOOKUP(HLOOKUP("普",Sheet4!$A$1:$FE$75,S35+1,FALSE),Sheet4!$A$1:$FE$75,HLOOKUP($W$1,伤害计算器!$AV$28:$BM$30,3,FALSE)+6,FALSE)</f>
        <v>0</v>
      </c>
      <c r="AB35" s="12"/>
      <c r="AC35" s="12"/>
      <c r="AD35" s="12"/>
      <c r="AE35" s="12"/>
      <c r="AF35" s="12"/>
      <c r="AG35" s="12"/>
      <c r="AH35">
        <f>VLOOKUP(HLOOKUP("普",Sheet4!$A$1:$FE$75,S35+1,FALSE),Sheet4!$A$1:$FF$75,HLOOKUP($W$1,伤害计算器!$AV$28:$BM$30,3,FALSE)+7,FALSE)</f>
        <v>0</v>
      </c>
    </row>
    <row r="36" spans="1:34">
      <c r="A36">
        <v>33</v>
      </c>
      <c r="B36" s="8" t="str">
        <f>IF(HLOOKUP(伤害计算器!$D$24,Sheet4!$A$1:$FE$75,A36+1,FALSE)=0," ",HLOOKUP(伤害计算器!$D$24,Sheet4!$A$1:$FE$75,A36+1,FALSE))</f>
        <v> </v>
      </c>
      <c r="C36" s="8">
        <f>VLOOKUP(HLOOKUP("普",Sheet4!$A$1:$FE$75,A36+1,FALSE),Sheet4!$A$1:$FE$75,HLOOKUP(伤害计算器!$D$24,伤害计算器!$AV$28:$BM$30,3,FALSE),FALSE)</f>
        <v>0</v>
      </c>
      <c r="D36" s="8">
        <f>VLOOKUP(HLOOKUP("普",Sheet4!$A$1:$FE$75,A36+1,FALSE),Sheet4!$A$1:$FE$75,HLOOKUP(伤害计算器!$D$24,伤害计算器!$AV$28:$BM$30,3,FALSE)+1,FALSE)</f>
        <v>0</v>
      </c>
      <c r="E36" s="8">
        <f>VLOOKUP(HLOOKUP("普",Sheet4!$A$1:$FE$75,A36+1,FALSE),Sheet4!$A$1:$FE$75,HLOOKUP(伤害计算器!$D$24,伤害计算器!$AV$28:$BM$30,3,FALSE)+2,FALSE)</f>
        <v>0</v>
      </c>
      <c r="F36" s="8">
        <f>VLOOKUP(HLOOKUP("普",Sheet4!$A$1:$FE$75,A36+1,FALSE),Sheet4!$A$1:$FE$75,HLOOKUP(伤害计算器!$D$24,伤害计算器!$AV$28:$BM$30,3,FALSE)+3,FALSE)</f>
        <v>0</v>
      </c>
      <c r="G36" s="8">
        <f>VLOOKUP(HLOOKUP("普",Sheet4!$A$1:$FE$75,A36+1,FALSE),Sheet4!$A$1:$FE$75,HLOOKUP(伤害计算器!$D$24,伤害计算器!$AV$28:$BM$30,3,FALSE)+4,FALSE)</f>
        <v>0</v>
      </c>
      <c r="H36" s="11">
        <f>VLOOKUP(HLOOKUP("普",Sheet4!$A$1:$FE$75,A36+1,FALSE),Sheet4!$A$1:$FE$75,HLOOKUP(伤害计算器!$D$24,伤害计算器!$AV$28:$BM$30,3,FALSE)+5,FALSE)</f>
        <v>0</v>
      </c>
      <c r="I36" s="12">
        <f>VLOOKUP(HLOOKUP("普",Sheet4!$A$1:$FE$75,A36+1,FALSE),Sheet4!$A$1:$FE$75,HLOOKUP(伤害计算器!$D$24,伤害计算器!$AV$28:$BM$30,3,FALSE)+6,FALSE)</f>
        <v>0</v>
      </c>
      <c r="J36" s="12"/>
      <c r="K36" s="12"/>
      <c r="L36" s="12"/>
      <c r="M36" s="12"/>
      <c r="N36" s="12"/>
      <c r="O36" s="12"/>
      <c r="P36">
        <f>VLOOKUP(HLOOKUP("普",Sheet4!$A$1:$FE$75,A36+1,FALSE),Sheet4!$A$1:$FF$75,HLOOKUP(伤害计算器!$D$24,伤害计算器!$AV$28:$BM$30,3,FALSE)+7,FALSE)</f>
        <v>0</v>
      </c>
      <c r="S36">
        <v>33</v>
      </c>
      <c r="T36" s="8" t="str">
        <f>IF(HLOOKUP($W$1,Sheet4!$A$1:$FE$75,S36+1,FALSE)=0," ",HLOOKUP($W$1,Sheet4!$A$1:$FE$75,S36+1,FALSE))</f>
        <v> </v>
      </c>
      <c r="U36" s="8">
        <f>VLOOKUP(HLOOKUP("普",Sheet4!$A$1:$FE$75,S36+1,FALSE),Sheet4!$A$1:$FE$75,HLOOKUP($W$1,伤害计算器!$AV$28:$BM$30,3,FALSE),FALSE)</f>
        <v>0</v>
      </c>
      <c r="V36" s="8">
        <f>VLOOKUP(HLOOKUP("普",Sheet4!$A$1:$FE$75,S36+1,FALSE),Sheet4!$A$1:$FE$75,HLOOKUP($W$1,伤害计算器!$AV$28:$BM$30,3,FALSE)+1,FALSE)</f>
        <v>0</v>
      </c>
      <c r="W36" s="9">
        <f>VLOOKUP(HLOOKUP("普",Sheet4!$A$1:$FE$75,S36+1,FALSE),Sheet4!$A$1:$FE$75,HLOOKUP($W$1,伤害计算器!$AV$28:$BM$30,3,FALSE)+2,FALSE)</f>
        <v>0</v>
      </c>
      <c r="X36" s="9">
        <f>VLOOKUP(HLOOKUP("普",Sheet4!$A$1:$FE$75,S36+1,FALSE),Sheet4!$A$1:$FE$75,HLOOKUP($W$1,伤害计算器!$AV$28:$BM$30,3,FALSE)+3,FALSE)</f>
        <v>0</v>
      </c>
      <c r="Y36" s="9">
        <f>VLOOKUP(HLOOKUP("普",Sheet4!$A$1:$FE$75,S36+1,FALSE),Sheet4!$A$1:$FE$75,HLOOKUP($W$1,伤害计算器!$AV$28:$BM$30,3,FALSE)+4,FALSE)</f>
        <v>0</v>
      </c>
      <c r="Z36" s="10">
        <f>VLOOKUP(HLOOKUP("普",Sheet4!$A$1:$FE$75,S36+1,FALSE),Sheet4!$A$1:$FE$75,HLOOKUP($W$1,伤害计算器!$AV$28:$BM$30,3,FALSE)+5,FALSE)</f>
        <v>0</v>
      </c>
      <c r="AA36" s="12">
        <f>VLOOKUP(HLOOKUP("普",Sheet4!$A$1:$FE$75,S36+1,FALSE),Sheet4!$A$1:$FE$75,HLOOKUP($W$1,伤害计算器!$AV$28:$BM$30,3,FALSE)+6,FALSE)</f>
        <v>0</v>
      </c>
      <c r="AB36" s="12"/>
      <c r="AC36" s="12"/>
      <c r="AD36" s="12"/>
      <c r="AE36" s="12"/>
      <c r="AF36" s="12"/>
      <c r="AG36" s="12"/>
      <c r="AH36">
        <f>VLOOKUP(HLOOKUP("普",Sheet4!$A$1:$FE$75,S36+1,FALSE),Sheet4!$A$1:$FF$75,HLOOKUP($W$1,伤害计算器!$AV$28:$BM$30,3,FALSE)+7,FALSE)</f>
        <v>0</v>
      </c>
    </row>
    <row r="37" spans="1:34">
      <c r="A37">
        <v>34</v>
      </c>
      <c r="B37" s="8" t="str">
        <f>IF(HLOOKUP(伤害计算器!$D$24,Sheet4!$A$1:$FE$75,A37+1,FALSE)=0," ",HLOOKUP(伤害计算器!$D$24,Sheet4!$A$1:$FE$75,A37+1,FALSE))</f>
        <v> </v>
      </c>
      <c r="C37" s="8">
        <f>VLOOKUP(HLOOKUP("普",Sheet4!$A$1:$FE$75,A37+1,FALSE),Sheet4!$A$1:$FE$75,HLOOKUP(伤害计算器!$D$24,伤害计算器!$AV$28:$BM$30,3,FALSE),FALSE)</f>
        <v>0</v>
      </c>
      <c r="D37" s="8">
        <f>VLOOKUP(HLOOKUP("普",Sheet4!$A$1:$FE$75,A37+1,FALSE),Sheet4!$A$1:$FE$75,HLOOKUP(伤害计算器!$D$24,伤害计算器!$AV$28:$BM$30,3,FALSE)+1,FALSE)</f>
        <v>0</v>
      </c>
      <c r="E37" s="8">
        <f>VLOOKUP(HLOOKUP("普",Sheet4!$A$1:$FE$75,A37+1,FALSE),Sheet4!$A$1:$FE$75,HLOOKUP(伤害计算器!$D$24,伤害计算器!$AV$28:$BM$30,3,FALSE)+2,FALSE)</f>
        <v>0</v>
      </c>
      <c r="F37" s="8">
        <f>VLOOKUP(HLOOKUP("普",Sheet4!$A$1:$FE$75,A37+1,FALSE),Sheet4!$A$1:$FE$75,HLOOKUP(伤害计算器!$D$24,伤害计算器!$AV$28:$BM$30,3,FALSE)+3,FALSE)</f>
        <v>0</v>
      </c>
      <c r="G37" s="8">
        <f>VLOOKUP(HLOOKUP("普",Sheet4!$A$1:$FE$75,A37+1,FALSE),Sheet4!$A$1:$FE$75,HLOOKUP(伤害计算器!$D$24,伤害计算器!$AV$28:$BM$30,3,FALSE)+4,FALSE)</f>
        <v>0</v>
      </c>
      <c r="H37" s="11">
        <f>VLOOKUP(HLOOKUP("普",Sheet4!$A$1:$FE$75,A37+1,FALSE),Sheet4!$A$1:$FE$75,HLOOKUP(伤害计算器!$D$24,伤害计算器!$AV$28:$BM$30,3,FALSE)+5,FALSE)</f>
        <v>0</v>
      </c>
      <c r="I37" s="12">
        <f>VLOOKUP(HLOOKUP("普",Sheet4!$A$1:$FE$75,A37+1,FALSE),Sheet4!$A$1:$FE$75,HLOOKUP(伤害计算器!$D$24,伤害计算器!$AV$28:$BM$30,3,FALSE)+6,FALSE)</f>
        <v>0</v>
      </c>
      <c r="J37" s="12"/>
      <c r="K37" s="12"/>
      <c r="L37" s="12"/>
      <c r="M37" s="12"/>
      <c r="N37" s="12"/>
      <c r="O37" s="12"/>
      <c r="P37">
        <f>VLOOKUP(HLOOKUP("普",Sheet4!$A$1:$FE$75,A37+1,FALSE),Sheet4!$A$1:$FF$75,HLOOKUP(伤害计算器!$D$24,伤害计算器!$AV$28:$BM$30,3,FALSE)+7,FALSE)</f>
        <v>0</v>
      </c>
      <c r="S37">
        <v>34</v>
      </c>
      <c r="T37" s="8" t="str">
        <f>IF(HLOOKUP($W$1,Sheet4!$A$1:$FE$75,S37+1,FALSE)=0," ",HLOOKUP($W$1,Sheet4!$A$1:$FE$75,S37+1,FALSE))</f>
        <v> </v>
      </c>
      <c r="U37" s="8">
        <f>VLOOKUP(HLOOKUP("普",Sheet4!$A$1:$FE$75,S37+1,FALSE),Sheet4!$A$1:$FE$75,HLOOKUP($W$1,伤害计算器!$AV$28:$BM$30,3,FALSE),FALSE)</f>
        <v>0</v>
      </c>
      <c r="V37" s="8">
        <f>VLOOKUP(HLOOKUP("普",Sheet4!$A$1:$FE$75,S37+1,FALSE),Sheet4!$A$1:$FE$75,HLOOKUP($W$1,伤害计算器!$AV$28:$BM$30,3,FALSE)+1,FALSE)</f>
        <v>0</v>
      </c>
      <c r="W37" s="9">
        <f>VLOOKUP(HLOOKUP("普",Sheet4!$A$1:$FE$75,S37+1,FALSE),Sheet4!$A$1:$FE$75,HLOOKUP($W$1,伤害计算器!$AV$28:$BM$30,3,FALSE)+2,FALSE)</f>
        <v>0</v>
      </c>
      <c r="X37" s="9">
        <f>VLOOKUP(HLOOKUP("普",Sheet4!$A$1:$FE$75,S37+1,FALSE),Sheet4!$A$1:$FE$75,HLOOKUP($W$1,伤害计算器!$AV$28:$BM$30,3,FALSE)+3,FALSE)</f>
        <v>0</v>
      </c>
      <c r="Y37" s="9">
        <f>VLOOKUP(HLOOKUP("普",Sheet4!$A$1:$FE$75,S37+1,FALSE),Sheet4!$A$1:$FE$75,HLOOKUP($W$1,伤害计算器!$AV$28:$BM$30,3,FALSE)+4,FALSE)</f>
        <v>0</v>
      </c>
      <c r="Z37" s="10">
        <f>VLOOKUP(HLOOKUP("普",Sheet4!$A$1:$FE$75,S37+1,FALSE),Sheet4!$A$1:$FE$75,HLOOKUP($W$1,伤害计算器!$AV$28:$BM$30,3,FALSE)+5,FALSE)</f>
        <v>0</v>
      </c>
      <c r="AA37" s="12">
        <f>VLOOKUP(HLOOKUP("普",Sheet4!$A$1:$FE$75,S37+1,FALSE),Sheet4!$A$1:$FE$75,HLOOKUP($W$1,伤害计算器!$AV$28:$BM$30,3,FALSE)+6,FALSE)</f>
        <v>0</v>
      </c>
      <c r="AB37" s="12"/>
      <c r="AC37" s="12"/>
      <c r="AD37" s="12"/>
      <c r="AE37" s="12"/>
      <c r="AF37" s="12"/>
      <c r="AG37" s="12"/>
      <c r="AH37">
        <f>VLOOKUP(HLOOKUP("普",Sheet4!$A$1:$FE$75,S37+1,FALSE),Sheet4!$A$1:$FF$75,HLOOKUP($W$1,伤害计算器!$AV$28:$BM$30,3,FALSE)+7,FALSE)</f>
        <v>0</v>
      </c>
    </row>
    <row r="38" spans="1:34">
      <c r="A38">
        <v>35</v>
      </c>
      <c r="B38" s="8" t="str">
        <f>IF(HLOOKUP(伤害计算器!$D$24,Sheet4!$A$1:$FE$75,A38+1,FALSE)=0," ",HLOOKUP(伤害计算器!$D$24,Sheet4!$A$1:$FE$75,A38+1,FALSE))</f>
        <v> </v>
      </c>
      <c r="C38" s="8">
        <f>VLOOKUP(HLOOKUP("普",Sheet4!$A$1:$FE$75,A38+1,FALSE),Sheet4!$A$1:$FE$75,HLOOKUP(伤害计算器!$D$24,伤害计算器!$AV$28:$BM$30,3,FALSE),FALSE)</f>
        <v>0</v>
      </c>
      <c r="D38" s="8">
        <f>VLOOKUP(HLOOKUP("普",Sheet4!$A$1:$FE$75,A38+1,FALSE),Sheet4!$A$1:$FE$75,HLOOKUP(伤害计算器!$D$24,伤害计算器!$AV$28:$BM$30,3,FALSE)+1,FALSE)</f>
        <v>0</v>
      </c>
      <c r="E38" s="8">
        <f>VLOOKUP(HLOOKUP("普",Sheet4!$A$1:$FE$75,A38+1,FALSE),Sheet4!$A$1:$FE$75,HLOOKUP(伤害计算器!$D$24,伤害计算器!$AV$28:$BM$30,3,FALSE)+2,FALSE)</f>
        <v>0</v>
      </c>
      <c r="F38" s="8">
        <f>VLOOKUP(HLOOKUP("普",Sheet4!$A$1:$FE$75,A38+1,FALSE),Sheet4!$A$1:$FE$75,HLOOKUP(伤害计算器!$D$24,伤害计算器!$AV$28:$BM$30,3,FALSE)+3,FALSE)</f>
        <v>0</v>
      </c>
      <c r="G38" s="8">
        <f>VLOOKUP(HLOOKUP("普",Sheet4!$A$1:$FE$75,A38+1,FALSE),Sheet4!$A$1:$FE$75,HLOOKUP(伤害计算器!$D$24,伤害计算器!$AV$28:$BM$30,3,FALSE)+4,FALSE)</f>
        <v>0</v>
      </c>
      <c r="H38" s="11">
        <f>VLOOKUP(HLOOKUP("普",Sheet4!$A$1:$FE$75,A38+1,FALSE),Sheet4!$A$1:$FE$75,HLOOKUP(伤害计算器!$D$24,伤害计算器!$AV$28:$BM$30,3,FALSE)+5,FALSE)</f>
        <v>0</v>
      </c>
      <c r="I38" s="12">
        <f>VLOOKUP(HLOOKUP("普",Sheet4!$A$1:$FE$75,A38+1,FALSE),Sheet4!$A$1:$FE$75,HLOOKUP(伤害计算器!$D$24,伤害计算器!$AV$28:$BM$30,3,FALSE)+6,FALSE)</f>
        <v>0</v>
      </c>
      <c r="J38" s="12"/>
      <c r="K38" s="12"/>
      <c r="L38" s="12"/>
      <c r="M38" s="12"/>
      <c r="N38" s="12"/>
      <c r="O38" s="12"/>
      <c r="P38">
        <f>VLOOKUP(HLOOKUP("普",Sheet4!$A$1:$FE$75,A38+1,FALSE),Sheet4!$A$1:$FF$75,HLOOKUP(伤害计算器!$D$24,伤害计算器!$AV$28:$BM$30,3,FALSE)+7,FALSE)</f>
        <v>0</v>
      </c>
      <c r="S38">
        <v>35</v>
      </c>
      <c r="T38" s="8" t="str">
        <f>IF(HLOOKUP($W$1,Sheet4!$A$1:$FE$75,S38+1,FALSE)=0," ",HLOOKUP($W$1,Sheet4!$A$1:$FE$75,S38+1,FALSE))</f>
        <v> </v>
      </c>
      <c r="U38" s="8">
        <f>VLOOKUP(HLOOKUP("普",Sheet4!$A$1:$FE$75,S38+1,FALSE),Sheet4!$A$1:$FE$75,HLOOKUP($W$1,伤害计算器!$AV$28:$BM$30,3,FALSE),FALSE)</f>
        <v>0</v>
      </c>
      <c r="V38" s="8">
        <f>VLOOKUP(HLOOKUP("普",Sheet4!$A$1:$FE$75,S38+1,FALSE),Sheet4!$A$1:$FE$75,HLOOKUP($W$1,伤害计算器!$AV$28:$BM$30,3,FALSE)+1,FALSE)</f>
        <v>0</v>
      </c>
      <c r="W38" s="9">
        <f>VLOOKUP(HLOOKUP("普",Sheet4!$A$1:$FE$75,S38+1,FALSE),Sheet4!$A$1:$FE$75,HLOOKUP($W$1,伤害计算器!$AV$28:$BM$30,3,FALSE)+2,FALSE)</f>
        <v>0</v>
      </c>
      <c r="X38" s="9">
        <f>VLOOKUP(HLOOKUP("普",Sheet4!$A$1:$FE$75,S38+1,FALSE),Sheet4!$A$1:$FE$75,HLOOKUP($W$1,伤害计算器!$AV$28:$BM$30,3,FALSE)+3,FALSE)</f>
        <v>0</v>
      </c>
      <c r="Y38" s="9">
        <f>VLOOKUP(HLOOKUP("普",Sheet4!$A$1:$FE$75,S38+1,FALSE),Sheet4!$A$1:$FE$75,HLOOKUP($W$1,伤害计算器!$AV$28:$BM$30,3,FALSE)+4,FALSE)</f>
        <v>0</v>
      </c>
      <c r="Z38" s="10">
        <f>VLOOKUP(HLOOKUP("普",Sheet4!$A$1:$FE$75,S38+1,FALSE),Sheet4!$A$1:$FE$75,HLOOKUP($W$1,伤害计算器!$AV$28:$BM$30,3,FALSE)+5,FALSE)</f>
        <v>0</v>
      </c>
      <c r="AA38" s="12">
        <f>VLOOKUP(HLOOKUP("普",Sheet4!$A$1:$FE$75,S38+1,FALSE),Sheet4!$A$1:$FE$75,HLOOKUP($W$1,伤害计算器!$AV$28:$BM$30,3,FALSE)+6,FALSE)</f>
        <v>0</v>
      </c>
      <c r="AB38" s="12"/>
      <c r="AC38" s="12"/>
      <c r="AD38" s="12"/>
      <c r="AE38" s="12"/>
      <c r="AF38" s="12"/>
      <c r="AG38" s="12"/>
      <c r="AH38">
        <f>VLOOKUP(HLOOKUP("普",Sheet4!$A$1:$FE$75,S38+1,FALSE),Sheet4!$A$1:$FF$75,HLOOKUP($W$1,伤害计算器!$AV$28:$BM$30,3,FALSE)+7,FALSE)</f>
        <v>0</v>
      </c>
    </row>
    <row r="39" spans="1:34">
      <c r="A39">
        <v>36</v>
      </c>
      <c r="B39" s="8" t="str">
        <f>IF(HLOOKUP(伤害计算器!$D$24,Sheet4!$A$1:$FE$75,A39+1,FALSE)=0," ",HLOOKUP(伤害计算器!$D$24,Sheet4!$A$1:$FE$75,A39+1,FALSE))</f>
        <v> </v>
      </c>
      <c r="C39" s="8">
        <f>VLOOKUP(HLOOKUP("普",Sheet4!$A$1:$FE$75,A39+1,FALSE),Sheet4!$A$1:$FE$75,HLOOKUP(伤害计算器!$D$24,伤害计算器!$AV$28:$BM$30,3,FALSE),FALSE)</f>
        <v>0</v>
      </c>
      <c r="D39" s="8">
        <f>VLOOKUP(HLOOKUP("普",Sheet4!$A$1:$FE$75,A39+1,FALSE),Sheet4!$A$1:$FE$75,HLOOKUP(伤害计算器!$D$24,伤害计算器!$AV$28:$BM$30,3,FALSE)+1,FALSE)</f>
        <v>0</v>
      </c>
      <c r="E39" s="8">
        <f>VLOOKUP(HLOOKUP("普",Sheet4!$A$1:$FE$75,A39+1,FALSE),Sheet4!$A$1:$FE$75,HLOOKUP(伤害计算器!$D$24,伤害计算器!$AV$28:$BM$30,3,FALSE)+2,FALSE)</f>
        <v>0</v>
      </c>
      <c r="F39" s="8">
        <f>VLOOKUP(HLOOKUP("普",Sheet4!$A$1:$FE$75,A39+1,FALSE),Sheet4!$A$1:$FE$75,HLOOKUP(伤害计算器!$D$24,伤害计算器!$AV$28:$BM$30,3,FALSE)+3,FALSE)</f>
        <v>0</v>
      </c>
      <c r="G39" s="8">
        <f>VLOOKUP(HLOOKUP("普",Sheet4!$A$1:$FE$75,A39+1,FALSE),Sheet4!$A$1:$FE$75,HLOOKUP(伤害计算器!$D$24,伤害计算器!$AV$28:$BM$30,3,FALSE)+4,FALSE)</f>
        <v>0</v>
      </c>
      <c r="H39" s="11">
        <f>VLOOKUP(HLOOKUP("普",Sheet4!$A$1:$FE$75,A39+1,FALSE),Sheet4!$A$1:$FE$75,HLOOKUP(伤害计算器!$D$24,伤害计算器!$AV$28:$BM$30,3,FALSE)+5,FALSE)</f>
        <v>0</v>
      </c>
      <c r="I39" s="12">
        <f>VLOOKUP(HLOOKUP("普",Sheet4!$A$1:$FE$75,A39+1,FALSE),Sheet4!$A$1:$FE$75,HLOOKUP(伤害计算器!$D$24,伤害计算器!$AV$28:$BM$30,3,FALSE)+6,FALSE)</f>
        <v>0</v>
      </c>
      <c r="J39" s="12"/>
      <c r="K39" s="12"/>
      <c r="L39" s="12"/>
      <c r="M39" s="12"/>
      <c r="N39" s="12"/>
      <c r="O39" s="12"/>
      <c r="P39">
        <f>VLOOKUP(HLOOKUP("普",Sheet4!$A$1:$FE$75,A39+1,FALSE),Sheet4!$A$1:$FF$75,HLOOKUP(伤害计算器!$D$24,伤害计算器!$AV$28:$BM$30,3,FALSE)+7,FALSE)</f>
        <v>0</v>
      </c>
      <c r="S39">
        <v>36</v>
      </c>
      <c r="T39" s="8" t="str">
        <f>IF(HLOOKUP($W$1,Sheet4!$A$1:$FE$75,S39+1,FALSE)=0," ",HLOOKUP($W$1,Sheet4!$A$1:$FE$75,S39+1,FALSE))</f>
        <v> </v>
      </c>
      <c r="U39" s="8">
        <f>VLOOKUP(HLOOKUP("普",Sheet4!$A$1:$FE$75,S39+1,FALSE),Sheet4!$A$1:$FE$75,HLOOKUP($W$1,伤害计算器!$AV$28:$BM$30,3,FALSE),FALSE)</f>
        <v>0</v>
      </c>
      <c r="V39" s="8">
        <f>VLOOKUP(HLOOKUP("普",Sheet4!$A$1:$FE$75,S39+1,FALSE),Sheet4!$A$1:$FE$75,HLOOKUP($W$1,伤害计算器!$AV$28:$BM$30,3,FALSE)+1,FALSE)</f>
        <v>0</v>
      </c>
      <c r="W39" s="9">
        <f>VLOOKUP(HLOOKUP("普",Sheet4!$A$1:$FE$75,S39+1,FALSE),Sheet4!$A$1:$FE$75,HLOOKUP($W$1,伤害计算器!$AV$28:$BM$30,3,FALSE)+2,FALSE)</f>
        <v>0</v>
      </c>
      <c r="X39" s="9">
        <f>VLOOKUP(HLOOKUP("普",Sheet4!$A$1:$FE$75,S39+1,FALSE),Sheet4!$A$1:$FE$75,HLOOKUP($W$1,伤害计算器!$AV$28:$BM$30,3,FALSE)+3,FALSE)</f>
        <v>0</v>
      </c>
      <c r="Y39" s="9">
        <f>VLOOKUP(HLOOKUP("普",Sheet4!$A$1:$FE$75,S39+1,FALSE),Sheet4!$A$1:$FE$75,HLOOKUP($W$1,伤害计算器!$AV$28:$BM$30,3,FALSE)+4,FALSE)</f>
        <v>0</v>
      </c>
      <c r="Z39" s="10">
        <f>VLOOKUP(HLOOKUP("普",Sheet4!$A$1:$FE$75,S39+1,FALSE),Sheet4!$A$1:$FE$75,HLOOKUP($W$1,伤害计算器!$AV$28:$BM$30,3,FALSE)+5,FALSE)</f>
        <v>0</v>
      </c>
      <c r="AA39" s="12">
        <f>VLOOKUP(HLOOKUP("普",Sheet4!$A$1:$FE$75,S39+1,FALSE),Sheet4!$A$1:$FE$75,HLOOKUP($W$1,伤害计算器!$AV$28:$BM$30,3,FALSE)+6,FALSE)</f>
        <v>0</v>
      </c>
      <c r="AB39" s="12"/>
      <c r="AC39" s="12"/>
      <c r="AD39" s="12"/>
      <c r="AE39" s="12"/>
      <c r="AF39" s="12"/>
      <c r="AG39" s="12"/>
      <c r="AH39">
        <f>VLOOKUP(HLOOKUP("普",Sheet4!$A$1:$FE$75,S39+1,FALSE),Sheet4!$A$1:$FF$75,HLOOKUP($W$1,伤害计算器!$AV$28:$BM$30,3,FALSE)+7,FALSE)</f>
        <v>0</v>
      </c>
    </row>
    <row r="40" spans="1:34">
      <c r="A40">
        <v>37</v>
      </c>
      <c r="B40" s="8" t="str">
        <f>IF(HLOOKUP(伤害计算器!$D$24,Sheet4!$A$1:$FE$75,A40+1,FALSE)=0," ",HLOOKUP(伤害计算器!$D$24,Sheet4!$A$1:$FE$75,A40+1,FALSE))</f>
        <v> </v>
      </c>
      <c r="C40" s="8">
        <f>VLOOKUP(HLOOKUP("普",Sheet4!$A$1:$FE$75,A40+1,FALSE),Sheet4!$A$1:$FE$75,HLOOKUP(伤害计算器!$D$24,伤害计算器!$AV$28:$BM$30,3,FALSE),FALSE)</f>
        <v>0</v>
      </c>
      <c r="D40" s="8">
        <f>VLOOKUP(HLOOKUP("普",Sheet4!$A$1:$FE$75,A40+1,FALSE),Sheet4!$A$1:$FE$75,HLOOKUP(伤害计算器!$D$24,伤害计算器!$AV$28:$BM$30,3,FALSE)+1,FALSE)</f>
        <v>0</v>
      </c>
      <c r="E40" s="8">
        <f>VLOOKUP(HLOOKUP("普",Sheet4!$A$1:$FE$75,A40+1,FALSE),Sheet4!$A$1:$FE$75,HLOOKUP(伤害计算器!$D$24,伤害计算器!$AV$28:$BM$30,3,FALSE)+2,FALSE)</f>
        <v>0</v>
      </c>
      <c r="F40" s="8">
        <f>VLOOKUP(HLOOKUP("普",Sheet4!$A$1:$FE$75,A40+1,FALSE),Sheet4!$A$1:$FE$75,HLOOKUP(伤害计算器!$D$24,伤害计算器!$AV$28:$BM$30,3,FALSE)+3,FALSE)</f>
        <v>0</v>
      </c>
      <c r="G40" s="8">
        <f>VLOOKUP(HLOOKUP("普",Sheet4!$A$1:$FE$75,A40+1,FALSE),Sheet4!$A$1:$FE$75,HLOOKUP(伤害计算器!$D$24,伤害计算器!$AV$28:$BM$30,3,FALSE)+4,FALSE)</f>
        <v>0</v>
      </c>
      <c r="H40" s="11">
        <f>VLOOKUP(HLOOKUP("普",Sheet4!$A$1:$FE$75,A40+1,FALSE),Sheet4!$A$1:$FE$75,HLOOKUP(伤害计算器!$D$24,伤害计算器!$AV$28:$BM$30,3,FALSE)+5,FALSE)</f>
        <v>0</v>
      </c>
      <c r="I40" s="12">
        <f>VLOOKUP(HLOOKUP("普",Sheet4!$A$1:$FE$75,A40+1,FALSE),Sheet4!$A$1:$FE$75,HLOOKUP(伤害计算器!$D$24,伤害计算器!$AV$28:$BM$30,3,FALSE)+6,FALSE)</f>
        <v>0</v>
      </c>
      <c r="J40" s="12"/>
      <c r="K40" s="12"/>
      <c r="L40" s="12"/>
      <c r="M40" s="12"/>
      <c r="N40" s="12"/>
      <c r="O40" s="12"/>
      <c r="P40">
        <f>VLOOKUP(HLOOKUP("普",Sheet4!$A$1:$FE$75,A40+1,FALSE),Sheet4!$A$1:$FF$75,HLOOKUP(伤害计算器!$D$24,伤害计算器!$AV$28:$BM$30,3,FALSE)+7,FALSE)</f>
        <v>0</v>
      </c>
      <c r="S40">
        <v>37</v>
      </c>
      <c r="T40" s="8" t="str">
        <f>IF(HLOOKUP($W$1,Sheet4!$A$1:$FE$75,S40+1,FALSE)=0," ",HLOOKUP($W$1,Sheet4!$A$1:$FE$75,S40+1,FALSE))</f>
        <v> </v>
      </c>
      <c r="U40" s="8">
        <f>VLOOKUP(HLOOKUP("普",Sheet4!$A$1:$FE$75,S40+1,FALSE),Sheet4!$A$1:$FE$75,HLOOKUP($W$1,伤害计算器!$AV$28:$BM$30,3,FALSE),FALSE)</f>
        <v>0</v>
      </c>
      <c r="V40" s="8">
        <f>VLOOKUP(HLOOKUP("普",Sheet4!$A$1:$FE$75,S40+1,FALSE),Sheet4!$A$1:$FE$75,HLOOKUP($W$1,伤害计算器!$AV$28:$BM$30,3,FALSE)+1,FALSE)</f>
        <v>0</v>
      </c>
      <c r="W40" s="9">
        <f>VLOOKUP(HLOOKUP("普",Sheet4!$A$1:$FE$75,S40+1,FALSE),Sheet4!$A$1:$FE$75,HLOOKUP($W$1,伤害计算器!$AV$28:$BM$30,3,FALSE)+2,FALSE)</f>
        <v>0</v>
      </c>
      <c r="X40" s="9">
        <f>VLOOKUP(HLOOKUP("普",Sheet4!$A$1:$FE$75,S40+1,FALSE),Sheet4!$A$1:$FE$75,HLOOKUP($W$1,伤害计算器!$AV$28:$BM$30,3,FALSE)+3,FALSE)</f>
        <v>0</v>
      </c>
      <c r="Y40" s="9">
        <f>VLOOKUP(HLOOKUP("普",Sheet4!$A$1:$FE$75,S40+1,FALSE),Sheet4!$A$1:$FE$75,HLOOKUP($W$1,伤害计算器!$AV$28:$BM$30,3,FALSE)+4,FALSE)</f>
        <v>0</v>
      </c>
      <c r="Z40" s="10">
        <f>VLOOKUP(HLOOKUP("普",Sheet4!$A$1:$FE$75,S40+1,FALSE),Sheet4!$A$1:$FE$75,HLOOKUP($W$1,伤害计算器!$AV$28:$BM$30,3,FALSE)+5,FALSE)</f>
        <v>0</v>
      </c>
      <c r="AA40" s="12">
        <f>VLOOKUP(HLOOKUP("普",Sheet4!$A$1:$FE$75,S40+1,FALSE),Sheet4!$A$1:$FE$75,HLOOKUP($W$1,伤害计算器!$AV$28:$BM$30,3,FALSE)+6,FALSE)</f>
        <v>0</v>
      </c>
      <c r="AB40" s="12"/>
      <c r="AC40" s="12"/>
      <c r="AD40" s="12"/>
      <c r="AE40" s="12"/>
      <c r="AF40" s="12"/>
      <c r="AG40" s="12"/>
      <c r="AH40">
        <f>VLOOKUP(HLOOKUP("普",Sheet4!$A$1:$FE$75,S40+1,FALSE),Sheet4!$A$1:$FF$75,HLOOKUP($W$1,伤害计算器!$AV$28:$BM$30,3,FALSE)+7,FALSE)</f>
        <v>0</v>
      </c>
    </row>
    <row r="41" spans="1:34">
      <c r="A41">
        <v>38</v>
      </c>
      <c r="B41" s="8" t="str">
        <f>IF(HLOOKUP(伤害计算器!$D$24,Sheet4!$A$1:$FE$75,A41+1,FALSE)=0," ",HLOOKUP(伤害计算器!$D$24,Sheet4!$A$1:$FE$75,A41+1,FALSE))</f>
        <v> </v>
      </c>
      <c r="C41" s="8">
        <f>VLOOKUP(HLOOKUP("普",Sheet4!$A$1:$FE$75,A41+1,FALSE),Sheet4!$A$1:$FE$75,HLOOKUP(伤害计算器!$D$24,伤害计算器!$AV$28:$BM$30,3,FALSE),FALSE)</f>
        <v>0</v>
      </c>
      <c r="D41" s="8">
        <f>VLOOKUP(HLOOKUP("普",Sheet4!$A$1:$FE$75,A41+1,FALSE),Sheet4!$A$1:$FE$75,HLOOKUP(伤害计算器!$D$24,伤害计算器!$AV$28:$BM$30,3,FALSE)+1,FALSE)</f>
        <v>0</v>
      </c>
      <c r="E41" s="8">
        <f>VLOOKUP(HLOOKUP("普",Sheet4!$A$1:$FE$75,A41+1,FALSE),Sheet4!$A$1:$FE$75,HLOOKUP(伤害计算器!$D$24,伤害计算器!$AV$28:$BM$30,3,FALSE)+2,FALSE)</f>
        <v>0</v>
      </c>
      <c r="F41" s="8">
        <f>VLOOKUP(HLOOKUP("普",Sheet4!$A$1:$FE$75,A41+1,FALSE),Sheet4!$A$1:$FE$75,HLOOKUP(伤害计算器!$D$24,伤害计算器!$AV$28:$BM$30,3,FALSE)+3,FALSE)</f>
        <v>0</v>
      </c>
      <c r="G41" s="8">
        <f>VLOOKUP(HLOOKUP("普",Sheet4!$A$1:$FE$75,A41+1,FALSE),Sheet4!$A$1:$FE$75,HLOOKUP(伤害计算器!$D$24,伤害计算器!$AV$28:$BM$30,3,FALSE)+4,FALSE)</f>
        <v>0</v>
      </c>
      <c r="H41" s="11">
        <f>VLOOKUP(HLOOKUP("普",Sheet4!$A$1:$FE$75,A41+1,FALSE),Sheet4!$A$1:$FE$75,HLOOKUP(伤害计算器!$D$24,伤害计算器!$AV$28:$BM$30,3,FALSE)+5,FALSE)</f>
        <v>0</v>
      </c>
      <c r="I41" s="12">
        <f>VLOOKUP(HLOOKUP("普",Sheet4!$A$1:$FE$75,A41+1,FALSE),Sheet4!$A$1:$FE$75,HLOOKUP(伤害计算器!$D$24,伤害计算器!$AV$28:$BM$30,3,FALSE)+6,FALSE)</f>
        <v>0</v>
      </c>
      <c r="J41" s="12"/>
      <c r="K41" s="12"/>
      <c r="L41" s="12"/>
      <c r="M41" s="12"/>
      <c r="N41" s="12"/>
      <c r="O41" s="12"/>
      <c r="P41">
        <f>VLOOKUP(HLOOKUP("普",Sheet4!$A$1:$FE$75,A41+1,FALSE),Sheet4!$A$1:$FF$75,HLOOKUP(伤害计算器!$D$24,伤害计算器!$AV$28:$BM$30,3,FALSE)+7,FALSE)</f>
        <v>0</v>
      </c>
      <c r="S41">
        <v>38</v>
      </c>
      <c r="T41" s="8" t="str">
        <f>IF(HLOOKUP($W$1,Sheet4!$A$1:$FE$75,S41+1,FALSE)=0," ",HLOOKUP($W$1,Sheet4!$A$1:$FE$75,S41+1,FALSE))</f>
        <v> </v>
      </c>
      <c r="U41" s="8">
        <f>VLOOKUP(HLOOKUP("普",Sheet4!$A$1:$FE$75,S41+1,FALSE),Sheet4!$A$1:$FE$75,HLOOKUP($W$1,伤害计算器!$AV$28:$BM$30,3,FALSE),FALSE)</f>
        <v>0</v>
      </c>
      <c r="V41" s="8">
        <f>VLOOKUP(HLOOKUP("普",Sheet4!$A$1:$FE$75,S41+1,FALSE),Sheet4!$A$1:$FE$75,HLOOKUP($W$1,伤害计算器!$AV$28:$BM$30,3,FALSE)+1,FALSE)</f>
        <v>0</v>
      </c>
      <c r="W41" s="9">
        <f>VLOOKUP(HLOOKUP("普",Sheet4!$A$1:$FE$75,S41+1,FALSE),Sheet4!$A$1:$FE$75,HLOOKUP($W$1,伤害计算器!$AV$28:$BM$30,3,FALSE)+2,FALSE)</f>
        <v>0</v>
      </c>
      <c r="X41" s="9">
        <f>VLOOKUP(HLOOKUP("普",Sheet4!$A$1:$FE$75,S41+1,FALSE),Sheet4!$A$1:$FE$75,HLOOKUP($W$1,伤害计算器!$AV$28:$BM$30,3,FALSE)+3,FALSE)</f>
        <v>0</v>
      </c>
      <c r="Y41" s="9">
        <f>VLOOKUP(HLOOKUP("普",Sheet4!$A$1:$FE$75,S41+1,FALSE),Sheet4!$A$1:$FE$75,HLOOKUP($W$1,伤害计算器!$AV$28:$BM$30,3,FALSE)+4,FALSE)</f>
        <v>0</v>
      </c>
      <c r="Z41" s="10">
        <f>VLOOKUP(HLOOKUP("普",Sheet4!$A$1:$FE$75,S41+1,FALSE),Sheet4!$A$1:$FE$75,HLOOKUP($W$1,伤害计算器!$AV$28:$BM$30,3,FALSE)+5,FALSE)</f>
        <v>0</v>
      </c>
      <c r="AA41" s="12">
        <f>VLOOKUP(HLOOKUP("普",Sheet4!$A$1:$FE$75,S41+1,FALSE),Sheet4!$A$1:$FE$75,HLOOKUP($W$1,伤害计算器!$AV$28:$BM$30,3,FALSE)+6,FALSE)</f>
        <v>0</v>
      </c>
      <c r="AB41" s="12"/>
      <c r="AC41" s="12"/>
      <c r="AD41" s="12"/>
      <c r="AE41" s="12"/>
      <c r="AF41" s="12"/>
      <c r="AG41" s="12"/>
      <c r="AH41">
        <f>VLOOKUP(HLOOKUP("普",Sheet4!$A$1:$FE$75,S41+1,FALSE),Sheet4!$A$1:$FF$75,HLOOKUP($W$1,伤害计算器!$AV$28:$BM$30,3,FALSE)+7,FALSE)</f>
        <v>0</v>
      </c>
    </row>
    <row r="42" spans="1:34">
      <c r="A42">
        <v>39</v>
      </c>
      <c r="B42" s="8" t="str">
        <f>IF(HLOOKUP(伤害计算器!$D$24,Sheet4!$A$1:$FE$75,A42+1,FALSE)=0," ",HLOOKUP(伤害计算器!$D$24,Sheet4!$A$1:$FE$75,A42+1,FALSE))</f>
        <v> </v>
      </c>
      <c r="C42" s="8">
        <f>VLOOKUP(HLOOKUP("普",Sheet4!$A$1:$FE$75,A42+1,FALSE),Sheet4!$A$1:$FE$75,HLOOKUP(伤害计算器!$D$24,伤害计算器!$AV$28:$BM$30,3,FALSE),FALSE)</f>
        <v>0</v>
      </c>
      <c r="D42" s="8">
        <f>VLOOKUP(HLOOKUP("普",Sheet4!$A$1:$FE$75,A42+1,FALSE),Sheet4!$A$1:$FE$75,HLOOKUP(伤害计算器!$D$24,伤害计算器!$AV$28:$BM$30,3,FALSE)+1,FALSE)</f>
        <v>0</v>
      </c>
      <c r="E42" s="8">
        <f>VLOOKUP(HLOOKUP("普",Sheet4!$A$1:$FE$75,A42+1,FALSE),Sheet4!$A$1:$FE$75,HLOOKUP(伤害计算器!$D$24,伤害计算器!$AV$28:$BM$30,3,FALSE)+2,FALSE)</f>
        <v>0</v>
      </c>
      <c r="F42" s="8">
        <f>VLOOKUP(HLOOKUP("普",Sheet4!$A$1:$FE$75,A42+1,FALSE),Sheet4!$A$1:$FE$75,HLOOKUP(伤害计算器!$D$24,伤害计算器!$AV$28:$BM$30,3,FALSE)+3,FALSE)</f>
        <v>0</v>
      </c>
      <c r="G42" s="8">
        <f>VLOOKUP(HLOOKUP("普",Sheet4!$A$1:$FE$75,A42+1,FALSE),Sheet4!$A$1:$FE$75,HLOOKUP(伤害计算器!$D$24,伤害计算器!$AV$28:$BM$30,3,FALSE)+4,FALSE)</f>
        <v>0</v>
      </c>
      <c r="H42" s="11">
        <f>VLOOKUP(HLOOKUP("普",Sheet4!$A$1:$FE$75,A42+1,FALSE),Sheet4!$A$1:$FE$75,HLOOKUP(伤害计算器!$D$24,伤害计算器!$AV$28:$BM$30,3,FALSE)+5,FALSE)</f>
        <v>0</v>
      </c>
      <c r="I42" s="12">
        <f>VLOOKUP(HLOOKUP("普",Sheet4!$A$1:$FE$75,A42+1,FALSE),Sheet4!$A$1:$FE$75,HLOOKUP(伤害计算器!$D$24,伤害计算器!$AV$28:$BM$30,3,FALSE)+6,FALSE)</f>
        <v>0</v>
      </c>
      <c r="J42" s="12"/>
      <c r="K42" s="12"/>
      <c r="L42" s="12"/>
      <c r="M42" s="12"/>
      <c r="N42" s="12"/>
      <c r="O42" s="12"/>
      <c r="P42">
        <f>VLOOKUP(HLOOKUP("普",Sheet4!$A$1:$FE$75,A42+1,FALSE),Sheet4!$A$1:$FF$75,HLOOKUP(伤害计算器!$D$24,伤害计算器!$AV$28:$BM$30,3,FALSE)+7,FALSE)</f>
        <v>0</v>
      </c>
      <c r="S42">
        <v>39</v>
      </c>
      <c r="T42" s="8" t="str">
        <f>IF(HLOOKUP($W$1,Sheet4!$A$1:$FE$75,S42+1,FALSE)=0," ",HLOOKUP($W$1,Sheet4!$A$1:$FE$75,S42+1,FALSE))</f>
        <v> </v>
      </c>
      <c r="U42" s="8">
        <f>VLOOKUP(HLOOKUP("普",Sheet4!$A$1:$FE$75,S42+1,FALSE),Sheet4!$A$1:$FE$75,HLOOKUP($W$1,伤害计算器!$AV$28:$BM$30,3,FALSE),FALSE)</f>
        <v>0</v>
      </c>
      <c r="V42" s="8">
        <f>VLOOKUP(HLOOKUP("普",Sheet4!$A$1:$FE$75,S42+1,FALSE),Sheet4!$A$1:$FE$75,HLOOKUP($W$1,伤害计算器!$AV$28:$BM$30,3,FALSE)+1,FALSE)</f>
        <v>0</v>
      </c>
      <c r="W42" s="9">
        <f>VLOOKUP(HLOOKUP("普",Sheet4!$A$1:$FE$75,S42+1,FALSE),Sheet4!$A$1:$FE$75,HLOOKUP($W$1,伤害计算器!$AV$28:$BM$30,3,FALSE)+2,FALSE)</f>
        <v>0</v>
      </c>
      <c r="X42" s="9">
        <f>VLOOKUP(HLOOKUP("普",Sheet4!$A$1:$FE$75,S42+1,FALSE),Sheet4!$A$1:$FE$75,HLOOKUP($W$1,伤害计算器!$AV$28:$BM$30,3,FALSE)+3,FALSE)</f>
        <v>0</v>
      </c>
      <c r="Y42" s="9">
        <f>VLOOKUP(HLOOKUP("普",Sheet4!$A$1:$FE$75,S42+1,FALSE),Sheet4!$A$1:$FE$75,HLOOKUP($W$1,伤害计算器!$AV$28:$BM$30,3,FALSE)+4,FALSE)</f>
        <v>0</v>
      </c>
      <c r="Z42" s="10">
        <f>VLOOKUP(HLOOKUP("普",Sheet4!$A$1:$FE$75,S42+1,FALSE),Sheet4!$A$1:$FE$75,HLOOKUP($W$1,伤害计算器!$AV$28:$BM$30,3,FALSE)+5,FALSE)</f>
        <v>0</v>
      </c>
      <c r="AA42" s="12">
        <f>VLOOKUP(HLOOKUP("普",Sheet4!$A$1:$FE$75,S42+1,FALSE),Sheet4!$A$1:$FE$75,HLOOKUP($W$1,伤害计算器!$AV$28:$BM$30,3,FALSE)+6,FALSE)</f>
        <v>0</v>
      </c>
      <c r="AB42" s="12"/>
      <c r="AC42" s="12"/>
      <c r="AD42" s="12"/>
      <c r="AE42" s="12"/>
      <c r="AF42" s="12"/>
      <c r="AG42" s="12"/>
      <c r="AH42">
        <f>VLOOKUP(HLOOKUP("普",Sheet4!$A$1:$FE$75,S42+1,FALSE),Sheet4!$A$1:$FF$75,HLOOKUP($W$1,伤害计算器!$AV$28:$BM$30,3,FALSE)+7,FALSE)</f>
        <v>0</v>
      </c>
    </row>
    <row r="43" spans="1:34">
      <c r="A43">
        <v>40</v>
      </c>
      <c r="B43" s="8" t="str">
        <f>IF(HLOOKUP(伤害计算器!$D$24,Sheet4!$A$1:$FE$75,A43+1,FALSE)=0," ",HLOOKUP(伤害计算器!$D$24,Sheet4!$A$1:$FE$75,A43+1,FALSE))</f>
        <v> </v>
      </c>
      <c r="C43" s="8">
        <f>VLOOKUP(HLOOKUP("普",Sheet4!$A$1:$FE$75,A43+1,FALSE),Sheet4!$A$1:$FE$75,HLOOKUP(伤害计算器!$D$24,伤害计算器!$AV$28:$BM$30,3,FALSE),FALSE)</f>
        <v>0</v>
      </c>
      <c r="D43" s="8">
        <f>VLOOKUP(HLOOKUP("普",Sheet4!$A$1:$FE$75,A43+1,FALSE),Sheet4!$A$1:$FE$75,HLOOKUP(伤害计算器!$D$24,伤害计算器!$AV$28:$BM$30,3,FALSE)+1,FALSE)</f>
        <v>0</v>
      </c>
      <c r="E43" s="8">
        <f>VLOOKUP(HLOOKUP("普",Sheet4!$A$1:$FE$75,A43+1,FALSE),Sheet4!$A$1:$FE$75,HLOOKUP(伤害计算器!$D$24,伤害计算器!$AV$28:$BM$30,3,FALSE)+2,FALSE)</f>
        <v>0</v>
      </c>
      <c r="F43" s="8">
        <f>VLOOKUP(HLOOKUP("普",Sheet4!$A$1:$FE$75,A43+1,FALSE),Sheet4!$A$1:$FE$75,HLOOKUP(伤害计算器!$D$24,伤害计算器!$AV$28:$BM$30,3,FALSE)+3,FALSE)</f>
        <v>0</v>
      </c>
      <c r="G43" s="8">
        <f>VLOOKUP(HLOOKUP("普",Sheet4!$A$1:$FE$75,A43+1,FALSE),Sheet4!$A$1:$FE$75,HLOOKUP(伤害计算器!$D$24,伤害计算器!$AV$28:$BM$30,3,FALSE)+4,FALSE)</f>
        <v>0</v>
      </c>
      <c r="H43" s="11">
        <f>VLOOKUP(HLOOKUP("普",Sheet4!$A$1:$FE$75,A43+1,FALSE),Sheet4!$A$1:$FE$75,HLOOKUP(伤害计算器!$D$24,伤害计算器!$AV$28:$BM$30,3,FALSE)+5,FALSE)</f>
        <v>0</v>
      </c>
      <c r="I43" s="12">
        <f>VLOOKUP(HLOOKUP("普",Sheet4!$A$1:$FE$75,A43+1,FALSE),Sheet4!$A$1:$FE$75,HLOOKUP(伤害计算器!$D$24,伤害计算器!$AV$28:$BM$30,3,FALSE)+6,FALSE)</f>
        <v>0</v>
      </c>
      <c r="J43" s="12"/>
      <c r="K43" s="12"/>
      <c r="L43" s="12"/>
      <c r="M43" s="12"/>
      <c r="N43" s="12"/>
      <c r="O43" s="12"/>
      <c r="P43">
        <f>VLOOKUP(HLOOKUP("普",Sheet4!$A$1:$FE$75,A43+1,FALSE),Sheet4!$A$1:$FF$75,HLOOKUP(伤害计算器!$D$24,伤害计算器!$AV$28:$BM$30,3,FALSE)+7,FALSE)</f>
        <v>0</v>
      </c>
      <c r="S43">
        <v>40</v>
      </c>
      <c r="T43" s="8" t="str">
        <f>IF(HLOOKUP($W$1,Sheet4!$A$1:$FE$75,S43+1,FALSE)=0," ",HLOOKUP($W$1,Sheet4!$A$1:$FE$75,S43+1,FALSE))</f>
        <v> </v>
      </c>
      <c r="U43" s="8">
        <f>VLOOKUP(HLOOKUP("普",Sheet4!$A$1:$FE$75,S43+1,FALSE),Sheet4!$A$1:$FE$75,HLOOKUP($W$1,伤害计算器!$AV$28:$BM$30,3,FALSE),FALSE)</f>
        <v>0</v>
      </c>
      <c r="V43" s="8">
        <f>VLOOKUP(HLOOKUP("普",Sheet4!$A$1:$FE$75,S43+1,FALSE),Sheet4!$A$1:$FE$75,HLOOKUP($W$1,伤害计算器!$AV$28:$BM$30,3,FALSE)+1,FALSE)</f>
        <v>0</v>
      </c>
      <c r="W43" s="9">
        <f>VLOOKUP(HLOOKUP("普",Sheet4!$A$1:$FE$75,S43+1,FALSE),Sheet4!$A$1:$FE$75,HLOOKUP($W$1,伤害计算器!$AV$28:$BM$30,3,FALSE)+2,FALSE)</f>
        <v>0</v>
      </c>
      <c r="X43" s="9">
        <f>VLOOKUP(HLOOKUP("普",Sheet4!$A$1:$FE$75,S43+1,FALSE),Sheet4!$A$1:$FE$75,HLOOKUP($W$1,伤害计算器!$AV$28:$BM$30,3,FALSE)+3,FALSE)</f>
        <v>0</v>
      </c>
      <c r="Y43" s="9">
        <f>VLOOKUP(HLOOKUP("普",Sheet4!$A$1:$FE$75,S43+1,FALSE),Sheet4!$A$1:$FE$75,HLOOKUP($W$1,伤害计算器!$AV$28:$BM$30,3,FALSE)+4,FALSE)</f>
        <v>0</v>
      </c>
      <c r="Z43" s="10">
        <f>VLOOKUP(HLOOKUP("普",Sheet4!$A$1:$FE$75,S43+1,FALSE),Sheet4!$A$1:$FE$75,HLOOKUP($W$1,伤害计算器!$AV$28:$BM$30,3,FALSE)+5,FALSE)</f>
        <v>0</v>
      </c>
      <c r="AA43" s="12">
        <f>VLOOKUP(HLOOKUP("普",Sheet4!$A$1:$FE$75,S43+1,FALSE),Sheet4!$A$1:$FE$75,HLOOKUP($W$1,伤害计算器!$AV$28:$BM$30,3,FALSE)+6,FALSE)</f>
        <v>0</v>
      </c>
      <c r="AB43" s="12"/>
      <c r="AC43" s="12"/>
      <c r="AD43" s="12"/>
      <c r="AE43" s="12"/>
      <c r="AF43" s="12"/>
      <c r="AG43" s="12"/>
      <c r="AH43">
        <f>VLOOKUP(HLOOKUP("普",Sheet4!$A$1:$FE$75,S43+1,FALSE),Sheet4!$A$1:$FF$75,HLOOKUP($W$1,伤害计算器!$AV$28:$BM$30,3,FALSE)+7,FALSE)</f>
        <v>0</v>
      </c>
    </row>
    <row r="44" spans="1:34">
      <c r="A44">
        <v>41</v>
      </c>
      <c r="B44" s="8" t="str">
        <f>IF(HLOOKUP(伤害计算器!$D$24,Sheet4!$A$1:$FE$75,A44+1,FALSE)=0," ",HLOOKUP(伤害计算器!$D$24,Sheet4!$A$1:$FE$75,A44+1,FALSE))</f>
        <v> </v>
      </c>
      <c r="C44" s="8">
        <f>VLOOKUP(HLOOKUP("普",Sheet4!$A$1:$FE$75,A44+1,FALSE),Sheet4!$A$1:$FE$75,HLOOKUP(伤害计算器!$D$24,伤害计算器!$AV$28:$BM$30,3,FALSE),FALSE)</f>
        <v>0</v>
      </c>
      <c r="D44" s="8">
        <f>VLOOKUP(HLOOKUP("普",Sheet4!$A$1:$FE$75,A44+1,FALSE),Sheet4!$A$1:$FE$75,HLOOKUP(伤害计算器!$D$24,伤害计算器!$AV$28:$BM$30,3,FALSE)+1,FALSE)</f>
        <v>0</v>
      </c>
      <c r="E44" s="8">
        <f>VLOOKUP(HLOOKUP("普",Sheet4!$A$1:$FE$75,A44+1,FALSE),Sheet4!$A$1:$FE$75,HLOOKUP(伤害计算器!$D$24,伤害计算器!$AV$28:$BM$30,3,FALSE)+2,FALSE)</f>
        <v>0</v>
      </c>
      <c r="F44" s="8">
        <f>VLOOKUP(HLOOKUP("普",Sheet4!$A$1:$FE$75,A44+1,FALSE),Sheet4!$A$1:$FE$75,HLOOKUP(伤害计算器!$D$24,伤害计算器!$AV$28:$BM$30,3,FALSE)+3,FALSE)</f>
        <v>0</v>
      </c>
      <c r="G44" s="8">
        <f>VLOOKUP(HLOOKUP("普",Sheet4!$A$1:$FE$75,A44+1,FALSE),Sheet4!$A$1:$FE$75,HLOOKUP(伤害计算器!$D$24,伤害计算器!$AV$28:$BM$30,3,FALSE)+4,FALSE)</f>
        <v>0</v>
      </c>
      <c r="H44" s="11">
        <f>VLOOKUP(HLOOKUP("普",Sheet4!$A$1:$FE$75,A44+1,FALSE),Sheet4!$A$1:$FE$75,HLOOKUP(伤害计算器!$D$24,伤害计算器!$AV$28:$BM$30,3,FALSE)+5,FALSE)</f>
        <v>0</v>
      </c>
      <c r="I44" s="12">
        <f>VLOOKUP(HLOOKUP("普",Sheet4!$A$1:$FE$75,A44+1,FALSE),Sheet4!$A$1:$FE$75,HLOOKUP(伤害计算器!$D$24,伤害计算器!$AV$28:$BM$30,3,FALSE)+6,FALSE)</f>
        <v>0</v>
      </c>
      <c r="J44" s="12"/>
      <c r="K44" s="12"/>
      <c r="L44" s="12"/>
      <c r="M44" s="12"/>
      <c r="N44" s="12"/>
      <c r="O44" s="12"/>
      <c r="P44">
        <f>VLOOKUP(HLOOKUP("普",Sheet4!$A$1:$FE$75,A44+1,FALSE),Sheet4!$A$1:$FF$75,HLOOKUP(伤害计算器!$D$24,伤害计算器!$AV$28:$BM$30,3,FALSE)+7,FALSE)</f>
        <v>0</v>
      </c>
      <c r="S44">
        <v>41</v>
      </c>
      <c r="T44" s="8" t="str">
        <f>IF(HLOOKUP($W$1,Sheet4!$A$1:$FE$75,S44+1,FALSE)=0," ",HLOOKUP($W$1,Sheet4!$A$1:$FE$75,S44+1,FALSE))</f>
        <v> </v>
      </c>
      <c r="U44" s="8">
        <f>VLOOKUP(HLOOKUP("普",Sheet4!$A$1:$FE$75,S44+1,FALSE),Sheet4!$A$1:$FE$75,HLOOKUP($W$1,伤害计算器!$AV$28:$BM$30,3,FALSE),FALSE)</f>
        <v>0</v>
      </c>
      <c r="V44" s="8">
        <f>VLOOKUP(HLOOKUP("普",Sheet4!$A$1:$FE$75,S44+1,FALSE),Sheet4!$A$1:$FE$75,HLOOKUP($W$1,伤害计算器!$AV$28:$BM$30,3,FALSE)+1,FALSE)</f>
        <v>0</v>
      </c>
      <c r="W44" s="9">
        <f>VLOOKUP(HLOOKUP("普",Sheet4!$A$1:$FE$75,S44+1,FALSE),Sheet4!$A$1:$FE$75,HLOOKUP($W$1,伤害计算器!$AV$28:$BM$30,3,FALSE)+2,FALSE)</f>
        <v>0</v>
      </c>
      <c r="X44" s="9">
        <f>VLOOKUP(HLOOKUP("普",Sheet4!$A$1:$FE$75,S44+1,FALSE),Sheet4!$A$1:$FE$75,HLOOKUP($W$1,伤害计算器!$AV$28:$BM$30,3,FALSE)+3,FALSE)</f>
        <v>0</v>
      </c>
      <c r="Y44" s="9">
        <f>VLOOKUP(HLOOKUP("普",Sheet4!$A$1:$FE$75,S44+1,FALSE),Sheet4!$A$1:$FE$75,HLOOKUP($W$1,伤害计算器!$AV$28:$BM$30,3,FALSE)+4,FALSE)</f>
        <v>0</v>
      </c>
      <c r="Z44" s="10">
        <f>VLOOKUP(HLOOKUP("普",Sheet4!$A$1:$FE$75,S44+1,FALSE),Sheet4!$A$1:$FE$75,HLOOKUP($W$1,伤害计算器!$AV$28:$BM$30,3,FALSE)+5,FALSE)</f>
        <v>0</v>
      </c>
      <c r="AA44" s="12">
        <f>VLOOKUP(HLOOKUP("普",Sheet4!$A$1:$FE$75,S44+1,FALSE),Sheet4!$A$1:$FE$75,HLOOKUP($W$1,伤害计算器!$AV$28:$BM$30,3,FALSE)+6,FALSE)</f>
        <v>0</v>
      </c>
      <c r="AB44" s="12"/>
      <c r="AC44" s="12"/>
      <c r="AD44" s="12"/>
      <c r="AE44" s="12"/>
      <c r="AF44" s="12"/>
      <c r="AG44" s="12"/>
      <c r="AH44">
        <f>VLOOKUP(HLOOKUP("普",Sheet4!$A$1:$FE$75,S44+1,FALSE),Sheet4!$A$1:$FF$75,HLOOKUP($W$1,伤害计算器!$AV$28:$BM$30,3,FALSE)+7,FALSE)</f>
        <v>0</v>
      </c>
    </row>
    <row r="45" spans="1:34">
      <c r="A45">
        <v>42</v>
      </c>
      <c r="B45" s="8" t="str">
        <f>IF(HLOOKUP(伤害计算器!$D$24,Sheet4!$A$1:$FE$75,A45+1,FALSE)=0," ",HLOOKUP(伤害计算器!$D$24,Sheet4!$A$1:$FE$75,A45+1,FALSE))</f>
        <v> </v>
      </c>
      <c r="C45" s="8">
        <f>VLOOKUP(HLOOKUP("普",Sheet4!$A$1:$FE$75,A45+1,FALSE),Sheet4!$A$1:$FE$75,HLOOKUP(伤害计算器!$D$24,伤害计算器!$AV$28:$BM$30,3,FALSE),FALSE)</f>
        <v>0</v>
      </c>
      <c r="D45" s="8">
        <f>VLOOKUP(HLOOKUP("普",Sheet4!$A$1:$FE$75,A45+1,FALSE),Sheet4!$A$1:$FE$75,HLOOKUP(伤害计算器!$D$24,伤害计算器!$AV$28:$BM$30,3,FALSE)+1,FALSE)</f>
        <v>0</v>
      </c>
      <c r="E45" s="8">
        <f>VLOOKUP(HLOOKUP("普",Sheet4!$A$1:$FE$75,A45+1,FALSE),Sheet4!$A$1:$FE$75,HLOOKUP(伤害计算器!$D$24,伤害计算器!$AV$28:$BM$30,3,FALSE)+2,FALSE)</f>
        <v>0</v>
      </c>
      <c r="F45" s="8">
        <f>VLOOKUP(HLOOKUP("普",Sheet4!$A$1:$FE$75,A45+1,FALSE),Sheet4!$A$1:$FE$75,HLOOKUP(伤害计算器!$D$24,伤害计算器!$AV$28:$BM$30,3,FALSE)+3,FALSE)</f>
        <v>0</v>
      </c>
      <c r="G45" s="8">
        <f>VLOOKUP(HLOOKUP("普",Sheet4!$A$1:$FE$75,A45+1,FALSE),Sheet4!$A$1:$FE$75,HLOOKUP(伤害计算器!$D$24,伤害计算器!$AV$28:$BM$30,3,FALSE)+4,FALSE)</f>
        <v>0</v>
      </c>
      <c r="H45" s="11">
        <f>VLOOKUP(HLOOKUP("普",Sheet4!$A$1:$FE$75,A45+1,FALSE),Sheet4!$A$1:$FE$75,HLOOKUP(伤害计算器!$D$24,伤害计算器!$AV$28:$BM$30,3,FALSE)+5,FALSE)</f>
        <v>0</v>
      </c>
      <c r="I45" s="12">
        <f>VLOOKUP(HLOOKUP("普",Sheet4!$A$1:$FE$75,A45+1,FALSE),Sheet4!$A$1:$FE$75,HLOOKUP(伤害计算器!$D$24,伤害计算器!$AV$28:$BM$30,3,FALSE)+6,FALSE)</f>
        <v>0</v>
      </c>
      <c r="J45" s="12"/>
      <c r="K45" s="12"/>
      <c r="L45" s="12"/>
      <c r="M45" s="12"/>
      <c r="N45" s="12"/>
      <c r="O45" s="12"/>
      <c r="P45">
        <f>VLOOKUP(HLOOKUP("普",Sheet4!$A$1:$FE$75,A45+1,FALSE),Sheet4!$A$1:$FF$75,HLOOKUP(伤害计算器!$D$24,伤害计算器!$AV$28:$BM$30,3,FALSE)+7,FALSE)</f>
        <v>0</v>
      </c>
      <c r="S45">
        <v>42</v>
      </c>
      <c r="T45" s="8" t="str">
        <f>IF(HLOOKUP($W$1,Sheet4!$A$1:$FE$75,S45+1,FALSE)=0," ",HLOOKUP($W$1,Sheet4!$A$1:$FE$75,S45+1,FALSE))</f>
        <v> </v>
      </c>
      <c r="U45" s="8">
        <f>VLOOKUP(HLOOKUP("普",Sheet4!$A$1:$FE$75,S45+1,FALSE),Sheet4!$A$1:$FE$75,HLOOKUP($W$1,伤害计算器!$AV$28:$BM$30,3,FALSE),FALSE)</f>
        <v>0</v>
      </c>
      <c r="V45" s="8">
        <f>VLOOKUP(HLOOKUP("普",Sheet4!$A$1:$FE$75,S45+1,FALSE),Sheet4!$A$1:$FE$75,HLOOKUP($W$1,伤害计算器!$AV$28:$BM$30,3,FALSE)+1,FALSE)</f>
        <v>0</v>
      </c>
      <c r="W45" s="9">
        <f>VLOOKUP(HLOOKUP("普",Sheet4!$A$1:$FE$75,S45+1,FALSE),Sheet4!$A$1:$FE$75,HLOOKUP($W$1,伤害计算器!$AV$28:$BM$30,3,FALSE)+2,FALSE)</f>
        <v>0</v>
      </c>
      <c r="X45" s="9">
        <f>VLOOKUP(HLOOKUP("普",Sheet4!$A$1:$FE$75,S45+1,FALSE),Sheet4!$A$1:$FE$75,HLOOKUP($W$1,伤害计算器!$AV$28:$BM$30,3,FALSE)+3,FALSE)</f>
        <v>0</v>
      </c>
      <c r="Y45" s="9">
        <f>VLOOKUP(HLOOKUP("普",Sheet4!$A$1:$FE$75,S45+1,FALSE),Sheet4!$A$1:$FE$75,HLOOKUP($W$1,伤害计算器!$AV$28:$BM$30,3,FALSE)+4,FALSE)</f>
        <v>0</v>
      </c>
      <c r="Z45" s="10">
        <f>VLOOKUP(HLOOKUP("普",Sheet4!$A$1:$FE$75,S45+1,FALSE),Sheet4!$A$1:$FE$75,HLOOKUP($W$1,伤害计算器!$AV$28:$BM$30,3,FALSE)+5,FALSE)</f>
        <v>0</v>
      </c>
      <c r="AA45" s="12">
        <f>VLOOKUP(HLOOKUP("普",Sheet4!$A$1:$FE$75,S45+1,FALSE),Sheet4!$A$1:$FE$75,HLOOKUP($W$1,伤害计算器!$AV$28:$BM$30,3,FALSE)+6,FALSE)</f>
        <v>0</v>
      </c>
      <c r="AB45" s="12"/>
      <c r="AC45" s="12"/>
      <c r="AD45" s="12"/>
      <c r="AE45" s="12"/>
      <c r="AF45" s="12"/>
      <c r="AG45" s="12"/>
      <c r="AH45">
        <f>VLOOKUP(HLOOKUP("普",Sheet4!$A$1:$FE$75,S45+1,FALSE),Sheet4!$A$1:$FF$75,HLOOKUP($W$1,伤害计算器!$AV$28:$BM$30,3,FALSE)+7,FALSE)</f>
        <v>0</v>
      </c>
    </row>
    <row r="46" spans="1:34">
      <c r="A46">
        <v>43</v>
      </c>
      <c r="B46" s="8" t="str">
        <f>IF(HLOOKUP(伤害计算器!$D$24,Sheet4!$A$1:$FE$75,A46+1,FALSE)=0," ",HLOOKUP(伤害计算器!$D$24,Sheet4!$A$1:$FE$75,A46+1,FALSE))</f>
        <v> </v>
      </c>
      <c r="C46" s="8">
        <f>VLOOKUP(HLOOKUP("普",Sheet4!$A$1:$FE$75,A46+1,FALSE),Sheet4!$A$1:$FE$75,HLOOKUP(伤害计算器!$D$24,伤害计算器!$AV$28:$BM$30,3,FALSE),FALSE)</f>
        <v>0</v>
      </c>
      <c r="D46" s="8">
        <f>VLOOKUP(HLOOKUP("普",Sheet4!$A$1:$FE$75,A46+1,FALSE),Sheet4!$A$1:$FE$75,HLOOKUP(伤害计算器!$D$24,伤害计算器!$AV$28:$BM$30,3,FALSE)+1,FALSE)</f>
        <v>0</v>
      </c>
      <c r="E46" s="8">
        <f>VLOOKUP(HLOOKUP("普",Sheet4!$A$1:$FE$75,A46+1,FALSE),Sheet4!$A$1:$FE$75,HLOOKUP(伤害计算器!$D$24,伤害计算器!$AV$28:$BM$30,3,FALSE)+2,FALSE)</f>
        <v>0</v>
      </c>
      <c r="F46" s="8">
        <f>VLOOKUP(HLOOKUP("普",Sheet4!$A$1:$FE$75,A46+1,FALSE),Sheet4!$A$1:$FE$75,HLOOKUP(伤害计算器!$D$24,伤害计算器!$AV$28:$BM$30,3,FALSE)+3,FALSE)</f>
        <v>0</v>
      </c>
      <c r="G46" s="8">
        <f>VLOOKUP(HLOOKUP("普",Sheet4!$A$1:$FE$75,A46+1,FALSE),Sheet4!$A$1:$FE$75,HLOOKUP(伤害计算器!$D$24,伤害计算器!$AV$28:$BM$30,3,FALSE)+4,FALSE)</f>
        <v>0</v>
      </c>
      <c r="H46" s="11">
        <f>VLOOKUP(HLOOKUP("普",Sheet4!$A$1:$FE$75,A46+1,FALSE),Sheet4!$A$1:$FE$75,HLOOKUP(伤害计算器!$D$24,伤害计算器!$AV$28:$BM$30,3,FALSE)+5,FALSE)</f>
        <v>0</v>
      </c>
      <c r="I46" s="12">
        <f>VLOOKUP(HLOOKUP("普",Sheet4!$A$1:$FE$75,A46+1,FALSE),Sheet4!$A$1:$FE$75,HLOOKUP(伤害计算器!$D$24,伤害计算器!$AV$28:$BM$30,3,FALSE)+6,FALSE)</f>
        <v>0</v>
      </c>
      <c r="J46" s="12"/>
      <c r="K46" s="12"/>
      <c r="L46" s="12"/>
      <c r="M46" s="12"/>
      <c r="N46" s="12"/>
      <c r="O46" s="12"/>
      <c r="P46">
        <f>VLOOKUP(HLOOKUP("普",Sheet4!$A$1:$FE$75,A46+1,FALSE),Sheet4!$A$1:$FF$75,HLOOKUP(伤害计算器!$D$24,伤害计算器!$AV$28:$BM$30,3,FALSE)+7,FALSE)</f>
        <v>0</v>
      </c>
      <c r="S46">
        <v>43</v>
      </c>
      <c r="T46" s="8" t="str">
        <f>IF(HLOOKUP($W$1,Sheet4!$A$1:$FE$75,S46+1,FALSE)=0," ",HLOOKUP($W$1,Sheet4!$A$1:$FE$75,S46+1,FALSE))</f>
        <v> </v>
      </c>
      <c r="U46" s="8">
        <f>VLOOKUP(HLOOKUP("普",Sheet4!$A$1:$FE$75,S46+1,FALSE),Sheet4!$A$1:$FE$75,HLOOKUP($W$1,伤害计算器!$AV$28:$BM$30,3,FALSE),FALSE)</f>
        <v>0</v>
      </c>
      <c r="V46" s="8">
        <f>VLOOKUP(HLOOKUP("普",Sheet4!$A$1:$FE$75,S46+1,FALSE),Sheet4!$A$1:$FE$75,HLOOKUP($W$1,伤害计算器!$AV$28:$BM$30,3,FALSE)+1,FALSE)</f>
        <v>0</v>
      </c>
      <c r="W46" s="9">
        <f>VLOOKUP(HLOOKUP("普",Sheet4!$A$1:$FE$75,S46+1,FALSE),Sheet4!$A$1:$FE$75,HLOOKUP($W$1,伤害计算器!$AV$28:$BM$30,3,FALSE)+2,FALSE)</f>
        <v>0</v>
      </c>
      <c r="X46" s="9">
        <f>VLOOKUP(HLOOKUP("普",Sheet4!$A$1:$FE$75,S46+1,FALSE),Sheet4!$A$1:$FE$75,HLOOKUP($W$1,伤害计算器!$AV$28:$BM$30,3,FALSE)+3,FALSE)</f>
        <v>0</v>
      </c>
      <c r="Y46" s="9">
        <f>VLOOKUP(HLOOKUP("普",Sheet4!$A$1:$FE$75,S46+1,FALSE),Sheet4!$A$1:$FE$75,HLOOKUP($W$1,伤害计算器!$AV$28:$BM$30,3,FALSE)+4,FALSE)</f>
        <v>0</v>
      </c>
      <c r="Z46" s="10">
        <f>VLOOKUP(HLOOKUP("普",Sheet4!$A$1:$FE$75,S46+1,FALSE),Sheet4!$A$1:$FE$75,HLOOKUP($W$1,伤害计算器!$AV$28:$BM$30,3,FALSE)+5,FALSE)</f>
        <v>0</v>
      </c>
      <c r="AA46" s="12">
        <f>VLOOKUP(HLOOKUP("普",Sheet4!$A$1:$FE$75,S46+1,FALSE),Sheet4!$A$1:$FE$75,HLOOKUP($W$1,伤害计算器!$AV$28:$BM$30,3,FALSE)+6,FALSE)</f>
        <v>0</v>
      </c>
      <c r="AB46" s="12"/>
      <c r="AC46" s="12"/>
      <c r="AD46" s="12"/>
      <c r="AE46" s="12"/>
      <c r="AF46" s="12"/>
      <c r="AG46" s="12"/>
      <c r="AH46">
        <f>VLOOKUP(HLOOKUP("普",Sheet4!$A$1:$FE$75,S46+1,FALSE),Sheet4!$A$1:$FF$75,HLOOKUP($W$1,伤害计算器!$AV$28:$BM$30,3,FALSE)+7,FALSE)</f>
        <v>0</v>
      </c>
    </row>
    <row r="47" spans="1:34">
      <c r="A47">
        <v>44</v>
      </c>
      <c r="B47" s="8" t="str">
        <f>IF(HLOOKUP(伤害计算器!$D$24,Sheet4!$A$1:$FE$75,A47+1,FALSE)=0," ",HLOOKUP(伤害计算器!$D$24,Sheet4!$A$1:$FE$75,A47+1,FALSE))</f>
        <v> </v>
      </c>
      <c r="C47" s="8">
        <f>VLOOKUP(HLOOKUP("普",Sheet4!$A$1:$FE$75,A47+1,FALSE),Sheet4!$A$1:$FE$75,HLOOKUP(伤害计算器!$D$24,伤害计算器!$AV$28:$BM$30,3,FALSE),FALSE)</f>
        <v>0</v>
      </c>
      <c r="D47" s="8">
        <f>VLOOKUP(HLOOKUP("普",Sheet4!$A$1:$FE$75,A47+1,FALSE),Sheet4!$A$1:$FE$75,HLOOKUP(伤害计算器!$D$24,伤害计算器!$AV$28:$BM$30,3,FALSE)+1,FALSE)</f>
        <v>0</v>
      </c>
      <c r="E47" s="8">
        <f>VLOOKUP(HLOOKUP("普",Sheet4!$A$1:$FE$75,A47+1,FALSE),Sheet4!$A$1:$FE$75,HLOOKUP(伤害计算器!$D$24,伤害计算器!$AV$28:$BM$30,3,FALSE)+2,FALSE)</f>
        <v>0</v>
      </c>
      <c r="F47" s="8">
        <f>VLOOKUP(HLOOKUP("普",Sheet4!$A$1:$FE$75,A47+1,FALSE),Sheet4!$A$1:$FE$75,HLOOKUP(伤害计算器!$D$24,伤害计算器!$AV$28:$BM$30,3,FALSE)+3,FALSE)</f>
        <v>0</v>
      </c>
      <c r="G47" s="8">
        <f>VLOOKUP(HLOOKUP("普",Sheet4!$A$1:$FE$75,A47+1,FALSE),Sheet4!$A$1:$FE$75,HLOOKUP(伤害计算器!$D$24,伤害计算器!$AV$28:$BM$30,3,FALSE)+4,FALSE)</f>
        <v>0</v>
      </c>
      <c r="H47" s="11">
        <f>VLOOKUP(HLOOKUP("普",Sheet4!$A$1:$FE$75,A47+1,FALSE),Sheet4!$A$1:$FE$75,HLOOKUP(伤害计算器!$D$24,伤害计算器!$AV$28:$BM$30,3,FALSE)+5,FALSE)</f>
        <v>0</v>
      </c>
      <c r="I47" s="12">
        <f>VLOOKUP(HLOOKUP("普",Sheet4!$A$1:$FE$75,A47+1,FALSE),Sheet4!$A$1:$FE$75,HLOOKUP(伤害计算器!$D$24,伤害计算器!$AV$28:$BM$30,3,FALSE)+6,FALSE)</f>
        <v>0</v>
      </c>
      <c r="J47" s="12"/>
      <c r="K47" s="12"/>
      <c r="L47" s="12"/>
      <c r="M47" s="12"/>
      <c r="N47" s="12"/>
      <c r="O47" s="12"/>
      <c r="P47">
        <f>VLOOKUP(HLOOKUP("普",Sheet4!$A$1:$FE$75,A47+1,FALSE),Sheet4!$A$1:$FF$75,HLOOKUP(伤害计算器!$D$24,伤害计算器!$AV$28:$BM$30,3,FALSE)+7,FALSE)</f>
        <v>0</v>
      </c>
      <c r="S47">
        <v>44</v>
      </c>
      <c r="T47" s="8" t="str">
        <f>IF(HLOOKUP($W$1,Sheet4!$A$1:$FE$75,S47+1,FALSE)=0," ",HLOOKUP($W$1,Sheet4!$A$1:$FE$75,S47+1,FALSE))</f>
        <v> </v>
      </c>
      <c r="U47" s="8">
        <f>VLOOKUP(HLOOKUP("普",Sheet4!$A$1:$FE$75,S47+1,FALSE),Sheet4!$A$1:$FE$75,HLOOKUP($W$1,伤害计算器!$AV$28:$BM$30,3,FALSE),FALSE)</f>
        <v>0</v>
      </c>
      <c r="V47" s="8">
        <f>VLOOKUP(HLOOKUP("普",Sheet4!$A$1:$FE$75,S47+1,FALSE),Sheet4!$A$1:$FE$75,HLOOKUP($W$1,伤害计算器!$AV$28:$BM$30,3,FALSE)+1,FALSE)</f>
        <v>0</v>
      </c>
      <c r="W47" s="9">
        <f>VLOOKUP(HLOOKUP("普",Sheet4!$A$1:$FE$75,S47+1,FALSE),Sheet4!$A$1:$FE$75,HLOOKUP($W$1,伤害计算器!$AV$28:$BM$30,3,FALSE)+2,FALSE)</f>
        <v>0</v>
      </c>
      <c r="X47" s="9">
        <f>VLOOKUP(HLOOKUP("普",Sheet4!$A$1:$FE$75,S47+1,FALSE),Sheet4!$A$1:$FE$75,HLOOKUP($W$1,伤害计算器!$AV$28:$BM$30,3,FALSE)+3,FALSE)</f>
        <v>0</v>
      </c>
      <c r="Y47" s="9">
        <f>VLOOKUP(HLOOKUP("普",Sheet4!$A$1:$FE$75,S47+1,FALSE),Sheet4!$A$1:$FE$75,HLOOKUP($W$1,伤害计算器!$AV$28:$BM$30,3,FALSE)+4,FALSE)</f>
        <v>0</v>
      </c>
      <c r="Z47" s="10">
        <f>VLOOKUP(HLOOKUP("普",Sheet4!$A$1:$FE$75,S47+1,FALSE),Sheet4!$A$1:$FE$75,HLOOKUP($W$1,伤害计算器!$AV$28:$BM$30,3,FALSE)+5,FALSE)</f>
        <v>0</v>
      </c>
      <c r="AA47" s="12">
        <f>VLOOKUP(HLOOKUP("普",Sheet4!$A$1:$FE$75,S47+1,FALSE),Sheet4!$A$1:$FE$75,HLOOKUP($W$1,伤害计算器!$AV$28:$BM$30,3,FALSE)+6,FALSE)</f>
        <v>0</v>
      </c>
      <c r="AB47" s="12"/>
      <c r="AC47" s="12"/>
      <c r="AD47" s="12"/>
      <c r="AE47" s="12"/>
      <c r="AF47" s="12"/>
      <c r="AG47" s="12"/>
      <c r="AH47">
        <f>VLOOKUP(HLOOKUP("普",Sheet4!$A$1:$FE$75,S47+1,FALSE),Sheet4!$A$1:$FF$75,HLOOKUP($W$1,伤害计算器!$AV$28:$BM$30,3,FALSE)+7,FALSE)</f>
        <v>0</v>
      </c>
    </row>
    <row r="48" spans="1:34">
      <c r="A48">
        <v>45</v>
      </c>
      <c r="B48" s="8" t="str">
        <f>IF(HLOOKUP(伤害计算器!$D$24,Sheet4!$A$1:$FE$75,A48+1,FALSE)=0," ",HLOOKUP(伤害计算器!$D$24,Sheet4!$A$1:$FE$75,A48+1,FALSE))</f>
        <v> </v>
      </c>
      <c r="C48" s="8">
        <f>VLOOKUP(HLOOKUP("普",Sheet4!$A$1:$FE$75,A48+1,FALSE),Sheet4!$A$1:$FE$75,HLOOKUP(伤害计算器!$D$24,伤害计算器!$AV$28:$BM$30,3,FALSE),FALSE)</f>
        <v>0</v>
      </c>
      <c r="D48" s="8">
        <f>VLOOKUP(HLOOKUP("普",Sheet4!$A$1:$FE$75,A48+1,FALSE),Sheet4!$A$1:$FE$75,HLOOKUP(伤害计算器!$D$24,伤害计算器!$AV$28:$BM$30,3,FALSE)+1,FALSE)</f>
        <v>0</v>
      </c>
      <c r="E48" s="8">
        <f>VLOOKUP(HLOOKUP("普",Sheet4!$A$1:$FE$75,A48+1,FALSE),Sheet4!$A$1:$FE$75,HLOOKUP(伤害计算器!$D$24,伤害计算器!$AV$28:$BM$30,3,FALSE)+2,FALSE)</f>
        <v>0</v>
      </c>
      <c r="F48" s="8">
        <f>VLOOKUP(HLOOKUP("普",Sheet4!$A$1:$FE$75,A48+1,FALSE),Sheet4!$A$1:$FE$75,HLOOKUP(伤害计算器!$D$24,伤害计算器!$AV$28:$BM$30,3,FALSE)+3,FALSE)</f>
        <v>0</v>
      </c>
      <c r="G48" s="8">
        <f>VLOOKUP(HLOOKUP("普",Sheet4!$A$1:$FE$75,A48+1,FALSE),Sheet4!$A$1:$FE$75,HLOOKUP(伤害计算器!$D$24,伤害计算器!$AV$28:$BM$30,3,FALSE)+4,FALSE)</f>
        <v>0</v>
      </c>
      <c r="H48" s="11">
        <f>VLOOKUP(HLOOKUP("普",Sheet4!$A$1:$FE$75,A48+1,FALSE),Sheet4!$A$1:$FE$75,HLOOKUP(伤害计算器!$D$24,伤害计算器!$AV$28:$BM$30,3,FALSE)+5,FALSE)</f>
        <v>0</v>
      </c>
      <c r="I48" s="12">
        <f>VLOOKUP(HLOOKUP("普",Sheet4!$A$1:$FE$75,A48+1,FALSE),Sheet4!$A$1:$FE$75,HLOOKUP(伤害计算器!$D$24,伤害计算器!$AV$28:$BM$30,3,FALSE)+6,FALSE)</f>
        <v>0</v>
      </c>
      <c r="J48" s="12"/>
      <c r="K48" s="12"/>
      <c r="L48" s="12"/>
      <c r="M48" s="12"/>
      <c r="N48" s="12"/>
      <c r="O48" s="12"/>
      <c r="P48">
        <f>VLOOKUP(HLOOKUP("普",Sheet4!$A$1:$FE$75,A48+1,FALSE),Sheet4!$A$1:$FF$75,HLOOKUP(伤害计算器!$D$24,伤害计算器!$AV$28:$BM$30,3,FALSE)+7,FALSE)</f>
        <v>0</v>
      </c>
      <c r="S48">
        <v>45</v>
      </c>
      <c r="T48" s="8" t="str">
        <f>IF(HLOOKUP($W$1,Sheet4!$A$1:$FE$75,S48+1,FALSE)=0," ",HLOOKUP($W$1,Sheet4!$A$1:$FE$75,S48+1,FALSE))</f>
        <v> </v>
      </c>
      <c r="U48" s="8">
        <f>VLOOKUP(HLOOKUP("普",Sheet4!$A$1:$FE$75,S48+1,FALSE),Sheet4!$A$1:$FE$75,HLOOKUP($W$1,伤害计算器!$AV$28:$BM$30,3,FALSE),FALSE)</f>
        <v>0</v>
      </c>
      <c r="V48" s="8">
        <f>VLOOKUP(HLOOKUP("普",Sheet4!$A$1:$FE$75,S48+1,FALSE),Sheet4!$A$1:$FE$75,HLOOKUP($W$1,伤害计算器!$AV$28:$BM$30,3,FALSE)+1,FALSE)</f>
        <v>0</v>
      </c>
      <c r="W48" s="9">
        <f>VLOOKUP(HLOOKUP("普",Sheet4!$A$1:$FE$75,S48+1,FALSE),Sheet4!$A$1:$FE$75,HLOOKUP($W$1,伤害计算器!$AV$28:$BM$30,3,FALSE)+2,FALSE)</f>
        <v>0</v>
      </c>
      <c r="X48" s="9">
        <f>VLOOKUP(HLOOKUP("普",Sheet4!$A$1:$FE$75,S48+1,FALSE),Sheet4!$A$1:$FE$75,HLOOKUP($W$1,伤害计算器!$AV$28:$BM$30,3,FALSE)+3,FALSE)</f>
        <v>0</v>
      </c>
      <c r="Y48" s="9">
        <f>VLOOKUP(HLOOKUP("普",Sheet4!$A$1:$FE$75,S48+1,FALSE),Sheet4!$A$1:$FE$75,HLOOKUP($W$1,伤害计算器!$AV$28:$BM$30,3,FALSE)+4,FALSE)</f>
        <v>0</v>
      </c>
      <c r="Z48" s="10">
        <f>VLOOKUP(HLOOKUP("普",Sheet4!$A$1:$FE$75,S48+1,FALSE),Sheet4!$A$1:$FE$75,HLOOKUP($W$1,伤害计算器!$AV$28:$BM$30,3,FALSE)+5,FALSE)</f>
        <v>0</v>
      </c>
      <c r="AA48" s="12">
        <f>VLOOKUP(HLOOKUP("普",Sheet4!$A$1:$FE$75,S48+1,FALSE),Sheet4!$A$1:$FE$75,HLOOKUP($W$1,伤害计算器!$AV$28:$BM$30,3,FALSE)+6,FALSE)</f>
        <v>0</v>
      </c>
      <c r="AB48" s="12"/>
      <c r="AC48" s="12"/>
      <c r="AD48" s="12"/>
      <c r="AE48" s="12"/>
      <c r="AF48" s="12"/>
      <c r="AG48" s="12"/>
      <c r="AH48">
        <f>VLOOKUP(HLOOKUP("普",Sheet4!$A$1:$FE$75,S48+1,FALSE),Sheet4!$A$1:$FF$75,HLOOKUP($W$1,伤害计算器!$AV$28:$BM$30,3,FALSE)+7,FALSE)</f>
        <v>0</v>
      </c>
    </row>
    <row r="49" spans="1:34">
      <c r="A49">
        <v>46</v>
      </c>
      <c r="B49" s="8" t="str">
        <f>IF(HLOOKUP(伤害计算器!$D$24,Sheet4!$A$1:$FE$75,A49+1,FALSE)=0," ",HLOOKUP(伤害计算器!$D$24,Sheet4!$A$1:$FE$75,A49+1,FALSE))</f>
        <v> </v>
      </c>
      <c r="C49" s="8">
        <f>VLOOKUP(HLOOKUP("普",Sheet4!$A$1:$FE$75,A49+1,FALSE),Sheet4!$A$1:$FE$75,HLOOKUP(伤害计算器!$D$24,伤害计算器!$AV$28:$BM$30,3,FALSE),FALSE)</f>
        <v>0</v>
      </c>
      <c r="D49" s="8">
        <f>VLOOKUP(HLOOKUP("普",Sheet4!$A$1:$FE$75,A49+1,FALSE),Sheet4!$A$1:$FE$75,HLOOKUP(伤害计算器!$D$24,伤害计算器!$AV$28:$BM$30,3,FALSE)+1,FALSE)</f>
        <v>0</v>
      </c>
      <c r="E49" s="8">
        <f>VLOOKUP(HLOOKUP("普",Sheet4!$A$1:$FE$75,A49+1,FALSE),Sheet4!$A$1:$FE$75,HLOOKUP(伤害计算器!$D$24,伤害计算器!$AV$28:$BM$30,3,FALSE)+2,FALSE)</f>
        <v>0</v>
      </c>
      <c r="F49" s="8">
        <f>VLOOKUP(HLOOKUP("普",Sheet4!$A$1:$FE$75,A49+1,FALSE),Sheet4!$A$1:$FE$75,HLOOKUP(伤害计算器!$D$24,伤害计算器!$AV$28:$BM$30,3,FALSE)+3,FALSE)</f>
        <v>0</v>
      </c>
      <c r="G49" s="8">
        <f>VLOOKUP(HLOOKUP("普",Sheet4!$A$1:$FE$75,A49+1,FALSE),Sheet4!$A$1:$FE$75,HLOOKUP(伤害计算器!$D$24,伤害计算器!$AV$28:$BM$30,3,FALSE)+4,FALSE)</f>
        <v>0</v>
      </c>
      <c r="H49" s="11">
        <f>VLOOKUP(HLOOKUP("普",Sheet4!$A$1:$FE$75,A49+1,FALSE),Sheet4!$A$1:$FE$75,HLOOKUP(伤害计算器!$D$24,伤害计算器!$AV$28:$BM$30,3,FALSE)+5,FALSE)</f>
        <v>0</v>
      </c>
      <c r="I49" s="12">
        <f>VLOOKUP(HLOOKUP("普",Sheet4!$A$1:$FE$75,A49+1,FALSE),Sheet4!$A$1:$FE$75,HLOOKUP(伤害计算器!$D$24,伤害计算器!$AV$28:$BM$30,3,FALSE)+6,FALSE)</f>
        <v>0</v>
      </c>
      <c r="J49" s="12"/>
      <c r="K49" s="12"/>
      <c r="L49" s="12"/>
      <c r="M49" s="12"/>
      <c r="N49" s="12"/>
      <c r="O49" s="12"/>
      <c r="P49">
        <f>VLOOKUP(HLOOKUP("普",Sheet4!$A$1:$FE$75,A49+1,FALSE),Sheet4!$A$1:$FF$75,HLOOKUP(伤害计算器!$D$24,伤害计算器!$AV$28:$BM$30,3,FALSE)+7,FALSE)</f>
        <v>0</v>
      </c>
      <c r="S49">
        <v>46</v>
      </c>
      <c r="T49" s="8" t="str">
        <f>IF(HLOOKUP($W$1,Sheet4!$A$1:$FE$75,S49+1,FALSE)=0," ",HLOOKUP($W$1,Sheet4!$A$1:$FE$75,S49+1,FALSE))</f>
        <v> </v>
      </c>
      <c r="U49" s="8">
        <f>VLOOKUP(HLOOKUP("普",Sheet4!$A$1:$FE$75,S49+1,FALSE),Sheet4!$A$1:$FE$75,HLOOKUP($W$1,伤害计算器!$AV$28:$BM$30,3,FALSE),FALSE)</f>
        <v>0</v>
      </c>
      <c r="V49" s="8">
        <f>VLOOKUP(HLOOKUP("普",Sheet4!$A$1:$FE$75,S49+1,FALSE),Sheet4!$A$1:$FE$75,HLOOKUP($W$1,伤害计算器!$AV$28:$BM$30,3,FALSE)+1,FALSE)</f>
        <v>0</v>
      </c>
      <c r="W49" s="9">
        <f>VLOOKUP(HLOOKUP("普",Sheet4!$A$1:$FE$75,S49+1,FALSE),Sheet4!$A$1:$FE$75,HLOOKUP($W$1,伤害计算器!$AV$28:$BM$30,3,FALSE)+2,FALSE)</f>
        <v>0</v>
      </c>
      <c r="X49" s="9">
        <f>VLOOKUP(HLOOKUP("普",Sheet4!$A$1:$FE$75,S49+1,FALSE),Sheet4!$A$1:$FE$75,HLOOKUP($W$1,伤害计算器!$AV$28:$BM$30,3,FALSE)+3,FALSE)</f>
        <v>0</v>
      </c>
      <c r="Y49" s="9">
        <f>VLOOKUP(HLOOKUP("普",Sheet4!$A$1:$FE$75,S49+1,FALSE),Sheet4!$A$1:$FE$75,HLOOKUP($W$1,伤害计算器!$AV$28:$BM$30,3,FALSE)+4,FALSE)</f>
        <v>0</v>
      </c>
      <c r="Z49" s="10">
        <f>VLOOKUP(HLOOKUP("普",Sheet4!$A$1:$FE$75,S49+1,FALSE),Sheet4!$A$1:$FE$75,HLOOKUP($W$1,伤害计算器!$AV$28:$BM$30,3,FALSE)+5,FALSE)</f>
        <v>0</v>
      </c>
      <c r="AA49" s="12">
        <f>VLOOKUP(HLOOKUP("普",Sheet4!$A$1:$FE$75,S49+1,FALSE),Sheet4!$A$1:$FE$75,HLOOKUP($W$1,伤害计算器!$AV$28:$BM$30,3,FALSE)+6,FALSE)</f>
        <v>0</v>
      </c>
      <c r="AB49" s="12"/>
      <c r="AC49" s="12"/>
      <c r="AD49" s="12"/>
      <c r="AE49" s="12"/>
      <c r="AF49" s="12"/>
      <c r="AG49" s="12"/>
      <c r="AH49">
        <f>VLOOKUP(HLOOKUP("普",Sheet4!$A$1:$FE$75,S49+1,FALSE),Sheet4!$A$1:$FF$75,HLOOKUP($W$1,伤害计算器!$AV$28:$BM$30,3,FALSE)+7,FALSE)</f>
        <v>0</v>
      </c>
    </row>
    <row r="50" spans="1:34">
      <c r="A50">
        <v>47</v>
      </c>
      <c r="B50" s="8" t="str">
        <f>IF(HLOOKUP(伤害计算器!$D$24,Sheet4!$A$1:$FE$75,A50+1,FALSE)=0," ",HLOOKUP(伤害计算器!$D$24,Sheet4!$A$1:$FE$75,A50+1,FALSE))</f>
        <v> </v>
      </c>
      <c r="C50" s="8">
        <f>VLOOKUP(HLOOKUP("普",Sheet4!$A$1:$FE$75,A50+1,FALSE),Sheet4!$A$1:$FE$75,HLOOKUP(伤害计算器!$D$24,伤害计算器!$AV$28:$BM$30,3,FALSE),FALSE)</f>
        <v>0</v>
      </c>
      <c r="D50" s="8">
        <f>VLOOKUP(HLOOKUP("普",Sheet4!$A$1:$FE$75,A50+1,FALSE),Sheet4!$A$1:$FE$75,HLOOKUP(伤害计算器!$D$24,伤害计算器!$AV$28:$BM$30,3,FALSE)+1,FALSE)</f>
        <v>0</v>
      </c>
      <c r="E50" s="8">
        <f>VLOOKUP(HLOOKUP("普",Sheet4!$A$1:$FE$75,A50+1,FALSE),Sheet4!$A$1:$FE$75,HLOOKUP(伤害计算器!$D$24,伤害计算器!$AV$28:$BM$30,3,FALSE)+2,FALSE)</f>
        <v>0</v>
      </c>
      <c r="F50" s="8">
        <f>VLOOKUP(HLOOKUP("普",Sheet4!$A$1:$FE$75,A50+1,FALSE),Sheet4!$A$1:$FE$75,HLOOKUP(伤害计算器!$D$24,伤害计算器!$AV$28:$BM$30,3,FALSE)+3,FALSE)</f>
        <v>0</v>
      </c>
      <c r="G50" s="8">
        <f>VLOOKUP(HLOOKUP("普",Sheet4!$A$1:$FE$75,A50+1,FALSE),Sheet4!$A$1:$FE$75,HLOOKUP(伤害计算器!$D$24,伤害计算器!$AV$28:$BM$30,3,FALSE)+4,FALSE)</f>
        <v>0</v>
      </c>
      <c r="H50" s="11">
        <f>VLOOKUP(HLOOKUP("普",Sheet4!$A$1:$FE$75,A50+1,FALSE),Sheet4!$A$1:$FE$75,HLOOKUP(伤害计算器!$D$24,伤害计算器!$AV$28:$BM$30,3,FALSE)+5,FALSE)</f>
        <v>0</v>
      </c>
      <c r="I50" s="12">
        <f>VLOOKUP(HLOOKUP("普",Sheet4!$A$1:$FE$75,A50+1,FALSE),Sheet4!$A$1:$FE$75,HLOOKUP(伤害计算器!$D$24,伤害计算器!$AV$28:$BM$30,3,FALSE)+6,FALSE)</f>
        <v>0</v>
      </c>
      <c r="J50" s="12"/>
      <c r="K50" s="12"/>
      <c r="L50" s="12"/>
      <c r="M50" s="12"/>
      <c r="N50" s="12"/>
      <c r="O50" s="12"/>
      <c r="P50">
        <f>VLOOKUP(HLOOKUP("普",Sheet4!$A$1:$FE$75,A50+1,FALSE),Sheet4!$A$1:$FF$75,HLOOKUP(伤害计算器!$D$24,伤害计算器!$AV$28:$BM$30,3,FALSE)+7,FALSE)</f>
        <v>0</v>
      </c>
      <c r="S50">
        <v>47</v>
      </c>
      <c r="T50" s="8" t="str">
        <f>IF(HLOOKUP($W$1,Sheet4!$A$1:$FE$75,S50+1,FALSE)=0," ",HLOOKUP($W$1,Sheet4!$A$1:$FE$75,S50+1,FALSE))</f>
        <v> </v>
      </c>
      <c r="U50" s="8">
        <f>VLOOKUP(HLOOKUP("普",Sheet4!$A$1:$FE$75,S50+1,FALSE),Sheet4!$A$1:$FE$75,HLOOKUP($W$1,伤害计算器!$AV$28:$BM$30,3,FALSE),FALSE)</f>
        <v>0</v>
      </c>
      <c r="V50" s="8">
        <f>VLOOKUP(HLOOKUP("普",Sheet4!$A$1:$FE$75,S50+1,FALSE),Sheet4!$A$1:$FE$75,HLOOKUP($W$1,伤害计算器!$AV$28:$BM$30,3,FALSE)+1,FALSE)</f>
        <v>0</v>
      </c>
      <c r="W50" s="9">
        <f>VLOOKUP(HLOOKUP("普",Sheet4!$A$1:$FE$75,S50+1,FALSE),Sheet4!$A$1:$FE$75,HLOOKUP($W$1,伤害计算器!$AV$28:$BM$30,3,FALSE)+2,FALSE)</f>
        <v>0</v>
      </c>
      <c r="X50" s="9">
        <f>VLOOKUP(HLOOKUP("普",Sheet4!$A$1:$FE$75,S50+1,FALSE),Sheet4!$A$1:$FE$75,HLOOKUP($W$1,伤害计算器!$AV$28:$BM$30,3,FALSE)+3,FALSE)</f>
        <v>0</v>
      </c>
      <c r="Y50" s="9">
        <f>VLOOKUP(HLOOKUP("普",Sheet4!$A$1:$FE$75,S50+1,FALSE),Sheet4!$A$1:$FE$75,HLOOKUP($W$1,伤害计算器!$AV$28:$BM$30,3,FALSE)+4,FALSE)</f>
        <v>0</v>
      </c>
      <c r="Z50" s="10">
        <f>VLOOKUP(HLOOKUP("普",Sheet4!$A$1:$FE$75,S50+1,FALSE),Sheet4!$A$1:$FE$75,HLOOKUP($W$1,伤害计算器!$AV$28:$BM$30,3,FALSE)+5,FALSE)</f>
        <v>0</v>
      </c>
      <c r="AA50" s="12">
        <f>VLOOKUP(HLOOKUP("普",Sheet4!$A$1:$FE$75,S50+1,FALSE),Sheet4!$A$1:$FE$75,HLOOKUP($W$1,伤害计算器!$AV$28:$BM$30,3,FALSE)+6,FALSE)</f>
        <v>0</v>
      </c>
      <c r="AB50" s="12"/>
      <c r="AC50" s="12"/>
      <c r="AD50" s="12"/>
      <c r="AE50" s="12"/>
      <c r="AF50" s="12"/>
      <c r="AG50" s="12"/>
      <c r="AH50">
        <f>VLOOKUP(HLOOKUP("普",Sheet4!$A$1:$FE$75,S50+1,FALSE),Sheet4!$A$1:$FF$75,HLOOKUP($W$1,伤害计算器!$AV$28:$BM$30,3,FALSE)+7,FALSE)</f>
        <v>0</v>
      </c>
    </row>
    <row r="51" spans="1:34">
      <c r="A51">
        <v>48</v>
      </c>
      <c r="B51" s="8" t="str">
        <f>IF(HLOOKUP(伤害计算器!$D$24,Sheet4!$A$1:$FE$75,A51+1,FALSE)=0," ",HLOOKUP(伤害计算器!$D$24,Sheet4!$A$1:$FE$75,A51+1,FALSE))</f>
        <v> </v>
      </c>
      <c r="C51" s="8">
        <f>VLOOKUP(HLOOKUP("普",Sheet4!$A$1:$FE$75,A51+1,FALSE),Sheet4!$A$1:$FE$75,HLOOKUP(伤害计算器!$D$24,伤害计算器!$AV$28:$BM$30,3,FALSE),FALSE)</f>
        <v>0</v>
      </c>
      <c r="D51" s="8">
        <f>VLOOKUP(HLOOKUP("普",Sheet4!$A$1:$FE$75,A51+1,FALSE),Sheet4!$A$1:$FE$75,HLOOKUP(伤害计算器!$D$24,伤害计算器!$AV$28:$BM$30,3,FALSE)+1,FALSE)</f>
        <v>0</v>
      </c>
      <c r="E51" s="8">
        <f>VLOOKUP(HLOOKUP("普",Sheet4!$A$1:$FE$75,A51+1,FALSE),Sheet4!$A$1:$FE$75,HLOOKUP(伤害计算器!$D$24,伤害计算器!$AV$28:$BM$30,3,FALSE)+2,FALSE)</f>
        <v>0</v>
      </c>
      <c r="F51" s="8">
        <f>VLOOKUP(HLOOKUP("普",Sheet4!$A$1:$FE$75,A51+1,FALSE),Sheet4!$A$1:$FE$75,HLOOKUP(伤害计算器!$D$24,伤害计算器!$AV$28:$BM$30,3,FALSE)+3,FALSE)</f>
        <v>0</v>
      </c>
      <c r="G51" s="8">
        <f>VLOOKUP(HLOOKUP("普",Sheet4!$A$1:$FE$75,A51+1,FALSE),Sheet4!$A$1:$FE$75,HLOOKUP(伤害计算器!$D$24,伤害计算器!$AV$28:$BM$30,3,FALSE)+4,FALSE)</f>
        <v>0</v>
      </c>
      <c r="H51" s="11">
        <f>VLOOKUP(HLOOKUP("普",Sheet4!$A$1:$FE$75,A51+1,FALSE),Sheet4!$A$1:$FE$75,HLOOKUP(伤害计算器!$D$24,伤害计算器!$AV$28:$BM$30,3,FALSE)+5,FALSE)</f>
        <v>0</v>
      </c>
      <c r="I51" s="12">
        <f>VLOOKUP(HLOOKUP("普",Sheet4!$A$1:$FE$75,A51+1,FALSE),Sheet4!$A$1:$FE$75,HLOOKUP(伤害计算器!$D$24,伤害计算器!$AV$28:$BM$30,3,FALSE)+6,FALSE)</f>
        <v>0</v>
      </c>
      <c r="J51" s="12"/>
      <c r="K51" s="12"/>
      <c r="L51" s="12"/>
      <c r="M51" s="12"/>
      <c r="N51" s="12"/>
      <c r="O51" s="12"/>
      <c r="P51">
        <f>VLOOKUP(HLOOKUP("普",Sheet4!$A$1:$FE$75,A51+1,FALSE),Sheet4!$A$1:$FF$75,HLOOKUP(伤害计算器!$D$24,伤害计算器!$AV$28:$BM$30,3,FALSE)+7,FALSE)</f>
        <v>0</v>
      </c>
      <c r="S51">
        <v>48</v>
      </c>
      <c r="T51" s="8" t="str">
        <f>IF(HLOOKUP($W$1,Sheet4!$A$1:$FE$75,S51+1,FALSE)=0," ",HLOOKUP($W$1,Sheet4!$A$1:$FE$75,S51+1,FALSE))</f>
        <v> </v>
      </c>
      <c r="U51" s="8">
        <f>VLOOKUP(HLOOKUP("普",Sheet4!$A$1:$FE$75,S51+1,FALSE),Sheet4!$A$1:$FE$75,HLOOKUP($W$1,伤害计算器!$AV$28:$BM$30,3,FALSE),FALSE)</f>
        <v>0</v>
      </c>
      <c r="V51" s="8">
        <f>VLOOKUP(HLOOKUP("普",Sheet4!$A$1:$FE$75,S51+1,FALSE),Sheet4!$A$1:$FE$75,HLOOKUP($W$1,伤害计算器!$AV$28:$BM$30,3,FALSE)+1,FALSE)</f>
        <v>0</v>
      </c>
      <c r="W51" s="9">
        <f>VLOOKUP(HLOOKUP("普",Sheet4!$A$1:$FE$75,S51+1,FALSE),Sheet4!$A$1:$FE$75,HLOOKUP($W$1,伤害计算器!$AV$28:$BM$30,3,FALSE)+2,FALSE)</f>
        <v>0</v>
      </c>
      <c r="X51" s="9">
        <f>VLOOKUP(HLOOKUP("普",Sheet4!$A$1:$FE$75,S51+1,FALSE),Sheet4!$A$1:$FE$75,HLOOKUP($W$1,伤害计算器!$AV$28:$BM$30,3,FALSE)+3,FALSE)</f>
        <v>0</v>
      </c>
      <c r="Y51" s="9">
        <f>VLOOKUP(HLOOKUP("普",Sheet4!$A$1:$FE$75,S51+1,FALSE),Sheet4!$A$1:$FE$75,HLOOKUP($W$1,伤害计算器!$AV$28:$BM$30,3,FALSE)+4,FALSE)</f>
        <v>0</v>
      </c>
      <c r="Z51" s="10">
        <f>VLOOKUP(HLOOKUP("普",Sheet4!$A$1:$FE$75,S51+1,FALSE),Sheet4!$A$1:$FE$75,HLOOKUP($W$1,伤害计算器!$AV$28:$BM$30,3,FALSE)+5,FALSE)</f>
        <v>0</v>
      </c>
      <c r="AA51" s="12">
        <f>VLOOKUP(HLOOKUP("普",Sheet4!$A$1:$FE$75,S51+1,FALSE),Sheet4!$A$1:$FE$75,HLOOKUP($W$1,伤害计算器!$AV$28:$BM$30,3,FALSE)+6,FALSE)</f>
        <v>0</v>
      </c>
      <c r="AB51" s="12"/>
      <c r="AC51" s="12"/>
      <c r="AD51" s="12"/>
      <c r="AE51" s="12"/>
      <c r="AF51" s="12"/>
      <c r="AG51" s="12"/>
      <c r="AH51">
        <f>VLOOKUP(HLOOKUP("普",Sheet4!$A$1:$FE$75,S51+1,FALSE),Sheet4!$A$1:$FF$75,HLOOKUP($W$1,伤害计算器!$AV$28:$BM$30,3,FALSE)+7,FALSE)</f>
        <v>0</v>
      </c>
    </row>
    <row r="52" spans="1:34">
      <c r="A52">
        <v>49</v>
      </c>
      <c r="B52" s="8" t="str">
        <f>IF(HLOOKUP(伤害计算器!$D$24,Sheet4!$A$1:$FE$75,A52+1,FALSE)=0," ",HLOOKUP(伤害计算器!$D$24,Sheet4!$A$1:$FE$75,A52+1,FALSE))</f>
        <v> </v>
      </c>
      <c r="C52" s="8">
        <f>VLOOKUP(HLOOKUP("普",Sheet4!$A$1:$FE$75,A52+1,FALSE),Sheet4!$A$1:$FE$75,HLOOKUP(伤害计算器!$D$24,伤害计算器!$AV$28:$BM$30,3,FALSE),FALSE)</f>
        <v>0</v>
      </c>
      <c r="D52" s="8">
        <f>VLOOKUP(HLOOKUP("普",Sheet4!$A$1:$FE$75,A52+1,FALSE),Sheet4!$A$1:$FE$75,HLOOKUP(伤害计算器!$D$24,伤害计算器!$AV$28:$BM$30,3,FALSE)+1,FALSE)</f>
        <v>0</v>
      </c>
      <c r="E52" s="8">
        <f>VLOOKUP(HLOOKUP("普",Sheet4!$A$1:$FE$75,A52+1,FALSE),Sheet4!$A$1:$FE$75,HLOOKUP(伤害计算器!$D$24,伤害计算器!$AV$28:$BM$30,3,FALSE)+2,FALSE)</f>
        <v>0</v>
      </c>
      <c r="F52" s="8">
        <f>VLOOKUP(HLOOKUP("普",Sheet4!$A$1:$FE$75,A52+1,FALSE),Sheet4!$A$1:$FE$75,HLOOKUP(伤害计算器!$D$24,伤害计算器!$AV$28:$BM$30,3,FALSE)+3,FALSE)</f>
        <v>0</v>
      </c>
      <c r="G52" s="8">
        <f>VLOOKUP(HLOOKUP("普",Sheet4!$A$1:$FE$75,A52+1,FALSE),Sheet4!$A$1:$FE$75,HLOOKUP(伤害计算器!$D$24,伤害计算器!$AV$28:$BM$30,3,FALSE)+4,FALSE)</f>
        <v>0</v>
      </c>
      <c r="H52" s="11">
        <f>VLOOKUP(HLOOKUP("普",Sheet4!$A$1:$FE$75,A52+1,FALSE),Sheet4!$A$1:$FE$75,HLOOKUP(伤害计算器!$D$24,伤害计算器!$AV$28:$BM$30,3,FALSE)+5,FALSE)</f>
        <v>0</v>
      </c>
      <c r="I52" s="12">
        <f>VLOOKUP(HLOOKUP("普",Sheet4!$A$1:$FE$75,A52+1,FALSE),Sheet4!$A$1:$FE$75,HLOOKUP(伤害计算器!$D$24,伤害计算器!$AV$28:$BM$30,3,FALSE)+6,FALSE)</f>
        <v>0</v>
      </c>
      <c r="J52" s="12"/>
      <c r="K52" s="12"/>
      <c r="L52" s="12"/>
      <c r="M52" s="12"/>
      <c r="N52" s="12"/>
      <c r="O52" s="12"/>
      <c r="P52">
        <f>VLOOKUP(HLOOKUP("普",Sheet4!$A$1:$FE$75,A52+1,FALSE),Sheet4!$A$1:$FF$75,HLOOKUP(伤害计算器!$D$24,伤害计算器!$AV$28:$BM$30,3,FALSE)+7,FALSE)</f>
        <v>0</v>
      </c>
      <c r="S52">
        <v>49</v>
      </c>
      <c r="T52" s="8" t="str">
        <f>IF(HLOOKUP($W$1,Sheet4!$A$1:$FE$75,S52+1,FALSE)=0," ",HLOOKUP($W$1,Sheet4!$A$1:$FE$75,S52+1,FALSE))</f>
        <v> </v>
      </c>
      <c r="U52" s="8">
        <f>VLOOKUP(HLOOKUP("普",Sheet4!$A$1:$FE$75,S52+1,FALSE),Sheet4!$A$1:$FE$75,HLOOKUP($W$1,伤害计算器!$AV$28:$BM$30,3,FALSE),FALSE)</f>
        <v>0</v>
      </c>
      <c r="V52" s="8">
        <f>VLOOKUP(HLOOKUP("普",Sheet4!$A$1:$FE$75,S52+1,FALSE),Sheet4!$A$1:$FE$75,HLOOKUP($W$1,伤害计算器!$AV$28:$BM$30,3,FALSE)+1,FALSE)</f>
        <v>0</v>
      </c>
      <c r="W52" s="9">
        <f>VLOOKUP(HLOOKUP("普",Sheet4!$A$1:$FE$75,S52+1,FALSE),Sheet4!$A$1:$FE$75,HLOOKUP($W$1,伤害计算器!$AV$28:$BM$30,3,FALSE)+2,FALSE)</f>
        <v>0</v>
      </c>
      <c r="X52" s="9">
        <f>VLOOKUP(HLOOKUP("普",Sheet4!$A$1:$FE$75,S52+1,FALSE),Sheet4!$A$1:$FE$75,HLOOKUP($W$1,伤害计算器!$AV$28:$BM$30,3,FALSE)+3,FALSE)</f>
        <v>0</v>
      </c>
      <c r="Y52" s="9">
        <f>VLOOKUP(HLOOKUP("普",Sheet4!$A$1:$FE$75,S52+1,FALSE),Sheet4!$A$1:$FE$75,HLOOKUP($W$1,伤害计算器!$AV$28:$BM$30,3,FALSE)+4,FALSE)</f>
        <v>0</v>
      </c>
      <c r="Z52" s="10">
        <f>VLOOKUP(HLOOKUP("普",Sheet4!$A$1:$FE$75,S52+1,FALSE),Sheet4!$A$1:$FE$75,HLOOKUP($W$1,伤害计算器!$AV$28:$BM$30,3,FALSE)+5,FALSE)</f>
        <v>0</v>
      </c>
      <c r="AA52" s="12">
        <f>VLOOKUP(HLOOKUP("普",Sheet4!$A$1:$FE$75,S52+1,FALSE),Sheet4!$A$1:$FE$75,HLOOKUP($W$1,伤害计算器!$AV$28:$BM$30,3,FALSE)+6,FALSE)</f>
        <v>0</v>
      </c>
      <c r="AB52" s="12"/>
      <c r="AC52" s="12"/>
      <c r="AD52" s="12"/>
      <c r="AE52" s="12"/>
      <c r="AF52" s="12"/>
      <c r="AG52" s="12"/>
      <c r="AH52">
        <f>VLOOKUP(HLOOKUP("普",Sheet4!$A$1:$FE$75,S52+1,FALSE),Sheet4!$A$1:$FF$75,HLOOKUP($W$1,伤害计算器!$AV$28:$BM$30,3,FALSE)+7,FALSE)</f>
        <v>0</v>
      </c>
    </row>
    <row r="53" spans="1:34">
      <c r="A53">
        <v>50</v>
      </c>
      <c r="B53" s="8" t="str">
        <f>IF(HLOOKUP(伤害计算器!$D$24,Sheet4!$A$1:$FE$75,A53+1,FALSE)=0," ",HLOOKUP(伤害计算器!$D$24,Sheet4!$A$1:$FE$75,A53+1,FALSE))</f>
        <v> </v>
      </c>
      <c r="C53" s="8">
        <f>VLOOKUP(HLOOKUP("普",Sheet4!$A$1:$FE$75,A53+1,FALSE),Sheet4!$A$1:$FE$75,HLOOKUP(伤害计算器!$D$24,伤害计算器!$AV$28:$BM$30,3,FALSE),FALSE)</f>
        <v>0</v>
      </c>
      <c r="D53" s="8">
        <f>VLOOKUP(HLOOKUP("普",Sheet4!$A$1:$FE$75,A53+1,FALSE),Sheet4!$A$1:$FE$75,HLOOKUP(伤害计算器!$D$24,伤害计算器!$AV$28:$BM$30,3,FALSE)+1,FALSE)</f>
        <v>0</v>
      </c>
      <c r="E53" s="8">
        <f>VLOOKUP(HLOOKUP("普",Sheet4!$A$1:$FE$75,A53+1,FALSE),Sheet4!$A$1:$FE$75,HLOOKUP(伤害计算器!$D$24,伤害计算器!$AV$28:$BM$30,3,FALSE)+2,FALSE)</f>
        <v>0</v>
      </c>
      <c r="F53" s="8">
        <f>VLOOKUP(HLOOKUP("普",Sheet4!$A$1:$FE$75,A53+1,FALSE),Sheet4!$A$1:$FE$75,HLOOKUP(伤害计算器!$D$24,伤害计算器!$AV$28:$BM$30,3,FALSE)+3,FALSE)</f>
        <v>0</v>
      </c>
      <c r="G53" s="8">
        <f>VLOOKUP(HLOOKUP("普",Sheet4!$A$1:$FE$75,A53+1,FALSE),Sheet4!$A$1:$FE$75,HLOOKUP(伤害计算器!$D$24,伤害计算器!$AV$28:$BM$30,3,FALSE)+4,FALSE)</f>
        <v>0</v>
      </c>
      <c r="H53" s="11">
        <f>VLOOKUP(HLOOKUP("普",Sheet4!$A$1:$FE$75,A53+1,FALSE),Sheet4!$A$1:$FE$75,HLOOKUP(伤害计算器!$D$24,伤害计算器!$AV$28:$BM$30,3,FALSE)+5,FALSE)</f>
        <v>0</v>
      </c>
      <c r="I53" s="12">
        <f>VLOOKUP(HLOOKUP("普",Sheet4!$A$1:$FE$75,A53+1,FALSE),Sheet4!$A$1:$FE$75,HLOOKUP(伤害计算器!$D$24,伤害计算器!$AV$28:$BM$30,3,FALSE)+6,FALSE)</f>
        <v>0</v>
      </c>
      <c r="J53" s="12"/>
      <c r="K53" s="12"/>
      <c r="L53" s="12"/>
      <c r="M53" s="12"/>
      <c r="N53" s="12"/>
      <c r="O53" s="12"/>
      <c r="P53">
        <f>VLOOKUP(HLOOKUP("普",Sheet4!$A$1:$FE$75,A53+1,FALSE),Sheet4!$A$1:$FF$75,HLOOKUP(伤害计算器!$D$24,伤害计算器!$AV$28:$BM$30,3,FALSE)+7,FALSE)</f>
        <v>0</v>
      </c>
      <c r="S53">
        <v>50</v>
      </c>
      <c r="T53" s="8" t="str">
        <f>IF(HLOOKUP($W$1,Sheet4!$A$1:$FE$75,S53+1,FALSE)=0," ",HLOOKUP($W$1,Sheet4!$A$1:$FE$75,S53+1,FALSE))</f>
        <v> </v>
      </c>
      <c r="U53" s="8">
        <f>VLOOKUP(HLOOKUP("普",Sheet4!$A$1:$FE$75,S53+1,FALSE),Sheet4!$A$1:$FE$75,HLOOKUP($W$1,伤害计算器!$AV$28:$BM$30,3,FALSE),FALSE)</f>
        <v>0</v>
      </c>
      <c r="V53" s="8">
        <f>VLOOKUP(HLOOKUP("普",Sheet4!$A$1:$FE$75,S53+1,FALSE),Sheet4!$A$1:$FE$75,HLOOKUP($W$1,伤害计算器!$AV$28:$BM$30,3,FALSE)+1,FALSE)</f>
        <v>0</v>
      </c>
      <c r="W53" s="9">
        <f>VLOOKUP(HLOOKUP("普",Sheet4!$A$1:$FE$75,S53+1,FALSE),Sheet4!$A$1:$FE$75,HLOOKUP($W$1,伤害计算器!$AV$28:$BM$30,3,FALSE)+2,FALSE)</f>
        <v>0</v>
      </c>
      <c r="X53" s="9">
        <f>VLOOKUP(HLOOKUP("普",Sheet4!$A$1:$FE$75,S53+1,FALSE),Sheet4!$A$1:$FE$75,HLOOKUP($W$1,伤害计算器!$AV$28:$BM$30,3,FALSE)+3,FALSE)</f>
        <v>0</v>
      </c>
      <c r="Y53" s="9">
        <f>VLOOKUP(HLOOKUP("普",Sheet4!$A$1:$FE$75,S53+1,FALSE),Sheet4!$A$1:$FE$75,HLOOKUP($W$1,伤害计算器!$AV$28:$BM$30,3,FALSE)+4,FALSE)</f>
        <v>0</v>
      </c>
      <c r="Z53" s="10">
        <f>VLOOKUP(HLOOKUP("普",Sheet4!$A$1:$FE$75,S53+1,FALSE),Sheet4!$A$1:$FE$75,HLOOKUP($W$1,伤害计算器!$AV$28:$BM$30,3,FALSE)+5,FALSE)</f>
        <v>0</v>
      </c>
      <c r="AA53" s="12">
        <f>VLOOKUP(HLOOKUP("普",Sheet4!$A$1:$FE$75,S53+1,FALSE),Sheet4!$A$1:$FE$75,HLOOKUP($W$1,伤害计算器!$AV$28:$BM$30,3,FALSE)+6,FALSE)</f>
        <v>0</v>
      </c>
      <c r="AB53" s="12"/>
      <c r="AC53" s="12"/>
      <c r="AD53" s="12"/>
      <c r="AE53" s="12"/>
      <c r="AF53" s="12"/>
      <c r="AG53" s="12"/>
      <c r="AH53">
        <f>VLOOKUP(HLOOKUP("普",Sheet4!$A$1:$FE$75,S53+1,FALSE),Sheet4!$A$1:$FF$75,HLOOKUP($W$1,伤害计算器!$AV$28:$BM$30,3,FALSE)+7,FALSE)</f>
        <v>0</v>
      </c>
    </row>
    <row r="54" spans="1:34">
      <c r="A54">
        <v>51</v>
      </c>
      <c r="B54" s="8" t="str">
        <f>IF(HLOOKUP(伤害计算器!$D$24,Sheet4!$A$1:$FE$75,A54+1,FALSE)=0," ",HLOOKUP(伤害计算器!$D$24,Sheet4!$A$1:$FE$75,A54+1,FALSE))</f>
        <v> </v>
      </c>
      <c r="C54" s="8">
        <f>VLOOKUP(HLOOKUP("普",Sheet4!$A$1:$FE$75,A54+1,FALSE),Sheet4!$A$1:$FE$75,HLOOKUP(伤害计算器!$D$24,伤害计算器!$AV$28:$BM$30,3,FALSE),FALSE)</f>
        <v>0</v>
      </c>
      <c r="D54" s="8">
        <f>VLOOKUP(HLOOKUP("普",Sheet4!$A$1:$FE$75,A54+1,FALSE),Sheet4!$A$1:$FE$75,HLOOKUP(伤害计算器!$D$24,伤害计算器!$AV$28:$BM$30,3,FALSE)+1,FALSE)</f>
        <v>0</v>
      </c>
      <c r="E54" s="8">
        <f>VLOOKUP(HLOOKUP("普",Sheet4!$A$1:$FE$75,A54+1,FALSE),Sheet4!$A$1:$FE$75,HLOOKUP(伤害计算器!$D$24,伤害计算器!$AV$28:$BM$30,3,FALSE)+2,FALSE)</f>
        <v>0</v>
      </c>
      <c r="F54" s="8">
        <f>VLOOKUP(HLOOKUP("普",Sheet4!$A$1:$FE$75,A54+1,FALSE),Sheet4!$A$1:$FE$75,HLOOKUP(伤害计算器!$D$24,伤害计算器!$AV$28:$BM$30,3,FALSE)+3,FALSE)</f>
        <v>0</v>
      </c>
      <c r="G54" s="8">
        <f>VLOOKUP(HLOOKUP("普",Sheet4!$A$1:$FE$75,A54+1,FALSE),Sheet4!$A$1:$FE$75,HLOOKUP(伤害计算器!$D$24,伤害计算器!$AV$28:$BM$30,3,FALSE)+4,FALSE)</f>
        <v>0</v>
      </c>
      <c r="H54" s="11">
        <f>VLOOKUP(HLOOKUP("普",Sheet4!$A$1:$FE$75,A54+1,FALSE),Sheet4!$A$1:$FE$75,HLOOKUP(伤害计算器!$D$24,伤害计算器!$AV$28:$BM$30,3,FALSE)+5,FALSE)</f>
        <v>0</v>
      </c>
      <c r="I54" s="12">
        <f>VLOOKUP(HLOOKUP("普",Sheet4!$A$1:$FE$75,A54+1,FALSE),Sheet4!$A$1:$FE$75,HLOOKUP(伤害计算器!$D$24,伤害计算器!$AV$28:$BM$30,3,FALSE)+6,FALSE)</f>
        <v>0</v>
      </c>
      <c r="J54" s="12"/>
      <c r="K54" s="12"/>
      <c r="L54" s="12"/>
      <c r="M54" s="12"/>
      <c r="N54" s="12"/>
      <c r="O54" s="12"/>
      <c r="P54">
        <f>VLOOKUP(HLOOKUP("普",Sheet4!$A$1:$FE$75,A54+1,FALSE),Sheet4!$A$1:$FF$75,HLOOKUP(伤害计算器!$D$24,伤害计算器!$AV$28:$BM$30,3,FALSE)+7,FALSE)</f>
        <v>0</v>
      </c>
      <c r="S54">
        <v>51</v>
      </c>
      <c r="T54" s="8" t="str">
        <f>IF(HLOOKUP($W$1,Sheet4!$A$1:$FE$75,S54+1,FALSE)=0," ",HLOOKUP($W$1,Sheet4!$A$1:$FE$75,S54+1,FALSE))</f>
        <v> </v>
      </c>
      <c r="U54" s="8">
        <f>VLOOKUP(HLOOKUP("普",Sheet4!$A$1:$FE$75,S54+1,FALSE),Sheet4!$A$1:$FE$75,HLOOKUP($W$1,伤害计算器!$AV$28:$BM$30,3,FALSE),FALSE)</f>
        <v>0</v>
      </c>
      <c r="V54" s="8">
        <f>VLOOKUP(HLOOKUP("普",Sheet4!$A$1:$FE$75,S54+1,FALSE),Sheet4!$A$1:$FE$75,HLOOKUP($W$1,伤害计算器!$AV$28:$BM$30,3,FALSE)+1,FALSE)</f>
        <v>0</v>
      </c>
      <c r="W54" s="9">
        <f>VLOOKUP(HLOOKUP("普",Sheet4!$A$1:$FE$75,S54+1,FALSE),Sheet4!$A$1:$FE$75,HLOOKUP($W$1,伤害计算器!$AV$28:$BM$30,3,FALSE)+2,FALSE)</f>
        <v>0</v>
      </c>
      <c r="X54" s="9">
        <f>VLOOKUP(HLOOKUP("普",Sheet4!$A$1:$FE$75,S54+1,FALSE),Sheet4!$A$1:$FE$75,HLOOKUP($W$1,伤害计算器!$AV$28:$BM$30,3,FALSE)+3,FALSE)</f>
        <v>0</v>
      </c>
      <c r="Y54" s="9">
        <f>VLOOKUP(HLOOKUP("普",Sheet4!$A$1:$FE$75,S54+1,FALSE),Sheet4!$A$1:$FE$75,HLOOKUP($W$1,伤害计算器!$AV$28:$BM$30,3,FALSE)+4,FALSE)</f>
        <v>0</v>
      </c>
      <c r="Z54" s="10">
        <f>VLOOKUP(HLOOKUP("普",Sheet4!$A$1:$FE$75,S54+1,FALSE),Sheet4!$A$1:$FE$75,HLOOKUP($W$1,伤害计算器!$AV$28:$BM$30,3,FALSE)+5,FALSE)</f>
        <v>0</v>
      </c>
      <c r="AA54" s="12">
        <f>VLOOKUP(HLOOKUP("普",Sheet4!$A$1:$FE$75,S54+1,FALSE),Sheet4!$A$1:$FE$75,HLOOKUP($W$1,伤害计算器!$AV$28:$BM$30,3,FALSE)+6,FALSE)</f>
        <v>0</v>
      </c>
      <c r="AB54" s="12"/>
      <c r="AC54" s="12"/>
      <c r="AD54" s="12"/>
      <c r="AE54" s="12"/>
      <c r="AF54" s="12"/>
      <c r="AG54" s="12"/>
      <c r="AH54">
        <f>VLOOKUP(HLOOKUP("普",Sheet4!$A$1:$FE$75,S54+1,FALSE),Sheet4!$A$1:$FF$75,HLOOKUP($W$1,伤害计算器!$AV$28:$BM$30,3,FALSE)+7,FALSE)</f>
        <v>0</v>
      </c>
    </row>
    <row r="55" spans="1:34">
      <c r="A55">
        <v>52</v>
      </c>
      <c r="B55" s="8" t="str">
        <f>IF(HLOOKUP(伤害计算器!$D$24,Sheet4!$A$1:$FE$75,A55+1,FALSE)=0," ",HLOOKUP(伤害计算器!$D$24,Sheet4!$A$1:$FE$75,A55+1,FALSE))</f>
        <v> </v>
      </c>
      <c r="C55" s="8">
        <f>VLOOKUP(HLOOKUP("普",Sheet4!$A$1:$FE$75,A55+1,FALSE),Sheet4!$A$1:$FE$75,HLOOKUP(伤害计算器!$D$24,伤害计算器!$AV$28:$BM$30,3,FALSE),FALSE)</f>
        <v>0</v>
      </c>
      <c r="D55" s="8">
        <f>VLOOKUP(HLOOKUP("普",Sheet4!$A$1:$FE$75,A55+1,FALSE),Sheet4!$A$1:$FE$75,HLOOKUP(伤害计算器!$D$24,伤害计算器!$AV$28:$BM$30,3,FALSE)+1,FALSE)</f>
        <v>0</v>
      </c>
      <c r="E55" s="8">
        <f>VLOOKUP(HLOOKUP("普",Sheet4!$A$1:$FE$75,A55+1,FALSE),Sheet4!$A$1:$FE$75,HLOOKUP(伤害计算器!$D$24,伤害计算器!$AV$28:$BM$30,3,FALSE)+2,FALSE)</f>
        <v>0</v>
      </c>
      <c r="F55" s="8">
        <f>VLOOKUP(HLOOKUP("普",Sheet4!$A$1:$FE$75,A55+1,FALSE),Sheet4!$A$1:$FE$75,HLOOKUP(伤害计算器!$D$24,伤害计算器!$AV$28:$BM$30,3,FALSE)+3,FALSE)</f>
        <v>0</v>
      </c>
      <c r="G55" s="8">
        <f>VLOOKUP(HLOOKUP("普",Sheet4!$A$1:$FE$75,A55+1,FALSE),Sheet4!$A$1:$FE$75,HLOOKUP(伤害计算器!$D$24,伤害计算器!$AV$28:$BM$30,3,FALSE)+4,FALSE)</f>
        <v>0</v>
      </c>
      <c r="H55" s="11">
        <f>VLOOKUP(HLOOKUP("普",Sheet4!$A$1:$FE$75,A55+1,FALSE),Sheet4!$A$1:$FE$75,HLOOKUP(伤害计算器!$D$24,伤害计算器!$AV$28:$BM$30,3,FALSE)+5,FALSE)</f>
        <v>0</v>
      </c>
      <c r="I55" s="12">
        <f>VLOOKUP(HLOOKUP("普",Sheet4!$A$1:$FE$75,A55+1,FALSE),Sheet4!$A$1:$FE$75,HLOOKUP(伤害计算器!$D$24,伤害计算器!$AV$28:$BM$30,3,FALSE)+6,FALSE)</f>
        <v>0</v>
      </c>
      <c r="J55" s="12"/>
      <c r="K55" s="12"/>
      <c r="L55" s="12"/>
      <c r="M55" s="12"/>
      <c r="N55" s="12"/>
      <c r="O55" s="12"/>
      <c r="P55">
        <f>VLOOKUP(HLOOKUP("普",Sheet4!$A$1:$FE$75,A55+1,FALSE),Sheet4!$A$1:$FF$75,HLOOKUP(伤害计算器!$D$24,伤害计算器!$AV$28:$BM$30,3,FALSE)+7,FALSE)</f>
        <v>0</v>
      </c>
      <c r="S55">
        <v>52</v>
      </c>
      <c r="T55" s="8" t="str">
        <f>IF(HLOOKUP($W$1,Sheet4!$A$1:$FE$75,S55+1,FALSE)=0," ",HLOOKUP($W$1,Sheet4!$A$1:$FE$75,S55+1,FALSE))</f>
        <v> </v>
      </c>
      <c r="U55" s="8">
        <f>VLOOKUP(HLOOKUP("普",Sheet4!$A$1:$FE$75,S55+1,FALSE),Sheet4!$A$1:$FE$75,HLOOKUP($W$1,伤害计算器!$AV$28:$BM$30,3,FALSE),FALSE)</f>
        <v>0</v>
      </c>
      <c r="V55" s="8">
        <f>VLOOKUP(HLOOKUP("普",Sheet4!$A$1:$FE$75,S55+1,FALSE),Sheet4!$A$1:$FE$75,HLOOKUP($W$1,伤害计算器!$AV$28:$BM$30,3,FALSE)+1,FALSE)</f>
        <v>0</v>
      </c>
      <c r="W55" s="9">
        <f>VLOOKUP(HLOOKUP("普",Sheet4!$A$1:$FE$75,S55+1,FALSE),Sheet4!$A$1:$FE$75,HLOOKUP($W$1,伤害计算器!$AV$28:$BM$30,3,FALSE)+2,FALSE)</f>
        <v>0</v>
      </c>
      <c r="X55" s="9">
        <f>VLOOKUP(HLOOKUP("普",Sheet4!$A$1:$FE$75,S55+1,FALSE),Sheet4!$A$1:$FE$75,HLOOKUP($W$1,伤害计算器!$AV$28:$BM$30,3,FALSE)+3,FALSE)</f>
        <v>0</v>
      </c>
      <c r="Y55" s="9">
        <f>VLOOKUP(HLOOKUP("普",Sheet4!$A$1:$FE$75,S55+1,FALSE),Sheet4!$A$1:$FE$75,HLOOKUP($W$1,伤害计算器!$AV$28:$BM$30,3,FALSE)+4,FALSE)</f>
        <v>0</v>
      </c>
      <c r="Z55" s="10">
        <f>VLOOKUP(HLOOKUP("普",Sheet4!$A$1:$FE$75,S55+1,FALSE),Sheet4!$A$1:$FE$75,HLOOKUP($W$1,伤害计算器!$AV$28:$BM$30,3,FALSE)+5,FALSE)</f>
        <v>0</v>
      </c>
      <c r="AA55" s="12">
        <f>VLOOKUP(HLOOKUP("普",Sheet4!$A$1:$FE$75,S55+1,FALSE),Sheet4!$A$1:$FE$75,HLOOKUP($W$1,伤害计算器!$AV$28:$BM$30,3,FALSE)+6,FALSE)</f>
        <v>0</v>
      </c>
      <c r="AB55" s="12"/>
      <c r="AC55" s="12"/>
      <c r="AD55" s="12"/>
      <c r="AE55" s="12"/>
      <c r="AF55" s="12"/>
      <c r="AG55" s="12"/>
      <c r="AH55">
        <f>VLOOKUP(HLOOKUP("普",Sheet4!$A$1:$FE$75,S55+1,FALSE),Sheet4!$A$1:$FF$75,HLOOKUP($W$1,伤害计算器!$AV$28:$BM$30,3,FALSE)+7,FALSE)</f>
        <v>0</v>
      </c>
    </row>
    <row r="56" spans="1:34">
      <c r="A56">
        <v>53</v>
      </c>
      <c r="B56" s="8" t="str">
        <f>IF(HLOOKUP(伤害计算器!$D$24,Sheet4!$A$1:$FE$75,A56+1,FALSE)=0," ",HLOOKUP(伤害计算器!$D$24,Sheet4!$A$1:$FE$75,A56+1,FALSE))</f>
        <v> </v>
      </c>
      <c r="C56" s="8">
        <f>VLOOKUP(HLOOKUP("普",Sheet4!$A$1:$FE$75,A56+1,FALSE),Sheet4!$A$1:$FE$75,HLOOKUP(伤害计算器!$D$24,伤害计算器!$AV$28:$BM$30,3,FALSE),FALSE)</f>
        <v>0</v>
      </c>
      <c r="D56" s="8">
        <f>VLOOKUP(HLOOKUP("普",Sheet4!$A$1:$FE$75,A56+1,FALSE),Sheet4!$A$1:$FE$75,HLOOKUP(伤害计算器!$D$24,伤害计算器!$AV$28:$BM$30,3,FALSE)+1,FALSE)</f>
        <v>0</v>
      </c>
      <c r="E56" s="8">
        <f>VLOOKUP(HLOOKUP("普",Sheet4!$A$1:$FE$75,A56+1,FALSE),Sheet4!$A$1:$FE$75,HLOOKUP(伤害计算器!$D$24,伤害计算器!$AV$28:$BM$30,3,FALSE)+2,FALSE)</f>
        <v>0</v>
      </c>
      <c r="F56" s="8">
        <f>VLOOKUP(HLOOKUP("普",Sheet4!$A$1:$FE$75,A56+1,FALSE),Sheet4!$A$1:$FE$75,HLOOKUP(伤害计算器!$D$24,伤害计算器!$AV$28:$BM$30,3,FALSE)+3,FALSE)</f>
        <v>0</v>
      </c>
      <c r="G56" s="8">
        <f>VLOOKUP(HLOOKUP("普",Sheet4!$A$1:$FE$75,A56+1,FALSE),Sheet4!$A$1:$FE$75,HLOOKUP(伤害计算器!$D$24,伤害计算器!$AV$28:$BM$30,3,FALSE)+4,FALSE)</f>
        <v>0</v>
      </c>
      <c r="H56" s="11">
        <f>VLOOKUP(HLOOKUP("普",Sheet4!$A$1:$FE$75,A56+1,FALSE),Sheet4!$A$1:$FE$75,HLOOKUP(伤害计算器!$D$24,伤害计算器!$AV$28:$BM$30,3,FALSE)+5,FALSE)</f>
        <v>0</v>
      </c>
      <c r="I56" s="12">
        <f>VLOOKUP(HLOOKUP("普",Sheet4!$A$1:$FE$75,A56+1,FALSE),Sheet4!$A$1:$FE$75,HLOOKUP(伤害计算器!$D$24,伤害计算器!$AV$28:$BM$30,3,FALSE)+6,FALSE)</f>
        <v>0</v>
      </c>
      <c r="J56" s="12"/>
      <c r="K56" s="12"/>
      <c r="L56" s="12"/>
      <c r="M56" s="12"/>
      <c r="N56" s="12"/>
      <c r="O56" s="12"/>
      <c r="P56">
        <f>VLOOKUP(HLOOKUP("普",Sheet4!$A$1:$FE$75,A56+1,FALSE),Sheet4!$A$1:$FF$75,HLOOKUP(伤害计算器!$D$24,伤害计算器!$AV$28:$BM$30,3,FALSE)+7,FALSE)</f>
        <v>0</v>
      </c>
      <c r="S56">
        <v>53</v>
      </c>
      <c r="T56" s="8" t="str">
        <f>IF(HLOOKUP($W$1,Sheet4!$A$1:$FE$75,S56+1,FALSE)=0," ",HLOOKUP($W$1,Sheet4!$A$1:$FE$75,S56+1,FALSE))</f>
        <v> </v>
      </c>
      <c r="U56" s="8">
        <f>VLOOKUP(HLOOKUP("普",Sheet4!$A$1:$FE$75,S56+1,FALSE),Sheet4!$A$1:$FE$75,HLOOKUP($W$1,伤害计算器!$AV$28:$BM$30,3,FALSE),FALSE)</f>
        <v>0</v>
      </c>
      <c r="V56" s="8">
        <f>VLOOKUP(HLOOKUP("普",Sheet4!$A$1:$FE$75,S56+1,FALSE),Sheet4!$A$1:$FE$75,HLOOKUP($W$1,伤害计算器!$AV$28:$BM$30,3,FALSE)+1,FALSE)</f>
        <v>0</v>
      </c>
      <c r="W56" s="9">
        <f>VLOOKUP(HLOOKUP("普",Sheet4!$A$1:$FE$75,S56+1,FALSE),Sheet4!$A$1:$FE$75,HLOOKUP($W$1,伤害计算器!$AV$28:$BM$30,3,FALSE)+2,FALSE)</f>
        <v>0</v>
      </c>
      <c r="X56" s="9">
        <f>VLOOKUP(HLOOKUP("普",Sheet4!$A$1:$FE$75,S56+1,FALSE),Sheet4!$A$1:$FE$75,HLOOKUP($W$1,伤害计算器!$AV$28:$BM$30,3,FALSE)+3,FALSE)</f>
        <v>0</v>
      </c>
      <c r="Y56" s="9">
        <f>VLOOKUP(HLOOKUP("普",Sheet4!$A$1:$FE$75,S56+1,FALSE),Sheet4!$A$1:$FE$75,HLOOKUP($W$1,伤害计算器!$AV$28:$BM$30,3,FALSE)+4,FALSE)</f>
        <v>0</v>
      </c>
      <c r="Z56" s="10">
        <f>VLOOKUP(HLOOKUP("普",Sheet4!$A$1:$FE$75,S56+1,FALSE),Sheet4!$A$1:$FE$75,HLOOKUP($W$1,伤害计算器!$AV$28:$BM$30,3,FALSE)+5,FALSE)</f>
        <v>0</v>
      </c>
      <c r="AA56" s="12">
        <f>VLOOKUP(HLOOKUP("普",Sheet4!$A$1:$FE$75,S56+1,FALSE),Sheet4!$A$1:$FE$75,HLOOKUP($W$1,伤害计算器!$AV$28:$BM$30,3,FALSE)+6,FALSE)</f>
        <v>0</v>
      </c>
      <c r="AB56" s="12"/>
      <c r="AC56" s="12"/>
      <c r="AD56" s="12"/>
      <c r="AE56" s="12"/>
      <c r="AF56" s="12"/>
      <c r="AG56" s="12"/>
      <c r="AH56">
        <f>VLOOKUP(HLOOKUP("普",Sheet4!$A$1:$FE$75,S56+1,FALSE),Sheet4!$A$1:$FF$75,HLOOKUP($W$1,伤害计算器!$AV$28:$BM$30,3,FALSE)+7,FALSE)</f>
        <v>0</v>
      </c>
    </row>
    <row r="57" spans="1:34">
      <c r="A57">
        <v>54</v>
      </c>
      <c r="B57" s="8" t="str">
        <f>IF(HLOOKUP(伤害计算器!$D$24,Sheet4!$A$1:$FE$75,A57+1,FALSE)=0," ",HLOOKUP(伤害计算器!$D$24,Sheet4!$A$1:$FE$75,A57+1,FALSE))</f>
        <v> </v>
      </c>
      <c r="C57" s="8">
        <f>VLOOKUP(HLOOKUP("普",Sheet4!$A$1:$FE$75,A57+1,FALSE),Sheet4!$A$1:$FE$75,HLOOKUP(伤害计算器!$D$24,伤害计算器!$AV$28:$BM$30,3,FALSE),FALSE)</f>
        <v>0</v>
      </c>
      <c r="D57" s="8">
        <f>VLOOKUP(HLOOKUP("普",Sheet4!$A$1:$FE$75,A57+1,FALSE),Sheet4!$A$1:$FE$75,HLOOKUP(伤害计算器!$D$24,伤害计算器!$AV$28:$BM$30,3,FALSE)+1,FALSE)</f>
        <v>0</v>
      </c>
      <c r="E57" s="8">
        <f>VLOOKUP(HLOOKUP("普",Sheet4!$A$1:$FE$75,A57+1,FALSE),Sheet4!$A$1:$FE$75,HLOOKUP(伤害计算器!$D$24,伤害计算器!$AV$28:$BM$30,3,FALSE)+2,FALSE)</f>
        <v>0</v>
      </c>
      <c r="F57" s="8">
        <f>VLOOKUP(HLOOKUP("普",Sheet4!$A$1:$FE$75,A57+1,FALSE),Sheet4!$A$1:$FE$75,HLOOKUP(伤害计算器!$D$24,伤害计算器!$AV$28:$BM$30,3,FALSE)+3,FALSE)</f>
        <v>0</v>
      </c>
      <c r="G57" s="8">
        <f>VLOOKUP(HLOOKUP("普",Sheet4!$A$1:$FE$75,A57+1,FALSE),Sheet4!$A$1:$FE$75,HLOOKUP(伤害计算器!$D$24,伤害计算器!$AV$28:$BM$30,3,FALSE)+4,FALSE)</f>
        <v>0</v>
      </c>
      <c r="H57" s="11">
        <f>VLOOKUP(HLOOKUP("普",Sheet4!$A$1:$FE$75,A57+1,FALSE),Sheet4!$A$1:$FE$75,HLOOKUP(伤害计算器!$D$24,伤害计算器!$AV$28:$BM$30,3,FALSE)+5,FALSE)</f>
        <v>0</v>
      </c>
      <c r="I57" s="12">
        <f>VLOOKUP(HLOOKUP("普",Sheet4!$A$1:$FE$75,A57+1,FALSE),Sheet4!$A$1:$FE$75,HLOOKUP(伤害计算器!$D$24,伤害计算器!$AV$28:$BM$30,3,FALSE)+6,FALSE)</f>
        <v>0</v>
      </c>
      <c r="J57" s="12"/>
      <c r="K57" s="12"/>
      <c r="L57" s="12"/>
      <c r="M57" s="12"/>
      <c r="N57" s="12"/>
      <c r="O57" s="12"/>
      <c r="P57">
        <f>VLOOKUP(HLOOKUP("普",Sheet4!$A$1:$FE$75,A57+1,FALSE),Sheet4!$A$1:$FF$75,HLOOKUP(伤害计算器!$D$24,伤害计算器!$AV$28:$BM$30,3,FALSE)+7,FALSE)</f>
        <v>0</v>
      </c>
      <c r="S57">
        <v>54</v>
      </c>
      <c r="T57" s="8" t="str">
        <f>IF(HLOOKUP($W$1,Sheet4!$A$1:$FE$75,S57+1,FALSE)=0," ",HLOOKUP($W$1,Sheet4!$A$1:$FE$75,S57+1,FALSE))</f>
        <v> </v>
      </c>
      <c r="U57" s="8">
        <f>VLOOKUP(HLOOKUP("普",Sheet4!$A$1:$FE$75,S57+1,FALSE),Sheet4!$A$1:$FE$75,HLOOKUP($W$1,伤害计算器!$AV$28:$BM$30,3,FALSE),FALSE)</f>
        <v>0</v>
      </c>
      <c r="V57" s="8">
        <f>VLOOKUP(HLOOKUP("普",Sheet4!$A$1:$FE$75,S57+1,FALSE),Sheet4!$A$1:$FE$75,HLOOKUP($W$1,伤害计算器!$AV$28:$BM$30,3,FALSE)+1,FALSE)</f>
        <v>0</v>
      </c>
      <c r="W57" s="9">
        <f>VLOOKUP(HLOOKUP("普",Sheet4!$A$1:$FE$75,S57+1,FALSE),Sheet4!$A$1:$FE$75,HLOOKUP($W$1,伤害计算器!$AV$28:$BM$30,3,FALSE)+2,FALSE)</f>
        <v>0</v>
      </c>
      <c r="X57" s="9">
        <f>VLOOKUP(HLOOKUP("普",Sheet4!$A$1:$FE$75,S57+1,FALSE),Sheet4!$A$1:$FE$75,HLOOKUP($W$1,伤害计算器!$AV$28:$BM$30,3,FALSE)+3,FALSE)</f>
        <v>0</v>
      </c>
      <c r="Y57" s="9">
        <f>VLOOKUP(HLOOKUP("普",Sheet4!$A$1:$FE$75,S57+1,FALSE),Sheet4!$A$1:$FE$75,HLOOKUP($W$1,伤害计算器!$AV$28:$BM$30,3,FALSE)+4,FALSE)</f>
        <v>0</v>
      </c>
      <c r="Z57" s="10">
        <f>VLOOKUP(HLOOKUP("普",Sheet4!$A$1:$FE$75,S57+1,FALSE),Sheet4!$A$1:$FE$75,HLOOKUP($W$1,伤害计算器!$AV$28:$BM$30,3,FALSE)+5,FALSE)</f>
        <v>0</v>
      </c>
      <c r="AA57" s="12">
        <f>VLOOKUP(HLOOKUP("普",Sheet4!$A$1:$FE$75,S57+1,FALSE),Sheet4!$A$1:$FE$75,HLOOKUP($W$1,伤害计算器!$AV$28:$BM$30,3,FALSE)+6,FALSE)</f>
        <v>0</v>
      </c>
      <c r="AB57" s="12"/>
      <c r="AC57" s="12"/>
      <c r="AD57" s="12"/>
      <c r="AE57" s="12"/>
      <c r="AF57" s="12"/>
      <c r="AG57" s="12"/>
      <c r="AH57">
        <f>VLOOKUP(HLOOKUP("普",Sheet4!$A$1:$FE$75,S57+1,FALSE),Sheet4!$A$1:$FF$75,HLOOKUP($W$1,伤害计算器!$AV$28:$BM$30,3,FALSE)+7,FALSE)</f>
        <v>0</v>
      </c>
    </row>
    <row r="58" spans="1:34">
      <c r="A58">
        <v>55</v>
      </c>
      <c r="B58" s="8" t="str">
        <f>IF(HLOOKUP(伤害计算器!$D$24,Sheet4!$A$1:$FE$75,A58+1,FALSE)=0," ",HLOOKUP(伤害计算器!$D$24,Sheet4!$A$1:$FE$75,A58+1,FALSE))</f>
        <v> </v>
      </c>
      <c r="C58" s="8">
        <f>VLOOKUP(HLOOKUP("普",Sheet4!$A$1:$FE$75,A58+1,FALSE),Sheet4!$A$1:$FE$75,HLOOKUP(伤害计算器!$D$24,伤害计算器!$AV$28:$BM$30,3,FALSE),FALSE)</f>
        <v>0</v>
      </c>
      <c r="D58" s="8">
        <f>VLOOKUP(HLOOKUP("普",Sheet4!$A$1:$FE$75,A58+1,FALSE),Sheet4!$A$1:$FE$75,HLOOKUP(伤害计算器!$D$24,伤害计算器!$AV$28:$BM$30,3,FALSE)+1,FALSE)</f>
        <v>0</v>
      </c>
      <c r="E58" s="8">
        <f>VLOOKUP(HLOOKUP("普",Sheet4!$A$1:$FE$75,A58+1,FALSE),Sheet4!$A$1:$FE$75,HLOOKUP(伤害计算器!$D$24,伤害计算器!$AV$28:$BM$30,3,FALSE)+2,FALSE)</f>
        <v>0</v>
      </c>
      <c r="F58" s="8">
        <f>VLOOKUP(HLOOKUP("普",Sheet4!$A$1:$FE$75,A58+1,FALSE),Sheet4!$A$1:$FE$75,HLOOKUP(伤害计算器!$D$24,伤害计算器!$AV$28:$BM$30,3,FALSE)+3,FALSE)</f>
        <v>0</v>
      </c>
      <c r="G58" s="8">
        <f>VLOOKUP(HLOOKUP("普",Sheet4!$A$1:$FE$75,A58+1,FALSE),Sheet4!$A$1:$FE$75,HLOOKUP(伤害计算器!$D$24,伤害计算器!$AV$28:$BM$30,3,FALSE)+4,FALSE)</f>
        <v>0</v>
      </c>
      <c r="H58" s="11">
        <f>VLOOKUP(HLOOKUP("普",Sheet4!$A$1:$FE$75,A58+1,FALSE),Sheet4!$A$1:$FE$75,HLOOKUP(伤害计算器!$D$24,伤害计算器!$AV$28:$BM$30,3,FALSE)+5,FALSE)</f>
        <v>0</v>
      </c>
      <c r="I58" s="12">
        <f>VLOOKUP(HLOOKUP("普",Sheet4!$A$1:$FE$75,A58+1,FALSE),Sheet4!$A$1:$FE$75,HLOOKUP(伤害计算器!$D$24,伤害计算器!$AV$28:$BM$30,3,FALSE)+6,FALSE)</f>
        <v>0</v>
      </c>
      <c r="J58" s="12"/>
      <c r="K58" s="12"/>
      <c r="L58" s="12"/>
      <c r="M58" s="12"/>
      <c r="N58" s="12"/>
      <c r="O58" s="12"/>
      <c r="P58">
        <f>VLOOKUP(HLOOKUP("普",Sheet4!$A$1:$FE$75,A58+1,FALSE),Sheet4!$A$1:$FF$75,HLOOKUP(伤害计算器!$D$24,伤害计算器!$AV$28:$BM$30,3,FALSE)+7,FALSE)</f>
        <v>0</v>
      </c>
      <c r="S58">
        <v>55</v>
      </c>
      <c r="T58" s="8" t="str">
        <f>IF(HLOOKUP($W$1,Sheet4!$A$1:$FE$75,S58+1,FALSE)=0," ",HLOOKUP($W$1,Sheet4!$A$1:$FE$75,S58+1,FALSE))</f>
        <v> </v>
      </c>
      <c r="U58" s="8">
        <f>VLOOKUP(HLOOKUP("普",Sheet4!$A$1:$FE$75,S58+1,FALSE),Sheet4!$A$1:$FE$75,HLOOKUP($W$1,伤害计算器!$AV$28:$BM$30,3,FALSE),FALSE)</f>
        <v>0</v>
      </c>
      <c r="V58" s="8">
        <f>VLOOKUP(HLOOKUP("普",Sheet4!$A$1:$FE$75,S58+1,FALSE),Sheet4!$A$1:$FE$75,HLOOKUP($W$1,伤害计算器!$AV$28:$BM$30,3,FALSE)+1,FALSE)</f>
        <v>0</v>
      </c>
      <c r="W58" s="9">
        <f>VLOOKUP(HLOOKUP("普",Sheet4!$A$1:$FE$75,S58+1,FALSE),Sheet4!$A$1:$FE$75,HLOOKUP($W$1,伤害计算器!$AV$28:$BM$30,3,FALSE)+2,FALSE)</f>
        <v>0</v>
      </c>
      <c r="X58" s="9">
        <f>VLOOKUP(HLOOKUP("普",Sheet4!$A$1:$FE$75,S58+1,FALSE),Sheet4!$A$1:$FE$75,HLOOKUP($W$1,伤害计算器!$AV$28:$BM$30,3,FALSE)+3,FALSE)</f>
        <v>0</v>
      </c>
      <c r="Y58" s="9">
        <f>VLOOKUP(HLOOKUP("普",Sheet4!$A$1:$FE$75,S58+1,FALSE),Sheet4!$A$1:$FE$75,HLOOKUP($W$1,伤害计算器!$AV$28:$BM$30,3,FALSE)+4,FALSE)</f>
        <v>0</v>
      </c>
      <c r="Z58" s="10">
        <f>VLOOKUP(HLOOKUP("普",Sheet4!$A$1:$FE$75,S58+1,FALSE),Sheet4!$A$1:$FE$75,HLOOKUP($W$1,伤害计算器!$AV$28:$BM$30,3,FALSE)+5,FALSE)</f>
        <v>0</v>
      </c>
      <c r="AA58" s="12">
        <f>VLOOKUP(HLOOKUP("普",Sheet4!$A$1:$FE$75,S58+1,FALSE),Sheet4!$A$1:$FE$75,HLOOKUP($W$1,伤害计算器!$AV$28:$BM$30,3,FALSE)+6,FALSE)</f>
        <v>0</v>
      </c>
      <c r="AB58" s="12"/>
      <c r="AC58" s="12"/>
      <c r="AD58" s="12"/>
      <c r="AE58" s="12"/>
      <c r="AF58" s="12"/>
      <c r="AG58" s="12"/>
      <c r="AH58">
        <f>VLOOKUP(HLOOKUP("普",Sheet4!$A$1:$FE$75,S58+1,FALSE),Sheet4!$A$1:$FF$75,HLOOKUP($W$1,伤害计算器!$AV$28:$BM$30,3,FALSE)+7,FALSE)</f>
        <v>0</v>
      </c>
    </row>
    <row r="59" spans="1:34">
      <c r="A59">
        <v>56</v>
      </c>
      <c r="B59" s="8" t="str">
        <f>IF(HLOOKUP(伤害计算器!$D$24,Sheet4!$A$1:$FE$75,A59+1,FALSE)=0," ",HLOOKUP(伤害计算器!$D$24,Sheet4!$A$1:$FE$75,A59+1,FALSE))</f>
        <v> </v>
      </c>
      <c r="C59" s="8">
        <f>VLOOKUP(HLOOKUP("普",Sheet4!$A$1:$FE$75,A59+1,FALSE),Sheet4!$A$1:$FE$75,HLOOKUP(伤害计算器!$D$24,伤害计算器!$AV$28:$BM$30,3,FALSE),FALSE)</f>
        <v>0</v>
      </c>
      <c r="D59" s="8">
        <f>VLOOKUP(HLOOKUP("普",Sheet4!$A$1:$FE$75,A59+1,FALSE),Sheet4!$A$1:$FE$75,HLOOKUP(伤害计算器!$D$24,伤害计算器!$AV$28:$BM$30,3,FALSE)+1,FALSE)</f>
        <v>0</v>
      </c>
      <c r="E59" s="8">
        <f>VLOOKUP(HLOOKUP("普",Sheet4!$A$1:$FE$75,A59+1,FALSE),Sheet4!$A$1:$FE$75,HLOOKUP(伤害计算器!$D$24,伤害计算器!$AV$28:$BM$30,3,FALSE)+2,FALSE)</f>
        <v>0</v>
      </c>
      <c r="F59" s="8">
        <f>VLOOKUP(HLOOKUP("普",Sheet4!$A$1:$FE$75,A59+1,FALSE),Sheet4!$A$1:$FE$75,HLOOKUP(伤害计算器!$D$24,伤害计算器!$AV$28:$BM$30,3,FALSE)+3,FALSE)</f>
        <v>0</v>
      </c>
      <c r="G59" s="8">
        <f>VLOOKUP(HLOOKUP("普",Sheet4!$A$1:$FE$75,A59+1,FALSE),Sheet4!$A$1:$FE$75,HLOOKUP(伤害计算器!$D$24,伤害计算器!$AV$28:$BM$30,3,FALSE)+4,FALSE)</f>
        <v>0</v>
      </c>
      <c r="H59" s="11">
        <f>VLOOKUP(HLOOKUP("普",Sheet4!$A$1:$FE$75,A59+1,FALSE),Sheet4!$A$1:$FE$75,HLOOKUP(伤害计算器!$D$24,伤害计算器!$AV$28:$BM$30,3,FALSE)+5,FALSE)</f>
        <v>0</v>
      </c>
      <c r="I59" s="12">
        <f>VLOOKUP(HLOOKUP("普",Sheet4!$A$1:$FE$75,A59+1,FALSE),Sheet4!$A$1:$FE$75,HLOOKUP(伤害计算器!$D$24,伤害计算器!$AV$28:$BM$30,3,FALSE)+6,FALSE)</f>
        <v>0</v>
      </c>
      <c r="J59" s="12"/>
      <c r="K59" s="12"/>
      <c r="L59" s="12"/>
      <c r="M59" s="12"/>
      <c r="N59" s="12"/>
      <c r="O59" s="12"/>
      <c r="P59">
        <f>VLOOKUP(HLOOKUP("普",Sheet4!$A$1:$FE$75,A59+1,FALSE),Sheet4!$A$1:$FF$75,HLOOKUP(伤害计算器!$D$24,伤害计算器!$AV$28:$BM$30,3,FALSE)+7,FALSE)</f>
        <v>0</v>
      </c>
      <c r="S59">
        <v>56</v>
      </c>
      <c r="T59" s="8" t="str">
        <f>IF(HLOOKUP($W$1,Sheet4!$A$1:$FE$75,S59+1,FALSE)=0," ",HLOOKUP($W$1,Sheet4!$A$1:$FE$75,S59+1,FALSE))</f>
        <v> </v>
      </c>
      <c r="U59" s="8">
        <f>VLOOKUP(HLOOKUP("普",Sheet4!$A$1:$FE$75,S59+1,FALSE),Sheet4!$A$1:$FE$75,HLOOKUP($W$1,伤害计算器!$AV$28:$BM$30,3,FALSE),FALSE)</f>
        <v>0</v>
      </c>
      <c r="V59" s="8">
        <f>VLOOKUP(HLOOKUP("普",Sheet4!$A$1:$FE$75,S59+1,FALSE),Sheet4!$A$1:$FE$75,HLOOKUP($W$1,伤害计算器!$AV$28:$BM$30,3,FALSE)+1,FALSE)</f>
        <v>0</v>
      </c>
      <c r="W59" s="9">
        <f>VLOOKUP(HLOOKUP("普",Sheet4!$A$1:$FE$75,S59+1,FALSE),Sheet4!$A$1:$FE$75,HLOOKUP($W$1,伤害计算器!$AV$28:$BM$30,3,FALSE)+2,FALSE)</f>
        <v>0</v>
      </c>
      <c r="X59" s="9">
        <f>VLOOKUP(HLOOKUP("普",Sheet4!$A$1:$FE$75,S59+1,FALSE),Sheet4!$A$1:$FE$75,HLOOKUP($W$1,伤害计算器!$AV$28:$BM$30,3,FALSE)+3,FALSE)</f>
        <v>0</v>
      </c>
      <c r="Y59" s="9">
        <f>VLOOKUP(HLOOKUP("普",Sheet4!$A$1:$FE$75,S59+1,FALSE),Sheet4!$A$1:$FE$75,HLOOKUP($W$1,伤害计算器!$AV$28:$BM$30,3,FALSE)+4,FALSE)</f>
        <v>0</v>
      </c>
      <c r="Z59" s="10">
        <f>VLOOKUP(HLOOKUP("普",Sheet4!$A$1:$FE$75,S59+1,FALSE),Sheet4!$A$1:$FE$75,HLOOKUP($W$1,伤害计算器!$AV$28:$BM$30,3,FALSE)+5,FALSE)</f>
        <v>0</v>
      </c>
      <c r="AA59" s="12">
        <f>VLOOKUP(HLOOKUP("普",Sheet4!$A$1:$FE$75,S59+1,FALSE),Sheet4!$A$1:$FE$75,HLOOKUP($W$1,伤害计算器!$AV$28:$BM$30,3,FALSE)+6,FALSE)</f>
        <v>0</v>
      </c>
      <c r="AB59" s="12"/>
      <c r="AC59" s="12"/>
      <c r="AD59" s="12"/>
      <c r="AE59" s="12"/>
      <c r="AF59" s="12"/>
      <c r="AG59" s="12"/>
      <c r="AH59">
        <f>VLOOKUP(HLOOKUP("普",Sheet4!$A$1:$FE$75,S59+1,FALSE),Sheet4!$A$1:$FF$75,HLOOKUP($W$1,伤害计算器!$AV$28:$BM$30,3,FALSE)+7,FALSE)</f>
        <v>0</v>
      </c>
    </row>
    <row r="60" spans="1:34">
      <c r="A60">
        <v>57</v>
      </c>
      <c r="B60" s="8" t="str">
        <f>IF(HLOOKUP(伤害计算器!$D$24,Sheet4!$A$1:$FE$75,A60+1,FALSE)=0," ",HLOOKUP(伤害计算器!$D$24,Sheet4!$A$1:$FE$75,A60+1,FALSE))</f>
        <v> </v>
      </c>
      <c r="C60" s="8">
        <f>VLOOKUP(HLOOKUP("普",Sheet4!$A$1:$FE$75,A60+1,FALSE),Sheet4!$A$1:$FE$75,HLOOKUP(伤害计算器!$D$24,伤害计算器!$AV$28:$BM$30,3,FALSE),FALSE)</f>
        <v>0</v>
      </c>
      <c r="D60" s="8">
        <f>VLOOKUP(HLOOKUP("普",Sheet4!$A$1:$FE$75,A60+1,FALSE),Sheet4!$A$1:$FE$75,HLOOKUP(伤害计算器!$D$24,伤害计算器!$AV$28:$BM$30,3,FALSE)+1,FALSE)</f>
        <v>0</v>
      </c>
      <c r="E60" s="8">
        <f>VLOOKUP(HLOOKUP("普",Sheet4!$A$1:$FE$75,A60+1,FALSE),Sheet4!$A$1:$FE$75,HLOOKUP(伤害计算器!$D$24,伤害计算器!$AV$28:$BM$30,3,FALSE)+2,FALSE)</f>
        <v>0</v>
      </c>
      <c r="F60" s="8">
        <f>VLOOKUP(HLOOKUP("普",Sheet4!$A$1:$FE$75,A60+1,FALSE),Sheet4!$A$1:$FE$75,HLOOKUP(伤害计算器!$D$24,伤害计算器!$AV$28:$BM$30,3,FALSE)+3,FALSE)</f>
        <v>0</v>
      </c>
      <c r="G60" s="8">
        <f>VLOOKUP(HLOOKUP("普",Sheet4!$A$1:$FE$75,A60+1,FALSE),Sheet4!$A$1:$FE$75,HLOOKUP(伤害计算器!$D$24,伤害计算器!$AV$28:$BM$30,3,FALSE)+4,FALSE)</f>
        <v>0</v>
      </c>
      <c r="H60" s="11">
        <f>VLOOKUP(HLOOKUP("普",Sheet4!$A$1:$FE$75,A60+1,FALSE),Sheet4!$A$1:$FE$75,HLOOKUP(伤害计算器!$D$24,伤害计算器!$AV$28:$BM$30,3,FALSE)+5,FALSE)</f>
        <v>0</v>
      </c>
      <c r="I60" s="12">
        <f>VLOOKUP(HLOOKUP("普",Sheet4!$A$1:$FE$75,A60+1,FALSE),Sheet4!$A$1:$FE$75,HLOOKUP(伤害计算器!$D$24,伤害计算器!$AV$28:$BM$30,3,FALSE)+6,FALSE)</f>
        <v>0</v>
      </c>
      <c r="J60" s="12"/>
      <c r="K60" s="12"/>
      <c r="L60" s="12"/>
      <c r="M60" s="12"/>
      <c r="N60" s="12"/>
      <c r="O60" s="12"/>
      <c r="P60">
        <f>VLOOKUP(HLOOKUP("普",Sheet4!$A$1:$FE$75,A60+1,FALSE),Sheet4!$A$1:$FF$75,HLOOKUP(伤害计算器!$D$24,伤害计算器!$AV$28:$BM$30,3,FALSE)+7,FALSE)</f>
        <v>0</v>
      </c>
      <c r="S60">
        <v>57</v>
      </c>
      <c r="T60" s="8" t="str">
        <f>IF(HLOOKUP($W$1,Sheet4!$A$1:$FE$75,S60+1,FALSE)=0," ",HLOOKUP($W$1,Sheet4!$A$1:$FE$75,S60+1,FALSE))</f>
        <v> </v>
      </c>
      <c r="U60" s="8">
        <f>VLOOKUP(HLOOKUP("普",Sheet4!$A$1:$FE$75,S60+1,FALSE),Sheet4!$A$1:$FE$75,HLOOKUP($W$1,伤害计算器!$AV$28:$BM$30,3,FALSE),FALSE)</f>
        <v>0</v>
      </c>
      <c r="V60" s="8">
        <f>VLOOKUP(HLOOKUP("普",Sheet4!$A$1:$FE$75,S60+1,FALSE),Sheet4!$A$1:$FE$75,HLOOKUP($W$1,伤害计算器!$AV$28:$BM$30,3,FALSE)+1,FALSE)</f>
        <v>0</v>
      </c>
      <c r="W60" s="9">
        <f>VLOOKUP(HLOOKUP("普",Sheet4!$A$1:$FE$75,S60+1,FALSE),Sheet4!$A$1:$FE$75,HLOOKUP($W$1,伤害计算器!$AV$28:$BM$30,3,FALSE)+2,FALSE)</f>
        <v>0</v>
      </c>
      <c r="X60" s="9">
        <f>VLOOKUP(HLOOKUP("普",Sheet4!$A$1:$FE$75,S60+1,FALSE),Sheet4!$A$1:$FE$75,HLOOKUP($W$1,伤害计算器!$AV$28:$BM$30,3,FALSE)+3,FALSE)</f>
        <v>0</v>
      </c>
      <c r="Y60" s="9">
        <f>VLOOKUP(HLOOKUP("普",Sheet4!$A$1:$FE$75,S60+1,FALSE),Sheet4!$A$1:$FE$75,HLOOKUP($W$1,伤害计算器!$AV$28:$BM$30,3,FALSE)+4,FALSE)</f>
        <v>0</v>
      </c>
      <c r="Z60" s="10">
        <f>VLOOKUP(HLOOKUP("普",Sheet4!$A$1:$FE$75,S60+1,FALSE),Sheet4!$A$1:$FE$75,HLOOKUP($W$1,伤害计算器!$AV$28:$BM$30,3,FALSE)+5,FALSE)</f>
        <v>0</v>
      </c>
      <c r="AA60" s="12">
        <f>VLOOKUP(HLOOKUP("普",Sheet4!$A$1:$FE$75,S60+1,FALSE),Sheet4!$A$1:$FE$75,HLOOKUP($W$1,伤害计算器!$AV$28:$BM$30,3,FALSE)+6,FALSE)</f>
        <v>0</v>
      </c>
      <c r="AB60" s="12"/>
      <c r="AC60" s="12"/>
      <c r="AD60" s="12"/>
      <c r="AE60" s="12"/>
      <c r="AF60" s="12"/>
      <c r="AG60" s="12"/>
      <c r="AH60">
        <f>VLOOKUP(HLOOKUP("普",Sheet4!$A$1:$FE$75,S60+1,FALSE),Sheet4!$A$1:$FF$75,HLOOKUP($W$1,伤害计算器!$AV$28:$BM$30,3,FALSE)+7,FALSE)</f>
        <v>0</v>
      </c>
    </row>
    <row r="61" spans="1:34">
      <c r="A61">
        <v>58</v>
      </c>
      <c r="B61" s="8" t="str">
        <f>IF(HLOOKUP(伤害计算器!$D$24,Sheet4!$A$1:$FE$75,A61+1,FALSE)=0," ",HLOOKUP(伤害计算器!$D$24,Sheet4!$A$1:$FE$75,A61+1,FALSE))</f>
        <v> </v>
      </c>
      <c r="C61" s="8">
        <f>VLOOKUP(HLOOKUP("普",Sheet4!$A$1:$FE$75,A61+1,FALSE),Sheet4!$A$1:$FE$75,HLOOKUP(伤害计算器!$D$24,伤害计算器!$AV$28:$BM$30,3,FALSE),FALSE)</f>
        <v>0</v>
      </c>
      <c r="D61" s="8">
        <f>VLOOKUP(HLOOKUP("普",Sheet4!$A$1:$FE$75,A61+1,FALSE),Sheet4!$A$1:$FE$75,HLOOKUP(伤害计算器!$D$24,伤害计算器!$AV$28:$BM$30,3,FALSE)+1,FALSE)</f>
        <v>0</v>
      </c>
      <c r="E61" s="8">
        <f>VLOOKUP(HLOOKUP("普",Sheet4!$A$1:$FE$75,A61+1,FALSE),Sheet4!$A$1:$FE$75,HLOOKUP(伤害计算器!$D$24,伤害计算器!$AV$28:$BM$30,3,FALSE)+2,FALSE)</f>
        <v>0</v>
      </c>
      <c r="F61" s="8">
        <f>VLOOKUP(HLOOKUP("普",Sheet4!$A$1:$FE$75,A61+1,FALSE),Sheet4!$A$1:$FE$75,HLOOKUP(伤害计算器!$D$24,伤害计算器!$AV$28:$BM$30,3,FALSE)+3,FALSE)</f>
        <v>0</v>
      </c>
      <c r="G61" s="8">
        <f>VLOOKUP(HLOOKUP("普",Sheet4!$A$1:$FE$75,A61+1,FALSE),Sheet4!$A$1:$FE$75,HLOOKUP(伤害计算器!$D$24,伤害计算器!$AV$28:$BM$30,3,FALSE)+4,FALSE)</f>
        <v>0</v>
      </c>
      <c r="H61" s="11">
        <f>VLOOKUP(HLOOKUP("普",Sheet4!$A$1:$FE$75,A61+1,FALSE),Sheet4!$A$1:$FE$75,HLOOKUP(伤害计算器!$D$24,伤害计算器!$AV$28:$BM$30,3,FALSE)+5,FALSE)</f>
        <v>0</v>
      </c>
      <c r="I61" s="12">
        <f>VLOOKUP(HLOOKUP("普",Sheet4!$A$1:$FE$75,A61+1,FALSE),Sheet4!$A$1:$FE$75,HLOOKUP(伤害计算器!$D$24,伤害计算器!$AV$28:$BM$30,3,FALSE)+6,FALSE)</f>
        <v>0</v>
      </c>
      <c r="J61" s="12"/>
      <c r="K61" s="12"/>
      <c r="L61" s="12"/>
      <c r="M61" s="12"/>
      <c r="N61" s="12"/>
      <c r="O61" s="12"/>
      <c r="P61">
        <f>VLOOKUP(HLOOKUP("普",Sheet4!$A$1:$FE$75,A61+1,FALSE),Sheet4!$A$1:$FF$75,HLOOKUP(伤害计算器!$D$24,伤害计算器!$AV$28:$BM$30,3,FALSE)+7,FALSE)</f>
        <v>0</v>
      </c>
      <c r="S61">
        <v>58</v>
      </c>
      <c r="T61" s="8" t="str">
        <f>IF(HLOOKUP($W$1,Sheet4!$A$1:$FE$75,S61+1,FALSE)=0," ",HLOOKUP($W$1,Sheet4!$A$1:$FE$75,S61+1,FALSE))</f>
        <v> </v>
      </c>
      <c r="U61" s="8">
        <f>VLOOKUP(HLOOKUP("普",Sheet4!$A$1:$FE$75,S61+1,FALSE),Sheet4!$A$1:$FE$75,HLOOKUP($W$1,伤害计算器!$AV$28:$BM$30,3,FALSE),FALSE)</f>
        <v>0</v>
      </c>
      <c r="V61" s="8">
        <f>VLOOKUP(HLOOKUP("普",Sheet4!$A$1:$FE$75,S61+1,FALSE),Sheet4!$A$1:$FE$75,HLOOKUP($W$1,伤害计算器!$AV$28:$BM$30,3,FALSE)+1,FALSE)</f>
        <v>0</v>
      </c>
      <c r="W61" s="9">
        <f>VLOOKUP(HLOOKUP("普",Sheet4!$A$1:$FE$75,S61+1,FALSE),Sheet4!$A$1:$FE$75,HLOOKUP($W$1,伤害计算器!$AV$28:$BM$30,3,FALSE)+2,FALSE)</f>
        <v>0</v>
      </c>
      <c r="X61" s="9">
        <f>VLOOKUP(HLOOKUP("普",Sheet4!$A$1:$FE$75,S61+1,FALSE),Sheet4!$A$1:$FE$75,HLOOKUP($W$1,伤害计算器!$AV$28:$BM$30,3,FALSE)+3,FALSE)</f>
        <v>0</v>
      </c>
      <c r="Y61" s="9">
        <f>VLOOKUP(HLOOKUP("普",Sheet4!$A$1:$FE$75,S61+1,FALSE),Sheet4!$A$1:$FE$75,HLOOKUP($W$1,伤害计算器!$AV$28:$BM$30,3,FALSE)+4,FALSE)</f>
        <v>0</v>
      </c>
      <c r="Z61" s="10">
        <f>VLOOKUP(HLOOKUP("普",Sheet4!$A$1:$FE$75,S61+1,FALSE),Sheet4!$A$1:$FE$75,HLOOKUP($W$1,伤害计算器!$AV$28:$BM$30,3,FALSE)+5,FALSE)</f>
        <v>0</v>
      </c>
      <c r="AA61" s="12">
        <f>VLOOKUP(HLOOKUP("普",Sheet4!$A$1:$FE$75,S61+1,FALSE),Sheet4!$A$1:$FE$75,HLOOKUP($W$1,伤害计算器!$AV$28:$BM$30,3,FALSE)+6,FALSE)</f>
        <v>0</v>
      </c>
      <c r="AB61" s="12"/>
      <c r="AC61" s="12"/>
      <c r="AD61" s="12"/>
      <c r="AE61" s="12"/>
      <c r="AF61" s="12"/>
      <c r="AG61" s="12"/>
      <c r="AH61">
        <f>VLOOKUP(HLOOKUP("普",Sheet4!$A$1:$FE$75,S61+1,FALSE),Sheet4!$A$1:$FF$75,HLOOKUP($W$1,伤害计算器!$AV$28:$BM$30,3,FALSE)+7,FALSE)</f>
        <v>0</v>
      </c>
    </row>
    <row r="62" spans="1:34">
      <c r="A62">
        <v>59</v>
      </c>
      <c r="B62" s="8" t="str">
        <f>IF(HLOOKUP(伤害计算器!$D$24,Sheet4!$A$1:$FE$75,A62+1,FALSE)=0," ",HLOOKUP(伤害计算器!$D$24,Sheet4!$A$1:$FE$75,A62+1,FALSE))</f>
        <v> </v>
      </c>
      <c r="C62" s="8">
        <f>VLOOKUP(HLOOKUP("普",Sheet4!$A$1:$FE$75,A62+1,FALSE),Sheet4!$A$1:$FE$75,HLOOKUP(伤害计算器!$D$24,伤害计算器!$AV$28:$BM$30,3,FALSE),FALSE)</f>
        <v>0</v>
      </c>
      <c r="D62" s="8">
        <f>VLOOKUP(HLOOKUP("普",Sheet4!$A$1:$FE$75,A62+1,FALSE),Sheet4!$A$1:$FE$75,HLOOKUP(伤害计算器!$D$24,伤害计算器!$AV$28:$BM$30,3,FALSE)+1,FALSE)</f>
        <v>0</v>
      </c>
      <c r="E62" s="8">
        <f>VLOOKUP(HLOOKUP("普",Sheet4!$A$1:$FE$75,A62+1,FALSE),Sheet4!$A$1:$FE$75,HLOOKUP(伤害计算器!$D$24,伤害计算器!$AV$28:$BM$30,3,FALSE)+2,FALSE)</f>
        <v>0</v>
      </c>
      <c r="F62" s="8">
        <f>VLOOKUP(HLOOKUP("普",Sheet4!$A$1:$FE$75,A62+1,FALSE),Sheet4!$A$1:$FE$75,HLOOKUP(伤害计算器!$D$24,伤害计算器!$AV$28:$BM$30,3,FALSE)+3,FALSE)</f>
        <v>0</v>
      </c>
      <c r="G62" s="8">
        <f>VLOOKUP(HLOOKUP("普",Sheet4!$A$1:$FE$75,A62+1,FALSE),Sheet4!$A$1:$FE$75,HLOOKUP(伤害计算器!$D$24,伤害计算器!$AV$28:$BM$30,3,FALSE)+4,FALSE)</f>
        <v>0</v>
      </c>
      <c r="H62" s="11">
        <f>VLOOKUP(HLOOKUP("普",Sheet4!$A$1:$FE$75,A62+1,FALSE),Sheet4!$A$1:$FE$75,HLOOKUP(伤害计算器!$D$24,伤害计算器!$AV$28:$BM$30,3,FALSE)+5,FALSE)</f>
        <v>0</v>
      </c>
      <c r="I62" s="12">
        <f>VLOOKUP(HLOOKUP("普",Sheet4!$A$1:$FE$75,A62+1,FALSE),Sheet4!$A$1:$FE$75,HLOOKUP(伤害计算器!$D$24,伤害计算器!$AV$28:$BM$30,3,FALSE)+6,FALSE)</f>
        <v>0</v>
      </c>
      <c r="J62" s="12"/>
      <c r="K62" s="12"/>
      <c r="L62" s="12"/>
      <c r="M62" s="12"/>
      <c r="N62" s="12"/>
      <c r="O62" s="12"/>
      <c r="P62">
        <f>VLOOKUP(HLOOKUP("普",Sheet4!$A$1:$FE$75,A62+1,FALSE),Sheet4!$A$1:$FF$75,HLOOKUP(伤害计算器!$D$24,伤害计算器!$AV$28:$BM$30,3,FALSE)+7,FALSE)</f>
        <v>0</v>
      </c>
      <c r="S62">
        <v>59</v>
      </c>
      <c r="T62" s="8" t="str">
        <f>IF(HLOOKUP($W$1,Sheet4!$A$1:$FE$75,S62+1,FALSE)=0," ",HLOOKUP($W$1,Sheet4!$A$1:$FE$75,S62+1,FALSE))</f>
        <v> </v>
      </c>
      <c r="U62" s="8">
        <f>VLOOKUP(HLOOKUP("普",Sheet4!$A$1:$FE$75,S62+1,FALSE),Sheet4!$A$1:$FE$75,HLOOKUP($W$1,伤害计算器!$AV$28:$BM$30,3,FALSE),FALSE)</f>
        <v>0</v>
      </c>
      <c r="V62" s="8">
        <f>VLOOKUP(HLOOKUP("普",Sheet4!$A$1:$FE$75,S62+1,FALSE),Sheet4!$A$1:$FE$75,HLOOKUP($W$1,伤害计算器!$AV$28:$BM$30,3,FALSE)+1,FALSE)</f>
        <v>0</v>
      </c>
      <c r="W62" s="9">
        <f>VLOOKUP(HLOOKUP("普",Sheet4!$A$1:$FE$75,S62+1,FALSE),Sheet4!$A$1:$FE$75,HLOOKUP($W$1,伤害计算器!$AV$28:$BM$30,3,FALSE)+2,FALSE)</f>
        <v>0</v>
      </c>
      <c r="X62" s="9">
        <f>VLOOKUP(HLOOKUP("普",Sheet4!$A$1:$FE$75,S62+1,FALSE),Sheet4!$A$1:$FE$75,HLOOKUP($W$1,伤害计算器!$AV$28:$BM$30,3,FALSE)+3,FALSE)</f>
        <v>0</v>
      </c>
      <c r="Y62" s="9">
        <f>VLOOKUP(HLOOKUP("普",Sheet4!$A$1:$FE$75,S62+1,FALSE),Sheet4!$A$1:$FE$75,HLOOKUP($W$1,伤害计算器!$AV$28:$BM$30,3,FALSE)+4,FALSE)</f>
        <v>0</v>
      </c>
      <c r="Z62" s="10">
        <f>VLOOKUP(HLOOKUP("普",Sheet4!$A$1:$FE$75,S62+1,FALSE),Sheet4!$A$1:$FE$75,HLOOKUP($W$1,伤害计算器!$AV$28:$BM$30,3,FALSE)+5,FALSE)</f>
        <v>0</v>
      </c>
      <c r="AA62" s="12">
        <f>VLOOKUP(HLOOKUP("普",Sheet4!$A$1:$FE$75,S62+1,FALSE),Sheet4!$A$1:$FE$75,HLOOKUP($W$1,伤害计算器!$AV$28:$BM$30,3,FALSE)+6,FALSE)</f>
        <v>0</v>
      </c>
      <c r="AB62" s="12"/>
      <c r="AC62" s="12"/>
      <c r="AD62" s="12"/>
      <c r="AE62" s="12"/>
      <c r="AF62" s="12"/>
      <c r="AG62" s="12"/>
      <c r="AH62">
        <f>VLOOKUP(HLOOKUP("普",Sheet4!$A$1:$FE$75,S62+1,FALSE),Sheet4!$A$1:$FF$75,HLOOKUP($W$1,伤害计算器!$AV$28:$BM$30,3,FALSE)+7,FALSE)</f>
        <v>0</v>
      </c>
    </row>
    <row r="63" spans="1:34">
      <c r="A63">
        <v>60</v>
      </c>
      <c r="B63" s="8" t="str">
        <f>IF(HLOOKUP(伤害计算器!$D$24,Sheet4!$A$1:$FE$75,A63+1,FALSE)=0," ",HLOOKUP(伤害计算器!$D$24,Sheet4!$A$1:$FE$75,A63+1,FALSE))</f>
        <v> </v>
      </c>
      <c r="C63" s="8">
        <f>VLOOKUP(HLOOKUP("普",Sheet4!$A$1:$FE$75,A63+1,FALSE),Sheet4!$A$1:$FE$75,HLOOKUP(伤害计算器!$D$24,伤害计算器!$AV$28:$BM$30,3,FALSE),FALSE)</f>
        <v>0</v>
      </c>
      <c r="D63" s="8">
        <f>VLOOKUP(HLOOKUP("普",Sheet4!$A$1:$FE$75,A63+1,FALSE),Sheet4!$A$1:$FE$75,HLOOKUP(伤害计算器!$D$24,伤害计算器!$AV$28:$BM$30,3,FALSE)+1,FALSE)</f>
        <v>0</v>
      </c>
      <c r="E63" s="8">
        <f>VLOOKUP(HLOOKUP("普",Sheet4!$A$1:$FE$75,A63+1,FALSE),Sheet4!$A$1:$FE$75,HLOOKUP(伤害计算器!$D$24,伤害计算器!$AV$28:$BM$30,3,FALSE)+2,FALSE)</f>
        <v>0</v>
      </c>
      <c r="F63" s="8">
        <f>VLOOKUP(HLOOKUP("普",Sheet4!$A$1:$FE$75,A63+1,FALSE),Sheet4!$A$1:$FE$75,HLOOKUP(伤害计算器!$D$24,伤害计算器!$AV$28:$BM$30,3,FALSE)+3,FALSE)</f>
        <v>0</v>
      </c>
      <c r="G63" s="8">
        <f>VLOOKUP(HLOOKUP("普",Sheet4!$A$1:$FE$75,A63+1,FALSE),Sheet4!$A$1:$FE$75,HLOOKUP(伤害计算器!$D$24,伤害计算器!$AV$28:$BM$30,3,FALSE)+4,FALSE)</f>
        <v>0</v>
      </c>
      <c r="H63" s="11">
        <f>VLOOKUP(HLOOKUP("普",Sheet4!$A$1:$FE$75,A63+1,FALSE),Sheet4!$A$1:$FE$75,HLOOKUP(伤害计算器!$D$24,伤害计算器!$AV$28:$BM$30,3,FALSE)+5,FALSE)</f>
        <v>0</v>
      </c>
      <c r="I63" s="12">
        <f>VLOOKUP(HLOOKUP("普",Sheet4!$A$1:$FE$75,A63+1,FALSE),Sheet4!$A$1:$FE$75,HLOOKUP(伤害计算器!$D$24,伤害计算器!$AV$28:$BM$30,3,FALSE)+6,FALSE)</f>
        <v>0</v>
      </c>
      <c r="J63" s="12"/>
      <c r="K63" s="12"/>
      <c r="L63" s="12"/>
      <c r="M63" s="12"/>
      <c r="N63" s="12"/>
      <c r="O63" s="12"/>
      <c r="P63">
        <f>VLOOKUP(HLOOKUP("普",Sheet4!$A$1:$FE$75,A63+1,FALSE),Sheet4!$A$1:$FF$75,HLOOKUP(伤害计算器!$D$24,伤害计算器!$AV$28:$BM$30,3,FALSE)+7,FALSE)</f>
        <v>0</v>
      </c>
      <c r="S63">
        <v>60</v>
      </c>
      <c r="T63" s="8" t="str">
        <f>IF(HLOOKUP($W$1,Sheet4!$A$1:$FE$75,S63+1,FALSE)=0," ",HLOOKUP($W$1,Sheet4!$A$1:$FE$75,S63+1,FALSE))</f>
        <v> </v>
      </c>
      <c r="U63" s="8">
        <f>VLOOKUP(HLOOKUP("普",Sheet4!$A$1:$FE$75,S63+1,FALSE),Sheet4!$A$1:$FE$75,HLOOKUP($W$1,伤害计算器!$AV$28:$BM$30,3,FALSE),FALSE)</f>
        <v>0</v>
      </c>
      <c r="V63" s="8">
        <f>VLOOKUP(HLOOKUP("普",Sheet4!$A$1:$FE$75,S63+1,FALSE),Sheet4!$A$1:$FE$75,HLOOKUP($W$1,伤害计算器!$AV$28:$BM$30,3,FALSE)+1,FALSE)</f>
        <v>0</v>
      </c>
      <c r="W63" s="9">
        <f>VLOOKUP(HLOOKUP("普",Sheet4!$A$1:$FE$75,S63+1,FALSE),Sheet4!$A$1:$FE$75,HLOOKUP($W$1,伤害计算器!$AV$28:$BM$30,3,FALSE)+2,FALSE)</f>
        <v>0</v>
      </c>
      <c r="X63" s="9">
        <f>VLOOKUP(HLOOKUP("普",Sheet4!$A$1:$FE$75,S63+1,FALSE),Sheet4!$A$1:$FE$75,HLOOKUP($W$1,伤害计算器!$AV$28:$BM$30,3,FALSE)+3,FALSE)</f>
        <v>0</v>
      </c>
      <c r="Y63" s="9">
        <f>VLOOKUP(HLOOKUP("普",Sheet4!$A$1:$FE$75,S63+1,FALSE),Sheet4!$A$1:$FE$75,HLOOKUP($W$1,伤害计算器!$AV$28:$BM$30,3,FALSE)+4,FALSE)</f>
        <v>0</v>
      </c>
      <c r="Z63" s="10">
        <f>VLOOKUP(HLOOKUP("普",Sheet4!$A$1:$FE$75,S63+1,FALSE),Sheet4!$A$1:$FE$75,HLOOKUP($W$1,伤害计算器!$AV$28:$BM$30,3,FALSE)+5,FALSE)</f>
        <v>0</v>
      </c>
      <c r="AA63" s="12">
        <f>VLOOKUP(HLOOKUP("普",Sheet4!$A$1:$FE$75,S63+1,FALSE),Sheet4!$A$1:$FE$75,HLOOKUP($W$1,伤害计算器!$AV$28:$BM$30,3,FALSE)+6,FALSE)</f>
        <v>0</v>
      </c>
      <c r="AB63" s="12"/>
      <c r="AC63" s="12"/>
      <c r="AD63" s="12"/>
      <c r="AE63" s="12"/>
      <c r="AF63" s="12"/>
      <c r="AG63" s="12"/>
      <c r="AH63">
        <f>VLOOKUP(HLOOKUP("普",Sheet4!$A$1:$FE$75,S63+1,FALSE),Sheet4!$A$1:$FF$75,HLOOKUP($W$1,伤害计算器!$AV$28:$BM$30,3,FALSE)+7,FALSE)</f>
        <v>0</v>
      </c>
    </row>
    <row r="64" spans="1:34">
      <c r="A64">
        <v>61</v>
      </c>
      <c r="B64" s="8" t="str">
        <f>IF(HLOOKUP(伤害计算器!$D$24,Sheet4!$A$1:$FE$75,A64+1,FALSE)=0," ",HLOOKUP(伤害计算器!$D$24,Sheet4!$A$1:$FE$75,A64+1,FALSE))</f>
        <v> </v>
      </c>
      <c r="C64" s="8">
        <f>VLOOKUP(HLOOKUP("普",Sheet4!$A$1:$FE$75,A64+1,FALSE),Sheet4!$A$1:$FE$75,HLOOKUP(伤害计算器!$D$24,伤害计算器!$AV$28:$BM$30,3,FALSE),FALSE)</f>
        <v>0</v>
      </c>
      <c r="D64" s="8">
        <f>VLOOKUP(HLOOKUP("普",Sheet4!$A$1:$FE$75,A64+1,FALSE),Sheet4!$A$1:$FE$75,HLOOKUP(伤害计算器!$D$24,伤害计算器!$AV$28:$BM$30,3,FALSE)+1,FALSE)</f>
        <v>0</v>
      </c>
      <c r="E64" s="8">
        <f>VLOOKUP(HLOOKUP("普",Sheet4!$A$1:$FE$75,A64+1,FALSE),Sheet4!$A$1:$FE$75,HLOOKUP(伤害计算器!$D$24,伤害计算器!$AV$28:$BM$30,3,FALSE)+2,FALSE)</f>
        <v>0</v>
      </c>
      <c r="F64" s="8">
        <f>VLOOKUP(HLOOKUP("普",Sheet4!$A$1:$FE$75,A64+1,FALSE),Sheet4!$A$1:$FE$75,HLOOKUP(伤害计算器!$D$24,伤害计算器!$AV$28:$BM$30,3,FALSE)+3,FALSE)</f>
        <v>0</v>
      </c>
      <c r="G64" s="8">
        <f>VLOOKUP(HLOOKUP("普",Sheet4!$A$1:$FE$75,A64+1,FALSE),Sheet4!$A$1:$FE$75,HLOOKUP(伤害计算器!$D$24,伤害计算器!$AV$28:$BM$30,3,FALSE)+4,FALSE)</f>
        <v>0</v>
      </c>
      <c r="H64" s="11">
        <f>VLOOKUP(HLOOKUP("普",Sheet4!$A$1:$FE$75,A64+1,FALSE),Sheet4!$A$1:$FE$75,HLOOKUP(伤害计算器!$D$24,伤害计算器!$AV$28:$BM$30,3,FALSE)+5,FALSE)</f>
        <v>0</v>
      </c>
      <c r="I64" s="12">
        <f>VLOOKUP(HLOOKUP("普",Sheet4!$A$1:$FE$75,A64+1,FALSE),Sheet4!$A$1:$FE$75,HLOOKUP(伤害计算器!$D$24,伤害计算器!$AV$28:$BM$30,3,FALSE)+6,FALSE)</f>
        <v>0</v>
      </c>
      <c r="J64" s="12"/>
      <c r="K64" s="12"/>
      <c r="L64" s="12"/>
      <c r="M64" s="12"/>
      <c r="N64" s="12"/>
      <c r="O64" s="12"/>
      <c r="P64">
        <f>VLOOKUP(HLOOKUP("普",Sheet4!$A$1:$FE$75,A64+1,FALSE),Sheet4!$A$1:$FF$75,HLOOKUP(伤害计算器!$D$24,伤害计算器!$AV$28:$BM$30,3,FALSE)+7,FALSE)</f>
        <v>0</v>
      </c>
      <c r="S64">
        <v>61</v>
      </c>
      <c r="T64" s="8" t="str">
        <f>IF(HLOOKUP($W$1,Sheet4!$A$1:$FE$75,S64+1,FALSE)=0," ",HLOOKUP($W$1,Sheet4!$A$1:$FE$75,S64+1,FALSE))</f>
        <v> </v>
      </c>
      <c r="U64" s="8">
        <f>VLOOKUP(HLOOKUP("普",Sheet4!$A$1:$FE$75,S64+1,FALSE),Sheet4!$A$1:$FE$75,HLOOKUP($W$1,伤害计算器!$AV$28:$BM$30,3,FALSE),FALSE)</f>
        <v>0</v>
      </c>
      <c r="V64" s="8">
        <f>VLOOKUP(HLOOKUP("普",Sheet4!$A$1:$FE$75,S64+1,FALSE),Sheet4!$A$1:$FE$75,HLOOKUP($W$1,伤害计算器!$AV$28:$BM$30,3,FALSE)+1,FALSE)</f>
        <v>0</v>
      </c>
      <c r="W64" s="9">
        <f>VLOOKUP(HLOOKUP("普",Sheet4!$A$1:$FE$75,S64+1,FALSE),Sheet4!$A$1:$FE$75,HLOOKUP($W$1,伤害计算器!$AV$28:$BM$30,3,FALSE)+2,FALSE)</f>
        <v>0</v>
      </c>
      <c r="X64" s="9">
        <f>VLOOKUP(HLOOKUP("普",Sheet4!$A$1:$FE$75,S64+1,FALSE),Sheet4!$A$1:$FE$75,HLOOKUP($W$1,伤害计算器!$AV$28:$BM$30,3,FALSE)+3,FALSE)</f>
        <v>0</v>
      </c>
      <c r="Y64" s="9">
        <f>VLOOKUP(HLOOKUP("普",Sheet4!$A$1:$FE$75,S64+1,FALSE),Sheet4!$A$1:$FE$75,HLOOKUP($W$1,伤害计算器!$AV$28:$BM$30,3,FALSE)+4,FALSE)</f>
        <v>0</v>
      </c>
      <c r="Z64" s="10">
        <f>VLOOKUP(HLOOKUP("普",Sheet4!$A$1:$FE$75,S64+1,FALSE),Sheet4!$A$1:$FE$75,HLOOKUP($W$1,伤害计算器!$AV$28:$BM$30,3,FALSE)+5,FALSE)</f>
        <v>0</v>
      </c>
      <c r="AA64" s="12">
        <f>VLOOKUP(HLOOKUP("普",Sheet4!$A$1:$FE$75,S64+1,FALSE),Sheet4!$A$1:$FE$75,HLOOKUP($W$1,伤害计算器!$AV$28:$BM$30,3,FALSE)+6,FALSE)</f>
        <v>0</v>
      </c>
      <c r="AB64" s="12"/>
      <c r="AC64" s="12"/>
      <c r="AD64" s="12"/>
      <c r="AE64" s="12"/>
      <c r="AF64" s="12"/>
      <c r="AG64" s="12"/>
      <c r="AH64">
        <f>VLOOKUP(HLOOKUP("普",Sheet4!$A$1:$FE$75,S64+1,FALSE),Sheet4!$A$1:$FF$75,HLOOKUP($W$1,伤害计算器!$AV$28:$BM$30,3,FALSE)+7,FALSE)</f>
        <v>0</v>
      </c>
    </row>
    <row r="65" spans="1:34">
      <c r="A65">
        <v>62</v>
      </c>
      <c r="B65" s="8" t="str">
        <f>IF(HLOOKUP(伤害计算器!$D$24,Sheet4!$A$1:$FE$75,A65+1,FALSE)=0," ",HLOOKUP(伤害计算器!$D$24,Sheet4!$A$1:$FE$75,A65+1,FALSE))</f>
        <v> </v>
      </c>
      <c r="C65" s="8">
        <f>VLOOKUP(HLOOKUP("普",Sheet4!$A$1:$FE$75,A65+1,FALSE),Sheet4!$A$1:$FE$75,HLOOKUP(伤害计算器!$D$24,伤害计算器!$AV$28:$BM$30,3,FALSE),FALSE)</f>
        <v>0</v>
      </c>
      <c r="D65" s="8">
        <f>VLOOKUP(HLOOKUP("普",Sheet4!$A$1:$FE$75,A65+1,FALSE),Sheet4!$A$1:$FE$75,HLOOKUP(伤害计算器!$D$24,伤害计算器!$AV$28:$BM$30,3,FALSE)+1,FALSE)</f>
        <v>0</v>
      </c>
      <c r="E65" s="8">
        <f>VLOOKUP(HLOOKUP("普",Sheet4!$A$1:$FE$75,A65+1,FALSE),Sheet4!$A$1:$FE$75,HLOOKUP(伤害计算器!$D$24,伤害计算器!$AV$28:$BM$30,3,FALSE)+2,FALSE)</f>
        <v>0</v>
      </c>
      <c r="F65" s="8">
        <f>VLOOKUP(HLOOKUP("普",Sheet4!$A$1:$FE$75,A65+1,FALSE),Sheet4!$A$1:$FE$75,HLOOKUP(伤害计算器!$D$24,伤害计算器!$AV$28:$BM$30,3,FALSE)+3,FALSE)</f>
        <v>0</v>
      </c>
      <c r="G65" s="8">
        <f>VLOOKUP(HLOOKUP("普",Sheet4!$A$1:$FE$75,A65+1,FALSE),Sheet4!$A$1:$FE$75,HLOOKUP(伤害计算器!$D$24,伤害计算器!$AV$28:$BM$30,3,FALSE)+4,FALSE)</f>
        <v>0</v>
      </c>
      <c r="H65" s="11">
        <f>VLOOKUP(HLOOKUP("普",Sheet4!$A$1:$FE$75,A65+1,FALSE),Sheet4!$A$1:$FE$75,HLOOKUP(伤害计算器!$D$24,伤害计算器!$AV$28:$BM$30,3,FALSE)+5,FALSE)</f>
        <v>0</v>
      </c>
      <c r="I65" s="12">
        <f>VLOOKUP(HLOOKUP("普",Sheet4!$A$1:$FE$75,A65+1,FALSE),Sheet4!$A$1:$FE$75,HLOOKUP(伤害计算器!$D$24,伤害计算器!$AV$28:$BM$30,3,FALSE)+6,FALSE)</f>
        <v>0</v>
      </c>
      <c r="J65" s="12"/>
      <c r="K65" s="12"/>
      <c r="L65" s="12"/>
      <c r="M65" s="12"/>
      <c r="N65" s="12"/>
      <c r="O65" s="12"/>
      <c r="P65">
        <f>VLOOKUP(HLOOKUP("普",Sheet4!$A$1:$FE$75,A65+1,FALSE),Sheet4!$A$1:$FF$75,HLOOKUP(伤害计算器!$D$24,伤害计算器!$AV$28:$BM$30,3,FALSE)+7,FALSE)</f>
        <v>0</v>
      </c>
      <c r="S65">
        <v>62</v>
      </c>
      <c r="T65" s="8" t="str">
        <f>IF(HLOOKUP($W$1,Sheet4!$A$1:$FE$75,S65+1,FALSE)=0," ",HLOOKUP($W$1,Sheet4!$A$1:$FE$75,S65+1,FALSE))</f>
        <v> </v>
      </c>
      <c r="U65" s="8">
        <f>VLOOKUP(HLOOKUP("普",Sheet4!$A$1:$FE$75,S65+1,FALSE),Sheet4!$A$1:$FE$75,HLOOKUP($W$1,伤害计算器!$AV$28:$BM$30,3,FALSE),FALSE)</f>
        <v>0</v>
      </c>
      <c r="V65" s="8">
        <f>VLOOKUP(HLOOKUP("普",Sheet4!$A$1:$FE$75,S65+1,FALSE),Sheet4!$A$1:$FE$75,HLOOKUP($W$1,伤害计算器!$AV$28:$BM$30,3,FALSE)+1,FALSE)</f>
        <v>0</v>
      </c>
      <c r="W65" s="9">
        <f>VLOOKUP(HLOOKUP("普",Sheet4!$A$1:$FE$75,S65+1,FALSE),Sheet4!$A$1:$FE$75,HLOOKUP($W$1,伤害计算器!$AV$28:$BM$30,3,FALSE)+2,FALSE)</f>
        <v>0</v>
      </c>
      <c r="X65" s="9">
        <f>VLOOKUP(HLOOKUP("普",Sheet4!$A$1:$FE$75,S65+1,FALSE),Sheet4!$A$1:$FE$75,HLOOKUP($W$1,伤害计算器!$AV$28:$BM$30,3,FALSE)+3,FALSE)</f>
        <v>0</v>
      </c>
      <c r="Y65" s="9">
        <f>VLOOKUP(HLOOKUP("普",Sheet4!$A$1:$FE$75,S65+1,FALSE),Sheet4!$A$1:$FE$75,HLOOKUP($W$1,伤害计算器!$AV$28:$BM$30,3,FALSE)+4,FALSE)</f>
        <v>0</v>
      </c>
      <c r="Z65" s="10">
        <f>VLOOKUP(HLOOKUP("普",Sheet4!$A$1:$FE$75,S65+1,FALSE),Sheet4!$A$1:$FE$75,HLOOKUP($W$1,伤害计算器!$AV$28:$BM$30,3,FALSE)+5,FALSE)</f>
        <v>0</v>
      </c>
      <c r="AA65" s="12">
        <f>VLOOKUP(HLOOKUP("普",Sheet4!$A$1:$FE$75,S65+1,FALSE),Sheet4!$A$1:$FE$75,HLOOKUP($W$1,伤害计算器!$AV$28:$BM$30,3,FALSE)+6,FALSE)</f>
        <v>0</v>
      </c>
      <c r="AB65" s="12"/>
      <c r="AC65" s="12"/>
      <c r="AD65" s="12"/>
      <c r="AE65" s="12"/>
      <c r="AF65" s="12"/>
      <c r="AG65" s="12"/>
      <c r="AH65">
        <f>VLOOKUP(HLOOKUP("普",Sheet4!$A$1:$FE$75,S65+1,FALSE),Sheet4!$A$1:$FF$75,HLOOKUP($W$1,伤害计算器!$AV$28:$BM$30,3,FALSE)+7,FALSE)</f>
        <v>0</v>
      </c>
    </row>
    <row r="66" spans="1:34">
      <c r="A66">
        <v>63</v>
      </c>
      <c r="B66" s="8" t="str">
        <f>IF(HLOOKUP(伤害计算器!$D$24,Sheet4!$A$1:$FE$75,A66+1,FALSE)=0," ",HLOOKUP(伤害计算器!$D$24,Sheet4!$A$1:$FE$75,A66+1,FALSE))</f>
        <v> </v>
      </c>
      <c r="C66" s="8">
        <f>VLOOKUP(HLOOKUP("普",Sheet4!$A$1:$FE$75,A66+1,FALSE),Sheet4!$A$1:$FE$75,HLOOKUP(伤害计算器!$D$24,伤害计算器!$AV$28:$BM$30,3,FALSE),FALSE)</f>
        <v>0</v>
      </c>
      <c r="D66" s="8">
        <f>VLOOKUP(HLOOKUP("普",Sheet4!$A$1:$FE$75,A66+1,FALSE),Sheet4!$A$1:$FE$75,HLOOKUP(伤害计算器!$D$24,伤害计算器!$AV$28:$BM$30,3,FALSE)+1,FALSE)</f>
        <v>0</v>
      </c>
      <c r="E66" s="8">
        <f>VLOOKUP(HLOOKUP("普",Sheet4!$A$1:$FE$75,A66+1,FALSE),Sheet4!$A$1:$FE$75,HLOOKUP(伤害计算器!$D$24,伤害计算器!$AV$28:$BM$30,3,FALSE)+2,FALSE)</f>
        <v>0</v>
      </c>
      <c r="F66" s="8">
        <f>VLOOKUP(HLOOKUP("普",Sheet4!$A$1:$FE$75,A66+1,FALSE),Sheet4!$A$1:$FE$75,HLOOKUP(伤害计算器!$D$24,伤害计算器!$AV$28:$BM$30,3,FALSE)+3,FALSE)</f>
        <v>0</v>
      </c>
      <c r="G66" s="8">
        <f>VLOOKUP(HLOOKUP("普",Sheet4!$A$1:$FE$75,A66+1,FALSE),Sheet4!$A$1:$FE$75,HLOOKUP(伤害计算器!$D$24,伤害计算器!$AV$28:$BM$30,3,FALSE)+4,FALSE)</f>
        <v>0</v>
      </c>
      <c r="H66" s="11">
        <f>VLOOKUP(HLOOKUP("普",Sheet4!$A$1:$FE$75,A66+1,FALSE),Sheet4!$A$1:$FE$75,HLOOKUP(伤害计算器!$D$24,伤害计算器!$AV$28:$BM$30,3,FALSE)+5,FALSE)</f>
        <v>0</v>
      </c>
      <c r="I66" s="12">
        <f>VLOOKUP(HLOOKUP("普",Sheet4!$A$1:$FE$75,A66+1,FALSE),Sheet4!$A$1:$FE$75,HLOOKUP(伤害计算器!$D$24,伤害计算器!$AV$28:$BM$30,3,FALSE)+6,FALSE)</f>
        <v>0</v>
      </c>
      <c r="J66" s="12"/>
      <c r="K66" s="12"/>
      <c r="L66" s="12"/>
      <c r="M66" s="12"/>
      <c r="N66" s="12"/>
      <c r="O66" s="12"/>
      <c r="P66">
        <f>VLOOKUP(HLOOKUP("普",Sheet4!$A$1:$FE$75,A66+1,FALSE),Sheet4!$A$1:$FF$75,HLOOKUP(伤害计算器!$D$24,伤害计算器!$AV$28:$BM$30,3,FALSE)+7,FALSE)</f>
        <v>0</v>
      </c>
      <c r="S66">
        <v>63</v>
      </c>
      <c r="T66" s="8" t="str">
        <f>IF(HLOOKUP($W$1,Sheet4!$A$1:$FE$75,S66+1,FALSE)=0," ",HLOOKUP($W$1,Sheet4!$A$1:$FE$75,S66+1,FALSE))</f>
        <v> </v>
      </c>
      <c r="U66" s="8">
        <f>VLOOKUP(HLOOKUP("普",Sheet4!$A$1:$FE$75,S66+1,FALSE),Sheet4!$A$1:$FE$75,HLOOKUP($W$1,伤害计算器!$AV$28:$BM$30,3,FALSE),FALSE)</f>
        <v>0</v>
      </c>
      <c r="V66" s="8">
        <f>VLOOKUP(HLOOKUP("普",Sheet4!$A$1:$FE$75,S66+1,FALSE),Sheet4!$A$1:$FE$75,HLOOKUP($W$1,伤害计算器!$AV$28:$BM$30,3,FALSE)+1,FALSE)</f>
        <v>0</v>
      </c>
      <c r="W66" s="9">
        <f>VLOOKUP(HLOOKUP("普",Sheet4!$A$1:$FE$75,S66+1,FALSE),Sheet4!$A$1:$FE$75,HLOOKUP($W$1,伤害计算器!$AV$28:$BM$30,3,FALSE)+2,FALSE)</f>
        <v>0</v>
      </c>
      <c r="X66" s="9">
        <f>VLOOKUP(HLOOKUP("普",Sheet4!$A$1:$FE$75,S66+1,FALSE),Sheet4!$A$1:$FE$75,HLOOKUP($W$1,伤害计算器!$AV$28:$BM$30,3,FALSE)+3,FALSE)</f>
        <v>0</v>
      </c>
      <c r="Y66" s="9">
        <f>VLOOKUP(HLOOKUP("普",Sheet4!$A$1:$FE$75,S66+1,FALSE),Sheet4!$A$1:$FE$75,HLOOKUP($W$1,伤害计算器!$AV$28:$BM$30,3,FALSE)+4,FALSE)</f>
        <v>0</v>
      </c>
      <c r="Z66" s="10">
        <f>VLOOKUP(HLOOKUP("普",Sheet4!$A$1:$FE$75,S66+1,FALSE),Sheet4!$A$1:$FE$75,HLOOKUP($W$1,伤害计算器!$AV$28:$BM$30,3,FALSE)+5,FALSE)</f>
        <v>0</v>
      </c>
      <c r="AA66" s="12">
        <f>VLOOKUP(HLOOKUP("普",Sheet4!$A$1:$FE$75,S66+1,FALSE),Sheet4!$A$1:$FE$75,HLOOKUP($W$1,伤害计算器!$AV$28:$BM$30,3,FALSE)+6,FALSE)</f>
        <v>0</v>
      </c>
      <c r="AB66" s="12"/>
      <c r="AC66" s="12"/>
      <c r="AD66" s="12"/>
      <c r="AE66" s="12"/>
      <c r="AF66" s="12"/>
      <c r="AG66" s="12"/>
      <c r="AH66">
        <f>VLOOKUP(HLOOKUP("普",Sheet4!$A$1:$FE$75,S66+1,FALSE),Sheet4!$A$1:$FF$75,HLOOKUP($W$1,伤害计算器!$AV$28:$BM$30,3,FALSE)+7,FALSE)</f>
        <v>0</v>
      </c>
    </row>
    <row r="67" spans="1:34">
      <c r="A67">
        <v>64</v>
      </c>
      <c r="B67" s="8" t="str">
        <f>IF(HLOOKUP(伤害计算器!$D$24,Sheet4!$A$1:$FE$75,A67+1,FALSE)=0," ",HLOOKUP(伤害计算器!$D$24,Sheet4!$A$1:$FE$75,A67+1,FALSE))</f>
        <v> </v>
      </c>
      <c r="C67" s="8">
        <f>VLOOKUP(HLOOKUP("普",Sheet4!$A$1:$FE$75,A67+1,FALSE),Sheet4!$A$1:$FE$75,HLOOKUP(伤害计算器!$D$24,伤害计算器!$AV$28:$BM$30,3,FALSE),FALSE)</f>
        <v>0</v>
      </c>
      <c r="D67" s="8">
        <f>VLOOKUP(HLOOKUP("普",Sheet4!$A$1:$FE$75,A67+1,FALSE),Sheet4!$A$1:$FE$75,HLOOKUP(伤害计算器!$D$24,伤害计算器!$AV$28:$BM$30,3,FALSE)+1,FALSE)</f>
        <v>0</v>
      </c>
      <c r="E67" s="8">
        <f>VLOOKUP(HLOOKUP("普",Sheet4!$A$1:$FE$75,A67+1,FALSE),Sheet4!$A$1:$FE$75,HLOOKUP(伤害计算器!$D$24,伤害计算器!$AV$28:$BM$30,3,FALSE)+2,FALSE)</f>
        <v>0</v>
      </c>
      <c r="F67" s="8">
        <f>VLOOKUP(HLOOKUP("普",Sheet4!$A$1:$FE$75,A67+1,FALSE),Sheet4!$A$1:$FE$75,HLOOKUP(伤害计算器!$D$24,伤害计算器!$AV$28:$BM$30,3,FALSE)+3,FALSE)</f>
        <v>0</v>
      </c>
      <c r="G67" s="8">
        <f>VLOOKUP(HLOOKUP("普",Sheet4!$A$1:$FE$75,A67+1,FALSE),Sheet4!$A$1:$FE$75,HLOOKUP(伤害计算器!$D$24,伤害计算器!$AV$28:$BM$30,3,FALSE)+4,FALSE)</f>
        <v>0</v>
      </c>
      <c r="H67" s="11">
        <f>VLOOKUP(HLOOKUP("普",Sheet4!$A$1:$FE$75,A67+1,FALSE),Sheet4!$A$1:$FE$75,HLOOKUP(伤害计算器!$D$24,伤害计算器!$AV$28:$BM$30,3,FALSE)+5,FALSE)</f>
        <v>0</v>
      </c>
      <c r="I67" s="12">
        <f>VLOOKUP(HLOOKUP("普",Sheet4!$A$1:$FE$75,A67+1,FALSE),Sheet4!$A$1:$FE$75,HLOOKUP(伤害计算器!$D$24,伤害计算器!$AV$28:$BM$30,3,FALSE)+6,FALSE)</f>
        <v>0</v>
      </c>
      <c r="J67" s="12"/>
      <c r="K67" s="12"/>
      <c r="L67" s="12"/>
      <c r="M67" s="12"/>
      <c r="N67" s="12"/>
      <c r="O67" s="12"/>
      <c r="P67">
        <f>VLOOKUP(HLOOKUP("普",Sheet4!$A$1:$FE$75,A67+1,FALSE),Sheet4!$A$1:$FF$75,HLOOKUP(伤害计算器!$D$24,伤害计算器!$AV$28:$BM$30,3,FALSE)+7,FALSE)</f>
        <v>0</v>
      </c>
      <c r="S67">
        <v>64</v>
      </c>
      <c r="T67" s="8" t="str">
        <f>IF(HLOOKUP($W$1,Sheet4!$A$1:$FE$75,S67+1,FALSE)=0," ",HLOOKUP($W$1,Sheet4!$A$1:$FE$75,S67+1,FALSE))</f>
        <v> </v>
      </c>
      <c r="U67" s="8">
        <f>VLOOKUP(HLOOKUP("普",Sheet4!$A$1:$FE$75,S67+1,FALSE),Sheet4!$A$1:$FE$75,HLOOKUP($W$1,伤害计算器!$AV$28:$BM$30,3,FALSE),FALSE)</f>
        <v>0</v>
      </c>
      <c r="V67" s="8">
        <f>VLOOKUP(HLOOKUP("普",Sheet4!$A$1:$FE$75,S67+1,FALSE),Sheet4!$A$1:$FE$75,HLOOKUP($W$1,伤害计算器!$AV$28:$BM$30,3,FALSE)+1,FALSE)</f>
        <v>0</v>
      </c>
      <c r="W67" s="9">
        <f>VLOOKUP(HLOOKUP("普",Sheet4!$A$1:$FE$75,S67+1,FALSE),Sheet4!$A$1:$FE$75,HLOOKUP($W$1,伤害计算器!$AV$28:$BM$30,3,FALSE)+2,FALSE)</f>
        <v>0</v>
      </c>
      <c r="X67" s="9">
        <f>VLOOKUP(HLOOKUP("普",Sheet4!$A$1:$FE$75,S67+1,FALSE),Sheet4!$A$1:$FE$75,HLOOKUP($W$1,伤害计算器!$AV$28:$BM$30,3,FALSE)+3,FALSE)</f>
        <v>0</v>
      </c>
      <c r="Y67" s="9">
        <f>VLOOKUP(HLOOKUP("普",Sheet4!$A$1:$FE$75,S67+1,FALSE),Sheet4!$A$1:$FE$75,HLOOKUP($W$1,伤害计算器!$AV$28:$BM$30,3,FALSE)+4,FALSE)</f>
        <v>0</v>
      </c>
      <c r="Z67" s="10">
        <f>VLOOKUP(HLOOKUP("普",Sheet4!$A$1:$FE$75,S67+1,FALSE),Sheet4!$A$1:$FE$75,HLOOKUP($W$1,伤害计算器!$AV$28:$BM$30,3,FALSE)+5,FALSE)</f>
        <v>0</v>
      </c>
      <c r="AA67" s="12">
        <f>VLOOKUP(HLOOKUP("普",Sheet4!$A$1:$FE$75,S67+1,FALSE),Sheet4!$A$1:$FE$75,HLOOKUP($W$1,伤害计算器!$AV$28:$BM$30,3,FALSE)+6,FALSE)</f>
        <v>0</v>
      </c>
      <c r="AB67" s="12"/>
      <c r="AC67" s="12"/>
      <c r="AD67" s="12"/>
      <c r="AE67" s="12"/>
      <c r="AF67" s="12"/>
      <c r="AG67" s="12"/>
      <c r="AH67">
        <f>VLOOKUP(HLOOKUP("普",Sheet4!$A$1:$FE$75,S67+1,FALSE),Sheet4!$A$1:$FF$75,HLOOKUP($W$1,伤害计算器!$AV$28:$BM$30,3,FALSE)+7,FALSE)</f>
        <v>0</v>
      </c>
    </row>
    <row r="68" spans="1:34">
      <c r="A68">
        <v>65</v>
      </c>
      <c r="B68" s="8" t="str">
        <f>IF(HLOOKUP(伤害计算器!$D$24,Sheet4!$A$1:$FE$75,A68+1,FALSE)=0," ",HLOOKUP(伤害计算器!$D$24,Sheet4!$A$1:$FE$75,A68+1,FALSE))</f>
        <v> </v>
      </c>
      <c r="C68" s="8">
        <f>VLOOKUP(HLOOKUP("普",Sheet4!$A$1:$FE$75,A68+1,FALSE),Sheet4!$A$1:$FE$75,HLOOKUP(伤害计算器!$D$24,伤害计算器!$AV$28:$BM$30,3,FALSE),FALSE)</f>
        <v>0</v>
      </c>
      <c r="D68" s="8">
        <f>VLOOKUP(HLOOKUP("普",Sheet4!$A$1:$FE$75,A68+1,FALSE),Sheet4!$A$1:$FE$75,HLOOKUP(伤害计算器!$D$24,伤害计算器!$AV$28:$BM$30,3,FALSE)+1,FALSE)</f>
        <v>0</v>
      </c>
      <c r="E68" s="8">
        <f>VLOOKUP(HLOOKUP("普",Sheet4!$A$1:$FE$75,A68+1,FALSE),Sheet4!$A$1:$FE$75,HLOOKUP(伤害计算器!$D$24,伤害计算器!$AV$28:$BM$30,3,FALSE)+2,FALSE)</f>
        <v>0</v>
      </c>
      <c r="F68" s="8">
        <f>VLOOKUP(HLOOKUP("普",Sheet4!$A$1:$FE$75,A68+1,FALSE),Sheet4!$A$1:$FE$75,HLOOKUP(伤害计算器!$D$24,伤害计算器!$AV$28:$BM$30,3,FALSE)+3,FALSE)</f>
        <v>0</v>
      </c>
      <c r="G68" s="8">
        <f>VLOOKUP(HLOOKUP("普",Sheet4!$A$1:$FE$75,A68+1,FALSE),Sheet4!$A$1:$FE$75,HLOOKUP(伤害计算器!$D$24,伤害计算器!$AV$28:$BM$30,3,FALSE)+4,FALSE)</f>
        <v>0</v>
      </c>
      <c r="H68" s="11">
        <f>VLOOKUP(HLOOKUP("普",Sheet4!$A$1:$FE$75,A68+1,FALSE),Sheet4!$A$1:$FE$75,HLOOKUP(伤害计算器!$D$24,伤害计算器!$AV$28:$BM$30,3,FALSE)+5,FALSE)</f>
        <v>0</v>
      </c>
      <c r="I68" s="12">
        <f>VLOOKUP(HLOOKUP("普",Sheet4!$A$1:$FE$75,A68+1,FALSE),Sheet4!$A$1:$FE$75,HLOOKUP(伤害计算器!$D$24,伤害计算器!$AV$28:$BM$30,3,FALSE)+6,FALSE)</f>
        <v>0</v>
      </c>
      <c r="J68" s="12"/>
      <c r="K68" s="12"/>
      <c r="L68" s="12"/>
      <c r="M68" s="12"/>
      <c r="N68" s="12"/>
      <c r="O68" s="12"/>
      <c r="P68">
        <f>VLOOKUP(HLOOKUP("普",Sheet4!$A$1:$FE$75,A68+1,FALSE),Sheet4!$A$1:$FF$75,HLOOKUP(伤害计算器!$D$24,伤害计算器!$AV$28:$BM$30,3,FALSE)+7,FALSE)</f>
        <v>0</v>
      </c>
      <c r="S68">
        <v>65</v>
      </c>
      <c r="T68" s="8" t="str">
        <f>IF(HLOOKUP($W$1,Sheet4!$A$1:$FE$75,S68+1,FALSE)=0," ",HLOOKUP($W$1,Sheet4!$A$1:$FE$75,S68+1,FALSE))</f>
        <v> </v>
      </c>
      <c r="U68" s="8">
        <f>VLOOKUP(HLOOKUP("普",Sheet4!$A$1:$FE$75,S68+1,FALSE),Sheet4!$A$1:$FE$75,HLOOKUP($W$1,伤害计算器!$AV$28:$BM$30,3,FALSE),FALSE)</f>
        <v>0</v>
      </c>
      <c r="V68" s="8">
        <f>VLOOKUP(HLOOKUP("普",Sheet4!$A$1:$FE$75,S68+1,FALSE),Sheet4!$A$1:$FE$75,HLOOKUP($W$1,伤害计算器!$AV$28:$BM$30,3,FALSE)+1,FALSE)</f>
        <v>0</v>
      </c>
      <c r="W68" s="9">
        <f>VLOOKUP(HLOOKUP("普",Sheet4!$A$1:$FE$75,S68+1,FALSE),Sheet4!$A$1:$FE$75,HLOOKUP($W$1,伤害计算器!$AV$28:$BM$30,3,FALSE)+2,FALSE)</f>
        <v>0</v>
      </c>
      <c r="X68" s="9">
        <f>VLOOKUP(HLOOKUP("普",Sheet4!$A$1:$FE$75,S68+1,FALSE),Sheet4!$A$1:$FE$75,HLOOKUP($W$1,伤害计算器!$AV$28:$BM$30,3,FALSE)+3,FALSE)</f>
        <v>0</v>
      </c>
      <c r="Y68" s="9">
        <f>VLOOKUP(HLOOKUP("普",Sheet4!$A$1:$FE$75,S68+1,FALSE),Sheet4!$A$1:$FE$75,HLOOKUP($W$1,伤害计算器!$AV$28:$BM$30,3,FALSE)+4,FALSE)</f>
        <v>0</v>
      </c>
      <c r="Z68" s="10">
        <f>VLOOKUP(HLOOKUP("普",Sheet4!$A$1:$FE$75,S68+1,FALSE),Sheet4!$A$1:$FE$75,HLOOKUP($W$1,伤害计算器!$AV$28:$BM$30,3,FALSE)+5,FALSE)</f>
        <v>0</v>
      </c>
      <c r="AA68" s="12">
        <f>VLOOKUP(HLOOKUP("普",Sheet4!$A$1:$FE$75,S68+1,FALSE),Sheet4!$A$1:$FE$75,HLOOKUP($W$1,伤害计算器!$AV$28:$BM$30,3,FALSE)+6,FALSE)</f>
        <v>0</v>
      </c>
      <c r="AB68" s="12"/>
      <c r="AC68" s="12"/>
      <c r="AD68" s="12"/>
      <c r="AE68" s="12"/>
      <c r="AF68" s="12"/>
      <c r="AG68" s="12"/>
      <c r="AH68">
        <f>VLOOKUP(HLOOKUP("普",Sheet4!$A$1:$FE$75,S68+1,FALSE),Sheet4!$A$1:$FF$75,HLOOKUP($W$1,伤害计算器!$AV$28:$BM$30,3,FALSE)+7,FALSE)</f>
        <v>0</v>
      </c>
    </row>
    <row r="69" spans="1:34">
      <c r="A69">
        <v>66</v>
      </c>
      <c r="B69" s="8" t="str">
        <f>IF(HLOOKUP(伤害计算器!$D$24,Sheet4!$A$1:$FE$75,A69+1,FALSE)=0," ",HLOOKUP(伤害计算器!$D$24,Sheet4!$A$1:$FE$75,A69+1,FALSE))</f>
        <v> </v>
      </c>
      <c r="C69" s="8">
        <f>VLOOKUP(HLOOKUP("普",Sheet4!$A$1:$FE$75,A69+1,FALSE),Sheet4!$A$1:$FE$75,HLOOKUP(伤害计算器!$D$24,伤害计算器!$AV$28:$BM$30,3,FALSE),FALSE)</f>
        <v>0</v>
      </c>
      <c r="D69" s="8">
        <f>VLOOKUP(HLOOKUP("普",Sheet4!$A$1:$FE$75,A69+1,FALSE),Sheet4!$A$1:$FE$75,HLOOKUP(伤害计算器!$D$24,伤害计算器!$AV$28:$BM$30,3,FALSE)+1,FALSE)</f>
        <v>0</v>
      </c>
      <c r="E69" s="8">
        <f>VLOOKUP(HLOOKUP("普",Sheet4!$A$1:$FE$75,A69+1,FALSE),Sheet4!$A$1:$FE$75,HLOOKUP(伤害计算器!$D$24,伤害计算器!$AV$28:$BM$30,3,FALSE)+2,FALSE)</f>
        <v>0</v>
      </c>
      <c r="F69" s="8">
        <f>VLOOKUP(HLOOKUP("普",Sheet4!$A$1:$FE$75,A69+1,FALSE),Sheet4!$A$1:$FE$75,HLOOKUP(伤害计算器!$D$24,伤害计算器!$AV$28:$BM$30,3,FALSE)+3,FALSE)</f>
        <v>0</v>
      </c>
      <c r="G69" s="8">
        <f>VLOOKUP(HLOOKUP("普",Sheet4!$A$1:$FE$75,A69+1,FALSE),Sheet4!$A$1:$FE$75,HLOOKUP(伤害计算器!$D$24,伤害计算器!$AV$28:$BM$30,3,FALSE)+4,FALSE)</f>
        <v>0</v>
      </c>
      <c r="H69" s="11">
        <f>VLOOKUP(HLOOKUP("普",Sheet4!$A$1:$FE$75,A69+1,FALSE),Sheet4!$A$1:$FE$75,HLOOKUP(伤害计算器!$D$24,伤害计算器!$AV$28:$BM$30,3,FALSE)+5,FALSE)</f>
        <v>0</v>
      </c>
      <c r="I69" s="12">
        <f>VLOOKUP(HLOOKUP("普",Sheet4!$A$1:$FE$75,A69+1,FALSE),Sheet4!$A$1:$FE$75,HLOOKUP(伤害计算器!$D$24,伤害计算器!$AV$28:$BM$30,3,FALSE)+6,FALSE)</f>
        <v>0</v>
      </c>
      <c r="J69" s="12"/>
      <c r="K69" s="12"/>
      <c r="L69" s="12"/>
      <c r="M69" s="12"/>
      <c r="N69" s="12"/>
      <c r="O69" s="12"/>
      <c r="P69">
        <f>VLOOKUP(HLOOKUP("普",Sheet4!$A$1:$FE$75,A69+1,FALSE),Sheet4!$A$1:$FF$75,HLOOKUP(伤害计算器!$D$24,伤害计算器!$AV$28:$BM$30,3,FALSE)+7,FALSE)</f>
        <v>0</v>
      </c>
      <c r="S69">
        <v>66</v>
      </c>
      <c r="T69" s="8" t="str">
        <f>IF(HLOOKUP($W$1,Sheet4!$A$1:$FE$75,S69+1,FALSE)=0," ",HLOOKUP($W$1,Sheet4!$A$1:$FE$75,S69+1,FALSE))</f>
        <v> </v>
      </c>
      <c r="U69" s="8">
        <f>VLOOKUP(HLOOKUP("普",Sheet4!$A$1:$FE$75,S69+1,FALSE),Sheet4!$A$1:$FE$75,HLOOKUP($W$1,伤害计算器!$AV$28:$BM$30,3,FALSE),FALSE)</f>
        <v>0</v>
      </c>
      <c r="V69" s="8">
        <f>VLOOKUP(HLOOKUP("普",Sheet4!$A$1:$FE$75,S69+1,FALSE),Sheet4!$A$1:$FE$75,HLOOKUP($W$1,伤害计算器!$AV$28:$BM$30,3,FALSE)+1,FALSE)</f>
        <v>0</v>
      </c>
      <c r="W69" s="9">
        <f>VLOOKUP(HLOOKUP("普",Sheet4!$A$1:$FE$75,S69+1,FALSE),Sheet4!$A$1:$FE$75,HLOOKUP($W$1,伤害计算器!$AV$28:$BM$30,3,FALSE)+2,FALSE)</f>
        <v>0</v>
      </c>
      <c r="X69" s="9">
        <f>VLOOKUP(HLOOKUP("普",Sheet4!$A$1:$FE$75,S69+1,FALSE),Sheet4!$A$1:$FE$75,HLOOKUP($W$1,伤害计算器!$AV$28:$BM$30,3,FALSE)+3,FALSE)</f>
        <v>0</v>
      </c>
      <c r="Y69" s="9">
        <f>VLOOKUP(HLOOKUP("普",Sheet4!$A$1:$FE$75,S69+1,FALSE),Sheet4!$A$1:$FE$75,HLOOKUP($W$1,伤害计算器!$AV$28:$BM$30,3,FALSE)+4,FALSE)</f>
        <v>0</v>
      </c>
      <c r="Z69" s="10">
        <f>VLOOKUP(HLOOKUP("普",Sheet4!$A$1:$FE$75,S69+1,FALSE),Sheet4!$A$1:$FE$75,HLOOKUP($W$1,伤害计算器!$AV$28:$BM$30,3,FALSE)+5,FALSE)</f>
        <v>0</v>
      </c>
      <c r="AA69" s="12">
        <f>VLOOKUP(HLOOKUP("普",Sheet4!$A$1:$FE$75,S69+1,FALSE),Sheet4!$A$1:$FE$75,HLOOKUP($W$1,伤害计算器!$AV$28:$BM$30,3,FALSE)+6,FALSE)</f>
        <v>0</v>
      </c>
      <c r="AB69" s="12"/>
      <c r="AC69" s="12"/>
      <c r="AD69" s="12"/>
      <c r="AE69" s="12"/>
      <c r="AF69" s="12"/>
      <c r="AG69" s="12"/>
      <c r="AH69">
        <f>VLOOKUP(HLOOKUP("普",Sheet4!$A$1:$FE$75,S69+1,FALSE),Sheet4!$A$1:$FF$75,HLOOKUP($W$1,伤害计算器!$AV$28:$BM$30,3,FALSE)+7,FALSE)</f>
        <v>0</v>
      </c>
    </row>
    <row r="70" spans="1:34">
      <c r="A70">
        <v>67</v>
      </c>
      <c r="B70" s="8" t="str">
        <f>IF(HLOOKUP(伤害计算器!$D$24,Sheet4!$A$1:$FE$75,A70+1,FALSE)=0," ",HLOOKUP(伤害计算器!$D$24,Sheet4!$A$1:$FE$75,A70+1,FALSE))</f>
        <v> </v>
      </c>
      <c r="C70" s="8">
        <f>VLOOKUP(HLOOKUP("普",Sheet4!$A$1:$FE$75,A70+1,FALSE),Sheet4!$A$1:$FE$75,HLOOKUP(伤害计算器!$D$24,伤害计算器!$AV$28:$BM$30,3,FALSE),FALSE)</f>
        <v>0</v>
      </c>
      <c r="D70" s="8">
        <f>VLOOKUP(HLOOKUP("普",Sheet4!$A$1:$FE$75,A70+1,FALSE),Sheet4!$A$1:$FE$75,HLOOKUP(伤害计算器!$D$24,伤害计算器!$AV$28:$BM$30,3,FALSE)+1,FALSE)</f>
        <v>0</v>
      </c>
      <c r="E70" s="8">
        <f>VLOOKUP(HLOOKUP("普",Sheet4!$A$1:$FE$75,A70+1,FALSE),Sheet4!$A$1:$FE$75,HLOOKUP(伤害计算器!$D$24,伤害计算器!$AV$28:$BM$30,3,FALSE)+2,FALSE)</f>
        <v>0</v>
      </c>
      <c r="F70" s="8">
        <f>VLOOKUP(HLOOKUP("普",Sheet4!$A$1:$FE$75,A70+1,FALSE),Sheet4!$A$1:$FE$75,HLOOKUP(伤害计算器!$D$24,伤害计算器!$AV$28:$BM$30,3,FALSE)+3,FALSE)</f>
        <v>0</v>
      </c>
      <c r="G70" s="8">
        <f>VLOOKUP(HLOOKUP("普",Sheet4!$A$1:$FE$75,A70+1,FALSE),Sheet4!$A$1:$FE$75,HLOOKUP(伤害计算器!$D$24,伤害计算器!$AV$28:$BM$30,3,FALSE)+4,FALSE)</f>
        <v>0</v>
      </c>
      <c r="H70" s="11">
        <f>VLOOKUP(HLOOKUP("普",Sheet4!$A$1:$FE$75,A70+1,FALSE),Sheet4!$A$1:$FE$75,HLOOKUP(伤害计算器!$D$24,伤害计算器!$AV$28:$BM$30,3,FALSE)+5,FALSE)</f>
        <v>0</v>
      </c>
      <c r="I70" s="12">
        <f>VLOOKUP(HLOOKUP("普",Sheet4!$A$1:$FE$75,A70+1,FALSE),Sheet4!$A$1:$FE$75,HLOOKUP(伤害计算器!$D$24,伤害计算器!$AV$28:$BM$30,3,FALSE)+6,FALSE)</f>
        <v>0</v>
      </c>
      <c r="J70" s="12"/>
      <c r="K70" s="12"/>
      <c r="L70" s="12"/>
      <c r="M70" s="12"/>
      <c r="N70" s="12"/>
      <c r="O70" s="12"/>
      <c r="P70">
        <f>VLOOKUP(HLOOKUP("普",Sheet4!$A$1:$FE$75,A70+1,FALSE),Sheet4!$A$1:$FF$75,HLOOKUP(伤害计算器!$D$24,伤害计算器!$AV$28:$BM$30,3,FALSE)+7,FALSE)</f>
        <v>0</v>
      </c>
      <c r="S70">
        <v>67</v>
      </c>
      <c r="T70" s="8" t="str">
        <f>IF(HLOOKUP($W$1,Sheet4!$A$1:$FE$75,S70+1,FALSE)=0," ",HLOOKUP($W$1,Sheet4!$A$1:$FE$75,S70+1,FALSE))</f>
        <v> </v>
      </c>
      <c r="U70" s="8">
        <f>VLOOKUP(HLOOKUP("普",Sheet4!$A$1:$FE$75,S70+1,FALSE),Sheet4!$A$1:$FE$75,HLOOKUP($W$1,伤害计算器!$AV$28:$BM$30,3,FALSE),FALSE)</f>
        <v>0</v>
      </c>
      <c r="V70" s="8">
        <f>VLOOKUP(HLOOKUP("普",Sheet4!$A$1:$FE$75,S70+1,FALSE),Sheet4!$A$1:$FE$75,HLOOKUP($W$1,伤害计算器!$AV$28:$BM$30,3,FALSE)+1,FALSE)</f>
        <v>0</v>
      </c>
      <c r="W70" s="9">
        <f>VLOOKUP(HLOOKUP("普",Sheet4!$A$1:$FE$75,S70+1,FALSE),Sheet4!$A$1:$FE$75,HLOOKUP($W$1,伤害计算器!$AV$28:$BM$30,3,FALSE)+2,FALSE)</f>
        <v>0</v>
      </c>
      <c r="X70" s="9">
        <f>VLOOKUP(HLOOKUP("普",Sheet4!$A$1:$FE$75,S70+1,FALSE),Sheet4!$A$1:$FE$75,HLOOKUP($W$1,伤害计算器!$AV$28:$BM$30,3,FALSE)+3,FALSE)</f>
        <v>0</v>
      </c>
      <c r="Y70" s="9">
        <f>VLOOKUP(HLOOKUP("普",Sheet4!$A$1:$FE$75,S70+1,FALSE),Sheet4!$A$1:$FE$75,HLOOKUP($W$1,伤害计算器!$AV$28:$BM$30,3,FALSE)+4,FALSE)</f>
        <v>0</v>
      </c>
      <c r="Z70" s="10">
        <f>VLOOKUP(HLOOKUP("普",Sheet4!$A$1:$FE$75,S70+1,FALSE),Sheet4!$A$1:$FE$75,HLOOKUP($W$1,伤害计算器!$AV$28:$BM$30,3,FALSE)+5,FALSE)</f>
        <v>0</v>
      </c>
      <c r="AA70" s="12">
        <f>VLOOKUP(HLOOKUP("普",Sheet4!$A$1:$FE$75,S70+1,FALSE),Sheet4!$A$1:$FE$75,HLOOKUP($W$1,伤害计算器!$AV$28:$BM$30,3,FALSE)+6,FALSE)</f>
        <v>0</v>
      </c>
      <c r="AB70" s="12"/>
      <c r="AC70" s="12"/>
      <c r="AD70" s="12"/>
      <c r="AE70" s="12"/>
      <c r="AF70" s="12"/>
      <c r="AG70" s="12"/>
      <c r="AH70">
        <f>VLOOKUP(HLOOKUP("普",Sheet4!$A$1:$FE$75,S70+1,FALSE),Sheet4!$A$1:$FF$75,HLOOKUP($W$1,伤害计算器!$AV$28:$BM$30,3,FALSE)+7,FALSE)</f>
        <v>0</v>
      </c>
    </row>
    <row r="71" spans="1:34">
      <c r="A71">
        <v>68</v>
      </c>
      <c r="B71" s="8" t="str">
        <f>IF(HLOOKUP(伤害计算器!$D$24,Sheet4!$A$1:$FE$75,A71+1,FALSE)=0," ",HLOOKUP(伤害计算器!$D$24,Sheet4!$A$1:$FE$75,A71+1,FALSE))</f>
        <v> </v>
      </c>
      <c r="C71" s="8">
        <f>VLOOKUP(HLOOKUP("普",Sheet4!$A$1:$FE$75,A71+1,FALSE),Sheet4!$A$1:$FE$75,HLOOKUP(伤害计算器!$D$24,伤害计算器!$AV$28:$BM$30,3,FALSE),FALSE)</f>
        <v>0</v>
      </c>
      <c r="D71" s="8">
        <f>VLOOKUP(HLOOKUP("普",Sheet4!$A$1:$FE$75,A71+1,FALSE),Sheet4!$A$1:$FE$75,HLOOKUP(伤害计算器!$D$24,伤害计算器!$AV$28:$BM$30,3,FALSE)+1,FALSE)</f>
        <v>0</v>
      </c>
      <c r="E71" s="8">
        <f>VLOOKUP(HLOOKUP("普",Sheet4!$A$1:$FE$75,A71+1,FALSE),Sheet4!$A$1:$FE$75,HLOOKUP(伤害计算器!$D$24,伤害计算器!$AV$28:$BM$30,3,FALSE)+2,FALSE)</f>
        <v>0</v>
      </c>
      <c r="F71" s="8">
        <f>VLOOKUP(HLOOKUP("普",Sheet4!$A$1:$FE$75,A71+1,FALSE),Sheet4!$A$1:$FE$75,HLOOKUP(伤害计算器!$D$24,伤害计算器!$AV$28:$BM$30,3,FALSE)+3,FALSE)</f>
        <v>0</v>
      </c>
      <c r="G71" s="8">
        <f>VLOOKUP(HLOOKUP("普",Sheet4!$A$1:$FE$75,A71+1,FALSE),Sheet4!$A$1:$FE$75,HLOOKUP(伤害计算器!$D$24,伤害计算器!$AV$28:$BM$30,3,FALSE)+4,FALSE)</f>
        <v>0</v>
      </c>
      <c r="H71" s="11">
        <f>VLOOKUP(HLOOKUP("普",Sheet4!$A$1:$FE$75,A71+1,FALSE),Sheet4!$A$1:$FE$75,HLOOKUP(伤害计算器!$D$24,伤害计算器!$AV$28:$BM$30,3,FALSE)+5,FALSE)</f>
        <v>0</v>
      </c>
      <c r="I71" s="12">
        <f>VLOOKUP(HLOOKUP("普",Sheet4!$A$1:$FE$75,A71+1,FALSE),Sheet4!$A$1:$FE$75,HLOOKUP(伤害计算器!$D$24,伤害计算器!$AV$28:$BM$30,3,FALSE)+6,FALSE)</f>
        <v>0</v>
      </c>
      <c r="J71" s="12"/>
      <c r="K71" s="12"/>
      <c r="L71" s="12"/>
      <c r="M71" s="12"/>
      <c r="N71" s="12"/>
      <c r="O71" s="12"/>
      <c r="P71">
        <f>VLOOKUP(HLOOKUP("普",Sheet4!$A$1:$FE$75,A71+1,FALSE),Sheet4!$A$1:$FF$75,HLOOKUP(伤害计算器!$D$24,伤害计算器!$AV$28:$BM$30,3,FALSE)+7,FALSE)</f>
        <v>0</v>
      </c>
      <c r="S71">
        <v>68</v>
      </c>
      <c r="T71" s="8" t="str">
        <f>IF(HLOOKUP($W$1,Sheet4!$A$1:$FE$75,S71+1,FALSE)=0," ",HLOOKUP($W$1,Sheet4!$A$1:$FE$75,S71+1,FALSE))</f>
        <v> </v>
      </c>
      <c r="U71" s="8">
        <f>VLOOKUP(HLOOKUP("普",Sheet4!$A$1:$FE$75,S71+1,FALSE),Sheet4!$A$1:$FE$75,HLOOKUP($W$1,伤害计算器!$AV$28:$BM$30,3,FALSE),FALSE)</f>
        <v>0</v>
      </c>
      <c r="V71" s="8">
        <f>VLOOKUP(HLOOKUP("普",Sheet4!$A$1:$FE$75,S71+1,FALSE),Sheet4!$A$1:$FE$75,HLOOKUP($W$1,伤害计算器!$AV$28:$BM$30,3,FALSE)+1,FALSE)</f>
        <v>0</v>
      </c>
      <c r="W71" s="9">
        <f>VLOOKUP(HLOOKUP("普",Sheet4!$A$1:$FE$75,S71+1,FALSE),Sheet4!$A$1:$FE$75,HLOOKUP($W$1,伤害计算器!$AV$28:$BM$30,3,FALSE)+2,FALSE)</f>
        <v>0</v>
      </c>
      <c r="X71" s="9">
        <f>VLOOKUP(HLOOKUP("普",Sheet4!$A$1:$FE$75,S71+1,FALSE),Sheet4!$A$1:$FE$75,HLOOKUP($W$1,伤害计算器!$AV$28:$BM$30,3,FALSE)+3,FALSE)</f>
        <v>0</v>
      </c>
      <c r="Y71" s="9">
        <f>VLOOKUP(HLOOKUP("普",Sheet4!$A$1:$FE$75,S71+1,FALSE),Sheet4!$A$1:$FE$75,HLOOKUP($W$1,伤害计算器!$AV$28:$BM$30,3,FALSE)+4,FALSE)</f>
        <v>0</v>
      </c>
      <c r="Z71" s="10">
        <f>VLOOKUP(HLOOKUP("普",Sheet4!$A$1:$FE$75,S71+1,FALSE),Sheet4!$A$1:$FE$75,HLOOKUP($W$1,伤害计算器!$AV$28:$BM$30,3,FALSE)+5,FALSE)</f>
        <v>0</v>
      </c>
      <c r="AA71" s="12">
        <f>VLOOKUP(HLOOKUP("普",Sheet4!$A$1:$FE$75,S71+1,FALSE),Sheet4!$A$1:$FE$75,HLOOKUP($W$1,伤害计算器!$AV$28:$BM$30,3,FALSE)+6,FALSE)</f>
        <v>0</v>
      </c>
      <c r="AB71" s="12"/>
      <c r="AC71" s="12"/>
      <c r="AD71" s="12"/>
      <c r="AE71" s="12"/>
      <c r="AF71" s="12"/>
      <c r="AG71" s="12"/>
      <c r="AH71">
        <f>VLOOKUP(HLOOKUP("普",Sheet4!$A$1:$FE$75,S71+1,FALSE),Sheet4!$A$1:$FF$75,HLOOKUP($W$1,伤害计算器!$AV$28:$BM$30,3,FALSE)+7,FALSE)</f>
        <v>0</v>
      </c>
    </row>
    <row r="72" spans="1:34">
      <c r="A72">
        <v>69</v>
      </c>
      <c r="B72" s="8" t="str">
        <f>IF(HLOOKUP(伤害计算器!$D$24,Sheet4!$A$1:$FE$75,A72+1,FALSE)=0," ",HLOOKUP(伤害计算器!$D$24,Sheet4!$A$1:$FE$75,A72+1,FALSE))</f>
        <v> </v>
      </c>
      <c r="C72" s="8">
        <f>VLOOKUP(HLOOKUP("普",Sheet4!$A$1:$FE$75,A72+1,FALSE),Sheet4!$A$1:$FE$75,HLOOKUP(伤害计算器!$D$24,伤害计算器!$AV$28:$BM$30,3,FALSE),FALSE)</f>
        <v>0</v>
      </c>
      <c r="D72" s="8">
        <f>VLOOKUP(HLOOKUP("普",Sheet4!$A$1:$FE$75,A72+1,FALSE),Sheet4!$A$1:$FE$75,HLOOKUP(伤害计算器!$D$24,伤害计算器!$AV$28:$BM$30,3,FALSE)+1,FALSE)</f>
        <v>0</v>
      </c>
      <c r="E72" s="8">
        <f>VLOOKUP(HLOOKUP("普",Sheet4!$A$1:$FE$75,A72+1,FALSE),Sheet4!$A$1:$FE$75,HLOOKUP(伤害计算器!$D$24,伤害计算器!$AV$28:$BM$30,3,FALSE)+2,FALSE)</f>
        <v>0</v>
      </c>
      <c r="F72" s="8">
        <f>VLOOKUP(HLOOKUP("普",Sheet4!$A$1:$FE$75,A72+1,FALSE),Sheet4!$A$1:$FE$75,HLOOKUP(伤害计算器!$D$24,伤害计算器!$AV$28:$BM$30,3,FALSE)+3,FALSE)</f>
        <v>0</v>
      </c>
      <c r="G72" s="8">
        <f>VLOOKUP(HLOOKUP("普",Sheet4!$A$1:$FE$75,A72+1,FALSE),Sheet4!$A$1:$FE$75,HLOOKUP(伤害计算器!$D$24,伤害计算器!$AV$28:$BM$30,3,FALSE)+4,FALSE)</f>
        <v>0</v>
      </c>
      <c r="H72" s="11">
        <f>VLOOKUP(HLOOKUP("普",Sheet4!$A$1:$FE$75,A72+1,FALSE),Sheet4!$A$1:$FE$75,HLOOKUP(伤害计算器!$D$24,伤害计算器!$AV$28:$BM$30,3,FALSE)+5,FALSE)</f>
        <v>0</v>
      </c>
      <c r="I72" s="12">
        <f>VLOOKUP(HLOOKUP("普",Sheet4!$A$1:$FE$75,A72+1,FALSE),Sheet4!$A$1:$FE$75,HLOOKUP(伤害计算器!$D$24,伤害计算器!$AV$28:$BM$30,3,FALSE)+6,FALSE)</f>
        <v>0</v>
      </c>
      <c r="J72" s="12"/>
      <c r="K72" s="12"/>
      <c r="L72" s="12"/>
      <c r="M72" s="12"/>
      <c r="N72" s="12"/>
      <c r="O72" s="12"/>
      <c r="P72">
        <f>VLOOKUP(HLOOKUP("普",Sheet4!$A$1:$FE$75,A72+1,FALSE),Sheet4!$A$1:$FF$75,HLOOKUP(伤害计算器!$D$24,伤害计算器!$AV$28:$BM$30,3,FALSE)+7,FALSE)</f>
        <v>0</v>
      </c>
      <c r="S72">
        <v>69</v>
      </c>
      <c r="T72" s="8" t="str">
        <f>IF(HLOOKUP($W$1,Sheet4!$A$1:$FE$75,S72+1,FALSE)=0," ",HLOOKUP($W$1,Sheet4!$A$1:$FE$75,S72+1,FALSE))</f>
        <v> </v>
      </c>
      <c r="U72" s="8">
        <f>VLOOKUP(HLOOKUP("普",Sheet4!$A$1:$FE$75,S72+1,FALSE),Sheet4!$A$1:$FE$75,HLOOKUP($W$1,伤害计算器!$AV$28:$BM$30,3,FALSE),FALSE)</f>
        <v>0</v>
      </c>
      <c r="V72" s="8">
        <f>VLOOKUP(HLOOKUP("普",Sheet4!$A$1:$FE$75,S72+1,FALSE),Sheet4!$A$1:$FE$75,HLOOKUP($W$1,伤害计算器!$AV$28:$BM$30,3,FALSE)+1,FALSE)</f>
        <v>0</v>
      </c>
      <c r="W72" s="9">
        <f>VLOOKUP(HLOOKUP("普",Sheet4!$A$1:$FE$75,S72+1,FALSE),Sheet4!$A$1:$FE$75,HLOOKUP($W$1,伤害计算器!$AV$28:$BM$30,3,FALSE)+2,FALSE)</f>
        <v>0</v>
      </c>
      <c r="X72" s="9">
        <f>VLOOKUP(HLOOKUP("普",Sheet4!$A$1:$FE$75,S72+1,FALSE),Sheet4!$A$1:$FE$75,HLOOKUP($W$1,伤害计算器!$AV$28:$BM$30,3,FALSE)+3,FALSE)</f>
        <v>0</v>
      </c>
      <c r="Y72" s="9">
        <f>VLOOKUP(HLOOKUP("普",Sheet4!$A$1:$FE$75,S72+1,FALSE),Sheet4!$A$1:$FE$75,HLOOKUP($W$1,伤害计算器!$AV$28:$BM$30,3,FALSE)+4,FALSE)</f>
        <v>0</v>
      </c>
      <c r="Z72" s="10">
        <f>VLOOKUP(HLOOKUP("普",Sheet4!$A$1:$FE$75,S72+1,FALSE),Sheet4!$A$1:$FE$75,HLOOKUP($W$1,伤害计算器!$AV$28:$BM$30,3,FALSE)+5,FALSE)</f>
        <v>0</v>
      </c>
      <c r="AA72" s="12">
        <f>VLOOKUP(HLOOKUP("普",Sheet4!$A$1:$FE$75,S72+1,FALSE),Sheet4!$A$1:$FE$75,HLOOKUP($W$1,伤害计算器!$AV$28:$BM$30,3,FALSE)+6,FALSE)</f>
        <v>0</v>
      </c>
      <c r="AB72" s="12"/>
      <c r="AC72" s="12"/>
      <c r="AD72" s="12"/>
      <c r="AE72" s="12"/>
      <c r="AF72" s="12"/>
      <c r="AG72" s="12"/>
      <c r="AH72">
        <f>VLOOKUP(HLOOKUP("普",Sheet4!$A$1:$FE$75,S72+1,FALSE),Sheet4!$A$1:$FF$75,HLOOKUP($W$1,伤害计算器!$AV$28:$BM$30,3,FALSE)+7,FALSE)</f>
        <v>0</v>
      </c>
    </row>
    <row r="73" spans="1:34">
      <c r="A73">
        <v>70</v>
      </c>
      <c r="B73" s="8" t="str">
        <f>IF(HLOOKUP(伤害计算器!$D$24,Sheet4!$A$1:$FE$75,A73+1,FALSE)=0," ",HLOOKUP(伤害计算器!$D$24,Sheet4!$A$1:$FE$75,A73+1,FALSE))</f>
        <v> </v>
      </c>
      <c r="C73" s="8">
        <f>VLOOKUP(HLOOKUP("普",Sheet4!$A$1:$FE$75,A73+1,FALSE),Sheet4!$A$1:$FE$75,HLOOKUP(伤害计算器!$D$24,伤害计算器!$AV$28:$BM$30,3,FALSE),FALSE)</f>
        <v>0</v>
      </c>
      <c r="D73" s="8">
        <f>VLOOKUP(HLOOKUP("普",Sheet4!$A$1:$FE$75,A73+1,FALSE),Sheet4!$A$1:$FE$75,HLOOKUP(伤害计算器!$D$24,伤害计算器!$AV$28:$BM$30,3,FALSE)+1,FALSE)</f>
        <v>0</v>
      </c>
      <c r="E73" s="8">
        <f>VLOOKUP(HLOOKUP("普",Sheet4!$A$1:$FE$75,A73+1,FALSE),Sheet4!$A$1:$FE$75,HLOOKUP(伤害计算器!$D$24,伤害计算器!$AV$28:$BM$30,3,FALSE)+2,FALSE)</f>
        <v>0</v>
      </c>
      <c r="F73" s="8">
        <f>VLOOKUP(HLOOKUP("普",Sheet4!$A$1:$FE$75,A73+1,FALSE),Sheet4!$A$1:$FE$75,HLOOKUP(伤害计算器!$D$24,伤害计算器!$AV$28:$BM$30,3,FALSE)+3,FALSE)</f>
        <v>0</v>
      </c>
      <c r="G73" s="8">
        <f>VLOOKUP(HLOOKUP("普",Sheet4!$A$1:$FE$75,A73+1,FALSE),Sheet4!$A$1:$FE$75,HLOOKUP(伤害计算器!$D$24,伤害计算器!$AV$28:$BM$30,3,FALSE)+4,FALSE)</f>
        <v>0</v>
      </c>
      <c r="H73" s="11">
        <f>VLOOKUP(HLOOKUP("普",Sheet4!$A$1:$FE$75,A73+1,FALSE),Sheet4!$A$1:$FE$75,HLOOKUP(伤害计算器!$D$24,伤害计算器!$AV$28:$BM$30,3,FALSE)+5,FALSE)</f>
        <v>0</v>
      </c>
      <c r="I73" s="12">
        <f>VLOOKUP(HLOOKUP("普",Sheet4!$A$1:$FE$75,A73+1,FALSE),Sheet4!$A$1:$FE$75,HLOOKUP(伤害计算器!$D$24,伤害计算器!$AV$28:$BM$30,3,FALSE)+6,FALSE)</f>
        <v>0</v>
      </c>
      <c r="J73" s="12"/>
      <c r="K73" s="12"/>
      <c r="L73" s="12"/>
      <c r="M73" s="12"/>
      <c r="N73" s="12"/>
      <c r="O73" s="12"/>
      <c r="P73">
        <f>VLOOKUP(HLOOKUP("普",Sheet4!$A$1:$FE$75,A73+1,FALSE),Sheet4!$A$1:$FF$75,HLOOKUP(伤害计算器!$D$24,伤害计算器!$AV$28:$BM$30,3,FALSE)+7,FALSE)</f>
        <v>0</v>
      </c>
      <c r="S73">
        <v>70</v>
      </c>
      <c r="T73" s="8" t="str">
        <f>IF(HLOOKUP($W$1,Sheet4!$A$1:$FE$75,S73+1,FALSE)=0," ",HLOOKUP($W$1,Sheet4!$A$1:$FE$75,S73+1,FALSE))</f>
        <v> </v>
      </c>
      <c r="U73" s="8">
        <f>VLOOKUP(HLOOKUP("普",Sheet4!$A$1:$FE$75,S73+1,FALSE),Sheet4!$A$1:$FE$75,HLOOKUP($W$1,伤害计算器!$AV$28:$BM$30,3,FALSE),FALSE)</f>
        <v>0</v>
      </c>
      <c r="V73" s="8">
        <f>VLOOKUP(HLOOKUP("普",Sheet4!$A$1:$FE$75,S73+1,FALSE),Sheet4!$A$1:$FE$75,HLOOKUP($W$1,伤害计算器!$AV$28:$BM$30,3,FALSE)+1,FALSE)</f>
        <v>0</v>
      </c>
      <c r="W73" s="9">
        <f>VLOOKUP(HLOOKUP("普",Sheet4!$A$1:$FE$75,S73+1,FALSE),Sheet4!$A$1:$FE$75,HLOOKUP($W$1,伤害计算器!$AV$28:$BM$30,3,FALSE)+2,FALSE)</f>
        <v>0</v>
      </c>
      <c r="X73" s="9">
        <f>VLOOKUP(HLOOKUP("普",Sheet4!$A$1:$FE$75,S73+1,FALSE),Sheet4!$A$1:$FE$75,HLOOKUP($W$1,伤害计算器!$AV$28:$BM$30,3,FALSE)+3,FALSE)</f>
        <v>0</v>
      </c>
      <c r="Y73" s="9">
        <f>VLOOKUP(HLOOKUP("普",Sheet4!$A$1:$FE$75,S73+1,FALSE),Sheet4!$A$1:$FE$75,HLOOKUP($W$1,伤害计算器!$AV$28:$BM$30,3,FALSE)+4,FALSE)</f>
        <v>0</v>
      </c>
      <c r="Z73" s="10">
        <f>VLOOKUP(HLOOKUP("普",Sheet4!$A$1:$FE$75,S73+1,FALSE),Sheet4!$A$1:$FE$75,HLOOKUP($W$1,伤害计算器!$AV$28:$BM$30,3,FALSE)+5,FALSE)</f>
        <v>0</v>
      </c>
      <c r="AA73" s="12">
        <f>VLOOKUP(HLOOKUP("普",Sheet4!$A$1:$FE$75,S73+1,FALSE),Sheet4!$A$1:$FE$75,HLOOKUP($W$1,伤害计算器!$AV$28:$BM$30,3,FALSE)+6,FALSE)</f>
        <v>0</v>
      </c>
      <c r="AB73" s="12"/>
      <c r="AC73" s="12"/>
      <c r="AD73" s="12"/>
      <c r="AE73" s="12"/>
      <c r="AF73" s="12"/>
      <c r="AG73" s="12"/>
      <c r="AH73">
        <f>VLOOKUP(HLOOKUP("普",Sheet4!$A$1:$FE$75,S73+1,FALSE),Sheet4!$A$1:$FF$75,HLOOKUP($W$1,伤害计算器!$AV$28:$BM$30,3,FALSE)+7,FALSE)</f>
        <v>0</v>
      </c>
    </row>
    <row r="74" spans="1:34">
      <c r="A74">
        <v>71</v>
      </c>
      <c r="B74" s="8" t="str">
        <f>IF(HLOOKUP(伤害计算器!$D$24,Sheet4!$A$1:$FE$75,A74+1,FALSE)=0," ",HLOOKUP(伤害计算器!$D$24,Sheet4!$A$1:$FE$75,A74+1,FALSE))</f>
        <v> </v>
      </c>
      <c r="C74" s="8">
        <f>VLOOKUP(HLOOKUP("普",Sheet4!$A$1:$FE$75,A74+1,FALSE),Sheet4!$A$1:$FE$75,HLOOKUP(伤害计算器!$D$24,伤害计算器!$AV$28:$BM$30,3,FALSE),FALSE)</f>
        <v>0</v>
      </c>
      <c r="D74" s="8">
        <f>VLOOKUP(HLOOKUP("普",Sheet4!$A$1:$FE$75,A74+1,FALSE),Sheet4!$A$1:$FE$75,HLOOKUP(伤害计算器!$D$24,伤害计算器!$AV$28:$BM$30,3,FALSE)+1,FALSE)</f>
        <v>0</v>
      </c>
      <c r="E74" s="8">
        <f>VLOOKUP(HLOOKUP("普",Sheet4!$A$1:$FE$75,A74+1,FALSE),Sheet4!$A$1:$FE$75,HLOOKUP(伤害计算器!$D$24,伤害计算器!$AV$28:$BM$30,3,FALSE)+2,FALSE)</f>
        <v>0</v>
      </c>
      <c r="F74" s="8">
        <f>VLOOKUP(HLOOKUP("普",Sheet4!$A$1:$FE$75,A74+1,FALSE),Sheet4!$A$1:$FE$75,HLOOKUP(伤害计算器!$D$24,伤害计算器!$AV$28:$BM$30,3,FALSE)+3,FALSE)</f>
        <v>0</v>
      </c>
      <c r="G74" s="8">
        <f>VLOOKUP(HLOOKUP("普",Sheet4!$A$1:$FE$75,A74+1,FALSE),Sheet4!$A$1:$FE$75,HLOOKUP(伤害计算器!$D$24,伤害计算器!$AV$28:$BM$30,3,FALSE)+4,FALSE)</f>
        <v>0</v>
      </c>
      <c r="H74" s="11">
        <f>VLOOKUP(HLOOKUP("普",Sheet4!$A$1:$FE$75,A74+1,FALSE),Sheet4!$A$1:$FE$75,HLOOKUP(伤害计算器!$D$24,伤害计算器!$AV$28:$BM$30,3,FALSE)+5,FALSE)</f>
        <v>0</v>
      </c>
      <c r="I74" s="12">
        <f>VLOOKUP(HLOOKUP("普",Sheet4!$A$1:$FE$75,A74+1,FALSE),Sheet4!$A$1:$FE$75,HLOOKUP(伤害计算器!$D$24,伤害计算器!$AV$28:$BM$30,3,FALSE)+6,FALSE)</f>
        <v>0</v>
      </c>
      <c r="J74" s="12"/>
      <c r="K74" s="12"/>
      <c r="L74" s="12"/>
      <c r="M74" s="12"/>
      <c r="N74" s="12"/>
      <c r="O74" s="12"/>
      <c r="P74">
        <f>VLOOKUP(HLOOKUP("普",Sheet4!$A$1:$FE$75,A74+1,FALSE),Sheet4!$A$1:$FF$75,HLOOKUP(伤害计算器!$D$24,伤害计算器!$AV$28:$BM$30,3,FALSE)+7,FALSE)</f>
        <v>0</v>
      </c>
      <c r="S74">
        <v>71</v>
      </c>
      <c r="T74" s="8" t="str">
        <f>IF(HLOOKUP($W$1,Sheet4!$A$1:$FE$75,S74+1,FALSE)=0," ",HLOOKUP($W$1,Sheet4!$A$1:$FE$75,S74+1,FALSE))</f>
        <v> </v>
      </c>
      <c r="U74" s="8">
        <f>VLOOKUP(HLOOKUP("普",Sheet4!$A$1:$FE$75,S74+1,FALSE),Sheet4!$A$1:$FE$75,HLOOKUP($W$1,伤害计算器!$AV$28:$BM$30,3,FALSE),FALSE)</f>
        <v>0</v>
      </c>
      <c r="V74" s="8">
        <f>VLOOKUP(HLOOKUP("普",Sheet4!$A$1:$FE$75,S74+1,FALSE),Sheet4!$A$1:$FE$75,HLOOKUP($W$1,伤害计算器!$AV$28:$BM$30,3,FALSE)+1,FALSE)</f>
        <v>0</v>
      </c>
      <c r="W74" s="9">
        <f>VLOOKUP(HLOOKUP("普",Sheet4!$A$1:$FE$75,S74+1,FALSE),Sheet4!$A$1:$FE$75,HLOOKUP($W$1,伤害计算器!$AV$28:$BM$30,3,FALSE)+2,FALSE)</f>
        <v>0</v>
      </c>
      <c r="X74" s="9">
        <f>VLOOKUP(HLOOKUP("普",Sheet4!$A$1:$FE$75,S74+1,FALSE),Sheet4!$A$1:$FE$75,HLOOKUP($W$1,伤害计算器!$AV$28:$BM$30,3,FALSE)+3,FALSE)</f>
        <v>0</v>
      </c>
      <c r="Y74" s="9">
        <f>VLOOKUP(HLOOKUP("普",Sheet4!$A$1:$FE$75,S74+1,FALSE),Sheet4!$A$1:$FE$75,HLOOKUP($W$1,伤害计算器!$AV$28:$BM$30,3,FALSE)+4,FALSE)</f>
        <v>0</v>
      </c>
      <c r="Z74" s="10">
        <f>VLOOKUP(HLOOKUP("普",Sheet4!$A$1:$FE$75,S74+1,FALSE),Sheet4!$A$1:$FE$75,HLOOKUP($W$1,伤害计算器!$AV$28:$BM$30,3,FALSE)+5,FALSE)</f>
        <v>0</v>
      </c>
      <c r="AA74" s="12">
        <f>VLOOKUP(HLOOKUP("普",Sheet4!$A$1:$FE$75,S74+1,FALSE),Sheet4!$A$1:$FE$75,HLOOKUP($W$1,伤害计算器!$AV$28:$BM$30,3,FALSE)+6,FALSE)</f>
        <v>0</v>
      </c>
      <c r="AB74" s="12"/>
      <c r="AC74" s="12"/>
      <c r="AD74" s="12"/>
      <c r="AE74" s="12"/>
      <c r="AF74" s="12"/>
      <c r="AG74" s="12"/>
      <c r="AH74">
        <f>VLOOKUP(HLOOKUP("普",Sheet4!$A$1:$FE$75,S74+1,FALSE),Sheet4!$A$1:$FF$75,HLOOKUP($W$1,伤害计算器!$AV$28:$BM$30,3,FALSE)+7,FALSE)</f>
        <v>0</v>
      </c>
    </row>
    <row r="75" spans="1:34">
      <c r="A75">
        <v>72</v>
      </c>
      <c r="B75" s="8" t="str">
        <f>IF(HLOOKUP(伤害计算器!$D$24,Sheet4!$A$1:$FE$75,A75+1,FALSE)=0," ",HLOOKUP(伤害计算器!$D$24,Sheet4!$A$1:$FE$75,A75+1,FALSE))</f>
        <v> </v>
      </c>
      <c r="C75" s="8">
        <f>VLOOKUP(HLOOKUP("普",Sheet4!$A$1:$FE$75,A75+1,FALSE),Sheet4!$A$1:$FE$75,HLOOKUP(伤害计算器!$D$24,伤害计算器!$AV$28:$BM$30,3,FALSE),FALSE)</f>
        <v>0</v>
      </c>
      <c r="D75" s="8">
        <f>VLOOKUP(HLOOKUP("普",Sheet4!$A$1:$FE$75,A75+1,FALSE),Sheet4!$A$1:$FE$75,HLOOKUP(伤害计算器!$D$24,伤害计算器!$AV$28:$BM$30,3,FALSE)+1,FALSE)</f>
        <v>0</v>
      </c>
      <c r="E75" s="8">
        <f>VLOOKUP(HLOOKUP("普",Sheet4!$A$1:$FE$75,A75+1,FALSE),Sheet4!$A$1:$FE$75,HLOOKUP(伤害计算器!$D$24,伤害计算器!$AV$28:$BM$30,3,FALSE)+2,FALSE)</f>
        <v>0</v>
      </c>
      <c r="F75" s="8">
        <f>VLOOKUP(HLOOKUP("普",Sheet4!$A$1:$FE$75,A75+1,FALSE),Sheet4!$A$1:$FE$75,HLOOKUP(伤害计算器!$D$24,伤害计算器!$AV$28:$BM$30,3,FALSE)+3,FALSE)</f>
        <v>0</v>
      </c>
      <c r="G75" s="8">
        <f>VLOOKUP(HLOOKUP("普",Sheet4!$A$1:$FE$75,A75+1,FALSE),Sheet4!$A$1:$FE$75,HLOOKUP(伤害计算器!$D$24,伤害计算器!$AV$28:$BM$30,3,FALSE)+4,FALSE)</f>
        <v>0</v>
      </c>
      <c r="H75" s="11">
        <f>VLOOKUP(HLOOKUP("普",Sheet4!$A$1:$FE$75,A75+1,FALSE),Sheet4!$A$1:$FE$75,HLOOKUP(伤害计算器!$D$24,伤害计算器!$AV$28:$BM$30,3,FALSE)+5,FALSE)</f>
        <v>0</v>
      </c>
      <c r="I75" s="12">
        <f>VLOOKUP(HLOOKUP("普",Sheet4!$A$1:$FE$75,A75+1,FALSE),Sheet4!$A$1:$FE$75,HLOOKUP(伤害计算器!$D$24,伤害计算器!$AV$28:$BM$30,3,FALSE)+6,FALSE)</f>
        <v>0</v>
      </c>
      <c r="J75" s="12"/>
      <c r="K75" s="12"/>
      <c r="L75" s="12"/>
      <c r="M75" s="12"/>
      <c r="N75" s="12"/>
      <c r="O75" s="12"/>
      <c r="P75">
        <f>VLOOKUP(HLOOKUP("普",Sheet4!$A$1:$FE$75,A75+1,FALSE),Sheet4!$A$1:$FF$75,HLOOKUP(伤害计算器!$D$24,伤害计算器!$AV$28:$BM$30,3,FALSE)+7,FALSE)</f>
        <v>0</v>
      </c>
      <c r="S75">
        <v>72</v>
      </c>
      <c r="T75" s="8" t="str">
        <f>IF(HLOOKUP($W$1,Sheet4!$A$1:$FE$75,S75+1,FALSE)=0," ",HLOOKUP($W$1,Sheet4!$A$1:$FE$75,S75+1,FALSE))</f>
        <v> </v>
      </c>
      <c r="U75" s="8">
        <f>VLOOKUP(HLOOKUP("普",Sheet4!$A$1:$FE$75,S75+1,FALSE),Sheet4!$A$1:$FE$75,HLOOKUP($W$1,伤害计算器!$AV$28:$BM$30,3,FALSE),FALSE)</f>
        <v>0</v>
      </c>
      <c r="V75" s="8">
        <f>VLOOKUP(HLOOKUP("普",Sheet4!$A$1:$FE$75,S75+1,FALSE),Sheet4!$A$1:$FE$75,HLOOKUP($W$1,伤害计算器!$AV$28:$BM$30,3,FALSE)+1,FALSE)</f>
        <v>0</v>
      </c>
      <c r="W75" s="9">
        <f>VLOOKUP(HLOOKUP("普",Sheet4!$A$1:$FE$75,S75+1,FALSE),Sheet4!$A$1:$FE$75,HLOOKUP($W$1,伤害计算器!$AV$28:$BM$30,3,FALSE)+2,FALSE)</f>
        <v>0</v>
      </c>
      <c r="X75" s="9">
        <f>VLOOKUP(HLOOKUP("普",Sheet4!$A$1:$FE$75,S75+1,FALSE),Sheet4!$A$1:$FE$75,HLOOKUP($W$1,伤害计算器!$AV$28:$BM$30,3,FALSE)+3,FALSE)</f>
        <v>0</v>
      </c>
      <c r="Y75" s="9">
        <f>VLOOKUP(HLOOKUP("普",Sheet4!$A$1:$FE$75,S75+1,FALSE),Sheet4!$A$1:$FE$75,HLOOKUP($W$1,伤害计算器!$AV$28:$BM$30,3,FALSE)+4,FALSE)</f>
        <v>0</v>
      </c>
      <c r="Z75" s="10">
        <f>VLOOKUP(HLOOKUP("普",Sheet4!$A$1:$FE$75,S75+1,FALSE),Sheet4!$A$1:$FE$75,HLOOKUP($W$1,伤害计算器!$AV$28:$BM$30,3,FALSE)+5,FALSE)</f>
        <v>0</v>
      </c>
      <c r="AA75" s="12">
        <f>VLOOKUP(HLOOKUP("普",Sheet4!$A$1:$FE$75,S75+1,FALSE),Sheet4!$A$1:$FE$75,HLOOKUP($W$1,伤害计算器!$AV$28:$BM$30,3,FALSE)+6,FALSE)</f>
        <v>0</v>
      </c>
      <c r="AB75" s="12"/>
      <c r="AC75" s="12"/>
      <c r="AD75" s="12"/>
      <c r="AE75" s="12"/>
      <c r="AF75" s="12"/>
      <c r="AG75" s="12"/>
      <c r="AH75">
        <f>VLOOKUP(HLOOKUP("普",Sheet4!$A$1:$FE$75,S75+1,FALSE),Sheet4!$A$1:$FF$75,HLOOKUP($W$1,伤害计算器!$AV$28:$BM$30,3,FALSE)+7,FALSE)</f>
        <v>0</v>
      </c>
    </row>
    <row r="76" spans="1:34">
      <c r="A76">
        <v>73</v>
      </c>
      <c r="B76" s="8" t="str">
        <f>IF(HLOOKUP(伤害计算器!$D$24,Sheet4!$A$1:$FE$75,A76+1,FALSE)=0," ",HLOOKUP(伤害计算器!$D$24,Sheet4!$A$1:$FE$75,A76+1,FALSE))</f>
        <v> </v>
      </c>
      <c r="C76" s="8">
        <f>VLOOKUP(HLOOKUP("普",Sheet4!$A$1:$FE$85,A76+1,FALSE),Sheet4!$A$1:$FE$85,HLOOKUP(伤害计算器!$D$24,伤害计算器!$AV$28:$BM$30,3,FALSE),FALSE)</f>
        <v>0</v>
      </c>
      <c r="D76" s="8">
        <f>VLOOKUP(HLOOKUP("普",Sheet4!$A$1:$FE$85,A76+1,FALSE),Sheet4!$A$1:$FE$85,HLOOKUP(伤害计算器!$D$24,伤害计算器!$AV$28:$BM$30,3,FALSE)+1,FALSE)</f>
        <v>0</v>
      </c>
      <c r="E76" s="8">
        <f>VLOOKUP(HLOOKUP("普",Sheet4!$A$1:$FE$85,A76+1,FALSE),Sheet4!$A$1:$FE$85,HLOOKUP(伤害计算器!$D$24,伤害计算器!$AV$28:$BM$30,3,FALSE)+2,FALSE)</f>
        <v>0</v>
      </c>
      <c r="F76" s="8">
        <f>VLOOKUP(HLOOKUP("普",Sheet4!$A$1:$FE$85,A76+1,FALSE),Sheet4!$A$1:$FE$85,HLOOKUP(伤害计算器!$D$24,伤害计算器!$AV$28:$BM$30,3,FALSE)+3,FALSE)</f>
        <v>0</v>
      </c>
      <c r="G76" s="8">
        <f>VLOOKUP(HLOOKUP("普",Sheet4!$A$1:$FE$85,A76+1,FALSE),Sheet4!$A$1:$FE$85,HLOOKUP(伤害计算器!$D$24,伤害计算器!$AV$28:$BM$30,3,FALSE)+4,FALSE)</f>
        <v>0</v>
      </c>
      <c r="H76" s="11">
        <f>VLOOKUP(HLOOKUP("普",Sheet4!$A$1:$FE$85,A76+1,FALSE),Sheet4!$A$1:$FE$85,HLOOKUP(伤害计算器!$D$24,伤害计算器!$AV$28:$BM$30,3,FALSE)+5,FALSE)</f>
        <v>0</v>
      </c>
      <c r="I76" s="12">
        <f>VLOOKUP(HLOOKUP("普",Sheet4!$A$1:$FE$85,A76+1,FALSE),Sheet4!$A$1:$FE$85,HLOOKUP(伤害计算器!$D$24,伤害计算器!$AV$28:$BM$30,3,FALSE)+6,FALSE)</f>
        <v>0</v>
      </c>
      <c r="J76" s="12"/>
      <c r="K76" s="12"/>
      <c r="L76" s="12"/>
      <c r="M76" s="12"/>
      <c r="N76" s="12"/>
      <c r="O76" s="12"/>
      <c r="P76">
        <f>VLOOKUP(HLOOKUP("普",Sheet4!$A$1:$FE$75,A76+1,FALSE),Sheet4!$A$1:$FF$75,HLOOKUP(伤害计算器!$D$24,伤害计算器!$AV$28:$BM$30,3,FALSE)+7,FALSE)</f>
        <v>0</v>
      </c>
      <c r="S76">
        <v>73</v>
      </c>
      <c r="T76" s="8" t="str">
        <f>IF(HLOOKUP($W$1,Sheet4!$A$1:$FE$75,S76+1,FALSE)=0," ",HLOOKUP($W$1,Sheet4!$A$1:$FE$75,S76+1,FALSE))</f>
        <v> </v>
      </c>
      <c r="U76" s="8">
        <f>VLOOKUP(HLOOKUP("普",Sheet4!$A$1:$FE$75,S76+1,FALSE),Sheet4!$A$1:$FE$75,HLOOKUP($W$1,伤害计算器!$AV$28:$BM$30,3,FALSE),FALSE)</f>
        <v>0</v>
      </c>
      <c r="V76" s="8">
        <f>VLOOKUP(HLOOKUP("普",Sheet4!$A$1:$FE$75,S76+1,FALSE),Sheet4!$A$1:$FE$75,HLOOKUP($W$1,伤害计算器!$AV$28:$BM$30,3,FALSE)+1,FALSE)</f>
        <v>0</v>
      </c>
      <c r="W76" s="9">
        <f>VLOOKUP(HLOOKUP("普",Sheet4!$A$1:$FE$75,S76+1,FALSE),Sheet4!$A$1:$FE$75,HLOOKUP($W$1,伤害计算器!$AV$28:$BM$30,3,FALSE)+2,FALSE)</f>
        <v>0</v>
      </c>
      <c r="X76" s="9">
        <f>VLOOKUP(HLOOKUP("普",Sheet4!$A$1:$FE$75,S76+1,FALSE),Sheet4!$A$1:$FE$75,HLOOKUP($W$1,伤害计算器!$AV$28:$BM$30,3,FALSE)+3,FALSE)</f>
        <v>0</v>
      </c>
      <c r="Y76" s="9">
        <f>VLOOKUP(HLOOKUP("普",Sheet4!$A$1:$FE$75,S76+1,FALSE),Sheet4!$A$1:$FE$75,HLOOKUP($W$1,伤害计算器!$AV$28:$BM$30,3,FALSE)+4,FALSE)</f>
        <v>0</v>
      </c>
      <c r="Z76" s="10">
        <f>VLOOKUP(HLOOKUP("普",Sheet4!$A$1:$FE$75,S76+1,FALSE),Sheet4!$A$1:$FE$75,HLOOKUP($W$1,伤害计算器!$AV$28:$BM$30,3,FALSE)+5,FALSE)</f>
        <v>0</v>
      </c>
      <c r="AA76" s="12">
        <f>VLOOKUP(HLOOKUP("普",Sheet4!$A$1:$FE$75,S76+1,FALSE),Sheet4!$A$1:$FE$75,HLOOKUP($W$1,伤害计算器!$AV$28:$BM$30,3,FALSE)+6,FALSE)</f>
        <v>0</v>
      </c>
      <c r="AB76" s="12"/>
      <c r="AC76" s="12"/>
      <c r="AD76" s="12"/>
      <c r="AE76" s="12"/>
      <c r="AF76" s="12"/>
      <c r="AG76" s="12"/>
      <c r="AH76">
        <f>VLOOKUP(HLOOKUP("普",Sheet4!$A$1:$FE$75,S76+1,FALSE),Sheet4!$A$1:$FF$75,HLOOKUP($W$1,伤害计算器!$AV$28:$BM$30,3,FALSE)+7,FALSE)</f>
        <v>0</v>
      </c>
    </row>
    <row r="77" spans="1:34">
      <c r="A77">
        <v>74</v>
      </c>
      <c r="B77" s="8" t="str">
        <f>IF(HLOOKUP(伤害计算器!$D$24,Sheet4!$A$1:$FE$85,A77+1,FALSE)=0," ",HLOOKUP(伤害计算器!$D$24,Sheet4!$A$1:$FE$85,A77+1,FALSE))</f>
        <v> </v>
      </c>
      <c r="C77" s="8">
        <f>VLOOKUP(HLOOKUP("普",Sheet4!$A$1:$FE$85,A77+1,FALSE),Sheet4!$A$1:$FE$85,HLOOKUP(伤害计算器!$D$24,伤害计算器!$AV$28:$BM$30,3,FALSE),FALSE)</f>
        <v>0</v>
      </c>
      <c r="D77" s="8">
        <f>VLOOKUP(HLOOKUP("普",Sheet4!$A$1:$FE$85,A77+1,FALSE),Sheet4!$A$1:$FE$85,HLOOKUP(伤害计算器!$D$24,伤害计算器!$AV$28:$BM$30,3,FALSE)+1,FALSE)</f>
        <v>0</v>
      </c>
      <c r="E77" s="8">
        <f>VLOOKUP(HLOOKUP("普",Sheet4!$A$1:$FE$85,A77+1,FALSE),Sheet4!$A$1:$FE$85,HLOOKUP(伤害计算器!$D$24,伤害计算器!$AV$28:$BM$30,3,FALSE)+2,FALSE)</f>
        <v>0</v>
      </c>
      <c r="F77" s="8">
        <f>VLOOKUP(HLOOKUP("普",Sheet4!$A$1:$FE$85,A77+1,FALSE),Sheet4!$A$1:$FE$85,HLOOKUP(伤害计算器!$D$24,伤害计算器!$AV$28:$BM$30,3,FALSE)+3,FALSE)</f>
        <v>0</v>
      </c>
      <c r="G77" s="8">
        <f>VLOOKUP(HLOOKUP("普",Sheet4!$A$1:$FE$85,A77+1,FALSE),Sheet4!$A$1:$FE$85,HLOOKUP(伤害计算器!$D$24,伤害计算器!$AV$28:$BM$30,3,FALSE)+4,FALSE)</f>
        <v>0</v>
      </c>
      <c r="H77" s="11">
        <f>VLOOKUP(HLOOKUP("普",Sheet4!$A$1:$FE$85,A77+1,FALSE),Sheet4!$A$1:$FE$85,HLOOKUP(伤害计算器!$D$24,伤害计算器!$AV$28:$BM$30,3,FALSE)+5,FALSE)</f>
        <v>0</v>
      </c>
      <c r="I77" s="12">
        <f>VLOOKUP(HLOOKUP("普",Sheet4!$A$1:$FE$85,A77+1,FALSE),Sheet4!$A$1:$FE$85,HLOOKUP(伤害计算器!$D$24,伤害计算器!$AV$28:$BM$30,3,FALSE)+6,FALSE)</f>
        <v>0</v>
      </c>
      <c r="J77" s="12"/>
      <c r="K77" s="12"/>
      <c r="L77" s="12"/>
      <c r="M77" s="12"/>
      <c r="N77" s="12"/>
      <c r="O77" s="12"/>
      <c r="P77">
        <f>VLOOKUP(HLOOKUP("普",Sheet4!$A$1:$FE$75,A77+1,FALSE),Sheet4!$A$1:$FF$75,HLOOKUP(伤害计算器!$D$24,伤害计算器!$AV$28:$BM$30,3,FALSE)+7,FALSE)</f>
        <v>0</v>
      </c>
      <c r="S77">
        <v>74</v>
      </c>
      <c r="T77" s="8" t="str">
        <f>IF(HLOOKUP($W$1,Sheet4!$A$1:$FE$75,S77+1,FALSE)=0," ",HLOOKUP($W$1,Sheet4!$A$1:$FE$75,S77+1,FALSE))</f>
        <v> </v>
      </c>
      <c r="U77" s="8">
        <f>VLOOKUP(HLOOKUP("普",Sheet4!$A$1:$FE$75,S77+1,FALSE),Sheet4!$A$1:$FE$75,HLOOKUP($W$1,伤害计算器!$AV$28:$BM$30,3,FALSE),FALSE)</f>
        <v>0</v>
      </c>
      <c r="V77" s="8">
        <f>VLOOKUP(HLOOKUP("普",Sheet4!$A$1:$FE$75,S77+1,FALSE),Sheet4!$A$1:$FE$75,HLOOKUP($W$1,伤害计算器!$AV$28:$BM$30,3,FALSE)+1,FALSE)</f>
        <v>0</v>
      </c>
      <c r="W77" s="9">
        <f>VLOOKUP(HLOOKUP("普",Sheet4!$A$1:$FE$75,S77+1,FALSE),Sheet4!$A$1:$FE$75,HLOOKUP($W$1,伤害计算器!$AV$28:$BM$30,3,FALSE)+2,FALSE)</f>
        <v>0</v>
      </c>
      <c r="X77" s="9">
        <f>VLOOKUP(HLOOKUP("普",Sheet4!$A$1:$FE$75,S77+1,FALSE),Sheet4!$A$1:$FE$75,HLOOKUP($W$1,伤害计算器!$AV$28:$BM$30,3,FALSE)+3,FALSE)</f>
        <v>0</v>
      </c>
      <c r="Y77" s="9">
        <f>VLOOKUP(HLOOKUP("普",Sheet4!$A$1:$FE$75,S77+1,FALSE),Sheet4!$A$1:$FE$75,HLOOKUP($W$1,伤害计算器!$AV$28:$BM$30,3,FALSE)+4,FALSE)</f>
        <v>0</v>
      </c>
      <c r="Z77" s="10">
        <f>VLOOKUP(HLOOKUP("普",Sheet4!$A$1:$FE$75,S77+1,FALSE),Sheet4!$A$1:$FE$75,HLOOKUP($W$1,伤害计算器!$AV$28:$BM$30,3,FALSE)+5,FALSE)</f>
        <v>0</v>
      </c>
      <c r="AA77" s="12">
        <f>VLOOKUP(HLOOKUP("普",Sheet4!$A$1:$FE$75,S77+1,FALSE),Sheet4!$A$1:$FE$75,HLOOKUP($W$1,伤害计算器!$AV$28:$BM$30,3,FALSE)+6,FALSE)</f>
        <v>0</v>
      </c>
      <c r="AB77" s="12"/>
      <c r="AC77" s="12"/>
      <c r="AD77" s="12"/>
      <c r="AE77" s="12"/>
      <c r="AF77" s="12"/>
      <c r="AG77" s="12"/>
      <c r="AH77">
        <f>VLOOKUP(HLOOKUP("普",Sheet4!$A$1:$FE$75,S77+1,FALSE),Sheet4!$A$1:$FF$75,HLOOKUP($W$1,伤害计算器!$AV$28:$BM$30,3,FALSE)+7,FALSE)</f>
        <v>0</v>
      </c>
    </row>
    <row r="78" spans="1:34">
      <c r="A78">
        <v>75</v>
      </c>
      <c r="B78" s="8" t="str">
        <f>IF(HLOOKUP(伤害计算器!$D$24,Sheet4!$A$1:$FE$85,A78+1,FALSE)=0," ",HLOOKUP(伤害计算器!$D$24,Sheet4!$A$1:$FE$85,A78+1,FALSE))</f>
        <v> </v>
      </c>
      <c r="C78" s="8">
        <f>VLOOKUP(HLOOKUP("普",Sheet4!$A$1:$FE$85,A78+1,FALSE),Sheet4!$A$1:$FE$85,HLOOKUP(伤害计算器!$D$24,伤害计算器!$AV$28:$BM$30,3,FALSE),FALSE)</f>
        <v>0</v>
      </c>
      <c r="D78" s="8">
        <f>VLOOKUP(HLOOKUP("普",Sheet4!$A$1:$FE$85,A78+1,FALSE),Sheet4!$A$1:$FE$85,HLOOKUP(伤害计算器!$D$24,伤害计算器!$AV$28:$BM$30,3,FALSE)+1,FALSE)</f>
        <v>0</v>
      </c>
      <c r="E78" s="8">
        <f>VLOOKUP(HLOOKUP("普",Sheet4!$A$1:$FE$85,A78+1,FALSE),Sheet4!$A$1:$FE$85,HLOOKUP(伤害计算器!$D$24,伤害计算器!$AV$28:$BM$30,3,FALSE)+2,FALSE)</f>
        <v>0</v>
      </c>
      <c r="F78" s="8">
        <f>VLOOKUP(HLOOKUP("普",Sheet4!$A$1:$FE$85,A78+1,FALSE),Sheet4!$A$1:$FE$85,HLOOKUP(伤害计算器!$D$24,伤害计算器!$AV$28:$BM$30,3,FALSE)+3,FALSE)</f>
        <v>0</v>
      </c>
      <c r="G78" s="8">
        <f>VLOOKUP(HLOOKUP("普",Sheet4!$A$1:$FE$85,A78+1,FALSE),Sheet4!$A$1:$FE$85,HLOOKUP(伤害计算器!$D$24,伤害计算器!$AV$28:$BM$30,3,FALSE)+4,FALSE)</f>
        <v>0</v>
      </c>
      <c r="H78" s="11">
        <f>VLOOKUP(HLOOKUP("普",Sheet4!$A$1:$FE$85,A78+1,FALSE),Sheet4!$A$1:$FE$85,HLOOKUP(伤害计算器!$D$24,伤害计算器!$AV$28:$BM$30,3,FALSE)+5,FALSE)</f>
        <v>0</v>
      </c>
      <c r="I78" s="12">
        <f>VLOOKUP(HLOOKUP("普",Sheet4!$A$1:$FE$85,A78+1,FALSE),Sheet4!$A$1:$FE$85,HLOOKUP(伤害计算器!$D$24,伤害计算器!$AV$28:$BM$30,3,FALSE)+6,FALSE)</f>
        <v>0</v>
      </c>
      <c r="J78" s="12"/>
      <c r="K78" s="12"/>
      <c r="L78" s="12"/>
      <c r="M78" s="12"/>
      <c r="N78" s="12"/>
      <c r="O78" s="12"/>
      <c r="P78" t="e">
        <f>VLOOKUP(HLOOKUP("普",Sheet4!$A$1:$FE$75,A78+1,FALSE),Sheet4!$A$1:$FF$75,HLOOKUP(伤害计算器!$D$24,伤害计算器!$AV$28:$BM$30,3,FALSE)+7,FALSE)</f>
        <v>#REF!</v>
      </c>
      <c r="S78">
        <v>75</v>
      </c>
      <c r="T78" s="8" t="str">
        <f>IF(HLOOKUP($W$1,Sheet4!$A$1:$FE$85,S78+1,FALSE)=0," ",HLOOKUP($W$1,Sheet4!$A$1:$FE$85,S78+1,FALSE))</f>
        <v> </v>
      </c>
      <c r="U78" s="8">
        <f>VLOOKUP(HLOOKUP("普",Sheet4!$A$1:$FE$85,S78+1,FALSE),Sheet4!$A$1:$FE$85,HLOOKUP($W$1,伤害计算器!$AV$28:$BM$30,3,FALSE),FALSE)</f>
        <v>0</v>
      </c>
      <c r="V78" s="8">
        <f>VLOOKUP(HLOOKUP("普",Sheet4!$A$1:$FE$85,S78+1,FALSE),Sheet4!$A$1:$FE$85,HLOOKUP($W$1,伤害计算器!$AV$28:$BM$30,3,FALSE)+1,FALSE)</f>
        <v>0</v>
      </c>
      <c r="W78" s="9">
        <f>VLOOKUP(HLOOKUP("普",Sheet4!$A$1:$FE$85,S78+1,FALSE),Sheet4!$A$1:$FE$85,HLOOKUP($W$1,伤害计算器!$AV$28:$BM$30,3,FALSE)+2,FALSE)</f>
        <v>0</v>
      </c>
      <c r="X78" s="9">
        <f>VLOOKUP(HLOOKUP("普",Sheet4!$A$1:$FE$85,S78+1,FALSE),Sheet4!$A$1:$FE$85,HLOOKUP($W$1,伤害计算器!$AV$28:$BM$30,3,FALSE)+3,FALSE)</f>
        <v>0</v>
      </c>
      <c r="Y78" s="9">
        <f>VLOOKUP(HLOOKUP("普",Sheet4!$A$1:$FE$85,S78+1,FALSE),Sheet4!$A$1:$FE$85,HLOOKUP($W$1,伤害计算器!$AV$28:$BM$30,3,FALSE)+4,FALSE)</f>
        <v>0</v>
      </c>
      <c r="Z78" s="10">
        <f>VLOOKUP(HLOOKUP("普",Sheet4!$A$1:$FE$85,S78+1,FALSE),Sheet4!$A$1:$FE$85,HLOOKUP($W$1,伤害计算器!$AV$28:$BM$30,3,FALSE)+5,FALSE)</f>
        <v>0</v>
      </c>
      <c r="AA78" s="12">
        <f>VLOOKUP(HLOOKUP("普",Sheet4!$A$1:$FE$85,S78+1,FALSE),Sheet4!$A$1:$FE$85,HLOOKUP($W$1,伤害计算器!$AV$28:$BM$30,3,FALSE)+6,FALSE)</f>
        <v>0</v>
      </c>
      <c r="AB78" s="12"/>
      <c r="AC78" s="12"/>
      <c r="AD78" s="12"/>
      <c r="AE78" s="12"/>
      <c r="AF78" s="12"/>
      <c r="AG78" s="12"/>
      <c r="AH78" t="e">
        <f>VLOOKUP(HLOOKUP("普",Sheet4!$A$1:$FE$75,S78+1,FALSE),Sheet4!$A$1:$FF$75,HLOOKUP($W$1,伤害计算器!$AV$28:$BM$30,3,FALSE)+7,FALSE)</f>
        <v>#REF!</v>
      </c>
    </row>
    <row r="79" spans="1:34">
      <c r="A79">
        <v>76</v>
      </c>
      <c r="B79" s="8" t="str">
        <f>IF(HLOOKUP(伤害计算器!$D$24,Sheet4!$A$1:$FE$85,A79+1,FALSE)=0," ",HLOOKUP(伤害计算器!$D$24,Sheet4!$A$1:$FE$85,A79+1,FALSE))</f>
        <v> </v>
      </c>
      <c r="C79" s="8">
        <f>VLOOKUP(HLOOKUP("普",Sheet4!$A$1:$FE$85,A79+1,FALSE),Sheet4!$A$1:$FE$85,HLOOKUP(伤害计算器!$D$24,伤害计算器!$AV$28:$BM$30,3,FALSE),FALSE)</f>
        <v>0</v>
      </c>
      <c r="D79" s="8">
        <f>VLOOKUP(HLOOKUP("普",Sheet4!$A$1:$FE$85,A79+1,FALSE),Sheet4!$A$1:$FE$85,HLOOKUP(伤害计算器!$D$24,伤害计算器!$AV$28:$BM$30,3,FALSE)+1,FALSE)</f>
        <v>0</v>
      </c>
      <c r="E79" s="8">
        <f>VLOOKUP(HLOOKUP("普",Sheet4!$A$1:$FE$85,A79+1,FALSE),Sheet4!$A$1:$FE$85,HLOOKUP(伤害计算器!$D$24,伤害计算器!$AV$28:$BM$30,3,FALSE)+2,FALSE)</f>
        <v>0</v>
      </c>
      <c r="F79" s="8">
        <f>VLOOKUP(HLOOKUP("普",Sheet4!$A$1:$FE$85,A79+1,FALSE),Sheet4!$A$1:$FE$85,HLOOKUP(伤害计算器!$D$24,伤害计算器!$AV$28:$BM$30,3,FALSE)+3,FALSE)</f>
        <v>0</v>
      </c>
      <c r="G79" s="8">
        <f>VLOOKUP(HLOOKUP("普",Sheet4!$A$1:$FE$85,A79+1,FALSE),Sheet4!$A$1:$FE$85,HLOOKUP(伤害计算器!$D$24,伤害计算器!$AV$28:$BM$30,3,FALSE)+4,FALSE)</f>
        <v>0</v>
      </c>
      <c r="H79" s="11">
        <f>VLOOKUP(HLOOKUP("普",Sheet4!$A$1:$FE$85,A79+1,FALSE),Sheet4!$A$1:$FE$85,HLOOKUP(伤害计算器!$D$24,伤害计算器!$AV$28:$BM$30,3,FALSE)+5,FALSE)</f>
        <v>0</v>
      </c>
      <c r="I79" s="12">
        <f>VLOOKUP(HLOOKUP("普",Sheet4!$A$1:$FE$85,A79+1,FALSE),Sheet4!$A$1:$FE$85,HLOOKUP(伤害计算器!$D$24,伤害计算器!$AV$28:$BM$30,3,FALSE)+6,FALSE)</f>
        <v>0</v>
      </c>
      <c r="J79" s="12"/>
      <c r="K79" s="12"/>
      <c r="L79" s="12"/>
      <c r="M79" s="12"/>
      <c r="N79" s="12"/>
      <c r="O79" s="12"/>
      <c r="P79" t="e">
        <f>VLOOKUP(HLOOKUP("普",Sheet4!$A$1:$FE$75,A79+1,FALSE),Sheet4!$A$1:$FF$75,HLOOKUP(伤害计算器!$D$24,伤害计算器!$AV$28:$BM$30,3,FALSE)+7,FALSE)</f>
        <v>#REF!</v>
      </c>
      <c r="S79">
        <v>76</v>
      </c>
      <c r="T79" s="8" t="str">
        <f>IF(HLOOKUP($W$1,Sheet4!$A$1:$FE$85,S79+1,FALSE)=0," ",HLOOKUP($W$1,Sheet4!$A$1:$FE$85,S79+1,FALSE))</f>
        <v> </v>
      </c>
      <c r="U79" s="8">
        <f>VLOOKUP(HLOOKUP("普",Sheet4!$A$1:$FE$85,S79+1,FALSE),Sheet4!$A$1:$FE$85,HLOOKUP($W$1,伤害计算器!$AV$28:$BM$30,3,FALSE),FALSE)</f>
        <v>0</v>
      </c>
      <c r="V79" s="8">
        <f>VLOOKUP(HLOOKUP("普",Sheet4!$A$1:$FE$85,S79+1,FALSE),Sheet4!$A$1:$FE$85,HLOOKUP($W$1,伤害计算器!$AV$28:$BM$30,3,FALSE)+1,FALSE)</f>
        <v>0</v>
      </c>
      <c r="W79" s="9">
        <f>VLOOKUP(HLOOKUP("普",Sheet4!$A$1:$FE$85,S79+1,FALSE),Sheet4!$A$1:$FE$85,HLOOKUP($W$1,伤害计算器!$AV$28:$BM$30,3,FALSE)+2,FALSE)</f>
        <v>0</v>
      </c>
      <c r="X79" s="9">
        <f>VLOOKUP(HLOOKUP("普",Sheet4!$A$1:$FE$85,S79+1,FALSE),Sheet4!$A$1:$FE$85,HLOOKUP($W$1,伤害计算器!$AV$28:$BM$30,3,FALSE)+3,FALSE)</f>
        <v>0</v>
      </c>
      <c r="Y79" s="9">
        <f>VLOOKUP(HLOOKUP("普",Sheet4!$A$1:$FE$85,S79+1,FALSE),Sheet4!$A$1:$FE$85,HLOOKUP($W$1,伤害计算器!$AV$28:$BM$30,3,FALSE)+4,FALSE)</f>
        <v>0</v>
      </c>
      <c r="Z79" s="10">
        <f>VLOOKUP(HLOOKUP("普",Sheet4!$A$1:$FE$85,S79+1,FALSE),Sheet4!$A$1:$FE$85,HLOOKUP($W$1,伤害计算器!$AV$28:$BM$30,3,FALSE)+5,FALSE)</f>
        <v>0</v>
      </c>
      <c r="AA79" s="12">
        <f>VLOOKUP(HLOOKUP("普",Sheet4!$A$1:$FE$85,S79+1,FALSE),Sheet4!$A$1:$FE$85,HLOOKUP($W$1,伤害计算器!$AV$28:$BM$30,3,FALSE)+6,FALSE)</f>
        <v>0</v>
      </c>
      <c r="AB79" s="12"/>
      <c r="AC79" s="12"/>
      <c r="AD79" s="12"/>
      <c r="AE79" s="12"/>
      <c r="AF79" s="12"/>
      <c r="AG79" s="12"/>
      <c r="AH79" t="e">
        <f>VLOOKUP(HLOOKUP("普",Sheet4!$A$1:$FE$75,S79+1,FALSE),Sheet4!$A$1:$FF$75,HLOOKUP($W$1,伤害计算器!$AV$28:$BM$30,3,FALSE)+7,FALSE)</f>
        <v>#REF!</v>
      </c>
    </row>
    <row r="80" spans="1:34">
      <c r="A80">
        <v>77</v>
      </c>
      <c r="B80" s="8" t="str">
        <f>IF(HLOOKUP(伤害计算器!$D$24,Sheet4!$A$1:$FE$85,A80+1,FALSE)=0," ",HLOOKUP(伤害计算器!$D$24,Sheet4!$A$1:$FE$85,A80+1,FALSE))</f>
        <v> </v>
      </c>
      <c r="C80" s="8">
        <f>VLOOKUP(HLOOKUP("普",Sheet4!$A$1:$FE$85,A80+1,FALSE),Sheet4!$A$1:$FE$85,HLOOKUP(伤害计算器!$D$24,伤害计算器!$AV$28:$BM$30,3,FALSE),FALSE)</f>
        <v>0</v>
      </c>
      <c r="D80" s="8">
        <f>VLOOKUP(HLOOKUP("普",Sheet4!$A$1:$FE$85,A80+1,FALSE),Sheet4!$A$1:$FE$85,HLOOKUP(伤害计算器!$D$24,伤害计算器!$AV$28:$BM$30,3,FALSE)+1,FALSE)</f>
        <v>0</v>
      </c>
      <c r="E80" s="8">
        <f>VLOOKUP(HLOOKUP("普",Sheet4!$A$1:$FE$85,A80+1,FALSE),Sheet4!$A$1:$FE$85,HLOOKUP(伤害计算器!$D$24,伤害计算器!$AV$28:$BM$30,3,FALSE)+2,FALSE)</f>
        <v>0</v>
      </c>
      <c r="F80" s="8">
        <f>VLOOKUP(HLOOKUP("普",Sheet4!$A$1:$FE$85,A80+1,FALSE),Sheet4!$A$1:$FE$85,HLOOKUP(伤害计算器!$D$24,伤害计算器!$AV$28:$BM$30,3,FALSE)+3,FALSE)</f>
        <v>0</v>
      </c>
      <c r="G80" s="8">
        <f>VLOOKUP(HLOOKUP("普",Sheet4!$A$1:$FE$85,A80+1,FALSE),Sheet4!$A$1:$FE$85,HLOOKUP(伤害计算器!$D$24,伤害计算器!$AV$28:$BM$30,3,FALSE)+4,FALSE)</f>
        <v>0</v>
      </c>
      <c r="H80" s="11">
        <f>VLOOKUP(HLOOKUP("普",Sheet4!$A$1:$FE$85,A80+1,FALSE),Sheet4!$A$1:$FE$85,HLOOKUP(伤害计算器!$D$24,伤害计算器!$AV$28:$BM$30,3,FALSE)+5,FALSE)</f>
        <v>0</v>
      </c>
      <c r="I80" s="12">
        <f>VLOOKUP(HLOOKUP("普",Sheet4!$A$1:$FE$85,A80+1,FALSE),Sheet4!$A$1:$FE$85,HLOOKUP(伤害计算器!$D$24,伤害计算器!$AV$28:$BM$30,3,FALSE)+6,FALSE)</f>
        <v>0</v>
      </c>
      <c r="J80" s="12"/>
      <c r="K80" s="12"/>
      <c r="L80" s="12"/>
      <c r="M80" s="12"/>
      <c r="N80" s="12"/>
      <c r="O80" s="12"/>
      <c r="P80" t="e">
        <f>VLOOKUP(HLOOKUP("普",Sheet4!$A$1:$FE$75,A80+1,FALSE),Sheet4!$A$1:$FF$75,HLOOKUP(伤害计算器!$D$24,伤害计算器!$AV$28:$BM$30,3,FALSE)+7,FALSE)</f>
        <v>#REF!</v>
      </c>
      <c r="S80">
        <v>77</v>
      </c>
      <c r="T80" s="8" t="str">
        <f>IF(HLOOKUP($W$1,Sheet4!$A$1:$FE$85,S80+1,FALSE)=0," ",HLOOKUP($W$1,Sheet4!$A$1:$FE$85,S80+1,FALSE))</f>
        <v> </v>
      </c>
      <c r="U80" s="8">
        <f>VLOOKUP(HLOOKUP("普",Sheet4!$A$1:$FE$85,S80+1,FALSE),Sheet4!$A$1:$FE$85,HLOOKUP($W$1,伤害计算器!$AV$28:$BM$30,3,FALSE),FALSE)</f>
        <v>0</v>
      </c>
      <c r="V80" s="8">
        <f>VLOOKUP(HLOOKUP("普",Sheet4!$A$1:$FE$85,S80+1,FALSE),Sheet4!$A$1:$FE$85,HLOOKUP($W$1,伤害计算器!$AV$28:$BM$30,3,FALSE)+1,FALSE)</f>
        <v>0</v>
      </c>
      <c r="W80" s="9">
        <f>VLOOKUP(HLOOKUP("普",Sheet4!$A$1:$FE$85,S80+1,FALSE),Sheet4!$A$1:$FE$85,HLOOKUP($W$1,伤害计算器!$AV$28:$BM$30,3,FALSE)+2,FALSE)</f>
        <v>0</v>
      </c>
      <c r="X80" s="9">
        <f>VLOOKUP(HLOOKUP("普",Sheet4!$A$1:$FE$85,S80+1,FALSE),Sheet4!$A$1:$FE$85,HLOOKUP($W$1,伤害计算器!$AV$28:$BM$30,3,FALSE)+3,FALSE)</f>
        <v>0</v>
      </c>
      <c r="Y80" s="9">
        <f>VLOOKUP(HLOOKUP("普",Sheet4!$A$1:$FE$85,S80+1,FALSE),Sheet4!$A$1:$FE$85,HLOOKUP($W$1,伤害计算器!$AV$28:$BM$30,3,FALSE)+4,FALSE)</f>
        <v>0</v>
      </c>
      <c r="Z80" s="10">
        <f>VLOOKUP(HLOOKUP("普",Sheet4!$A$1:$FE$85,S80+1,FALSE),Sheet4!$A$1:$FE$85,HLOOKUP($W$1,伤害计算器!$AV$28:$BM$30,3,FALSE)+5,FALSE)</f>
        <v>0</v>
      </c>
      <c r="AA80" s="12">
        <f>VLOOKUP(HLOOKUP("普",Sheet4!$A$1:$FE$85,S80+1,FALSE),Sheet4!$A$1:$FE$85,HLOOKUP($W$1,伤害计算器!$AV$28:$BM$30,3,FALSE)+6,FALSE)</f>
        <v>0</v>
      </c>
      <c r="AB80" s="12"/>
      <c r="AC80" s="12"/>
      <c r="AD80" s="12"/>
      <c r="AE80" s="12"/>
      <c r="AF80" s="12"/>
      <c r="AG80" s="12"/>
      <c r="AH80" t="e">
        <f>VLOOKUP(HLOOKUP("普",Sheet4!$A$1:$FE$75,S80+1,FALSE),Sheet4!$A$1:$FF$75,HLOOKUP($W$1,伤害计算器!$AV$28:$BM$30,3,FALSE)+7,FALSE)</f>
        <v>#REF!</v>
      </c>
    </row>
    <row r="81" spans="1:34">
      <c r="A81">
        <v>78</v>
      </c>
      <c r="B81" s="8" t="str">
        <f>IF(HLOOKUP(伤害计算器!$D$24,Sheet4!$A$1:$FE$85,A81+1,FALSE)=0," ",HLOOKUP(伤害计算器!$D$24,Sheet4!$A$1:$FE$85,A81+1,FALSE))</f>
        <v> </v>
      </c>
      <c r="C81" s="8">
        <f>VLOOKUP(HLOOKUP("普",Sheet4!$A$1:$FE$85,A81+1,FALSE),Sheet4!$A$1:$FE$85,HLOOKUP(伤害计算器!$D$24,伤害计算器!$AV$28:$BM$30,3,FALSE),FALSE)</f>
        <v>0</v>
      </c>
      <c r="D81" s="8">
        <f>VLOOKUP(HLOOKUP("普",Sheet4!$A$1:$FE$85,A81+1,FALSE),Sheet4!$A$1:$FE$85,HLOOKUP(伤害计算器!$D$24,伤害计算器!$AV$28:$BM$30,3,FALSE)+1,FALSE)</f>
        <v>0</v>
      </c>
      <c r="E81" s="8">
        <f>VLOOKUP(HLOOKUP("普",Sheet4!$A$1:$FE$85,A81+1,FALSE),Sheet4!$A$1:$FE$85,HLOOKUP(伤害计算器!$D$24,伤害计算器!$AV$28:$BM$30,3,FALSE)+2,FALSE)</f>
        <v>0</v>
      </c>
      <c r="F81" s="8">
        <f>VLOOKUP(HLOOKUP("普",Sheet4!$A$1:$FE$85,A81+1,FALSE),Sheet4!$A$1:$FE$85,HLOOKUP(伤害计算器!$D$24,伤害计算器!$AV$28:$BM$30,3,FALSE)+3,FALSE)</f>
        <v>0</v>
      </c>
      <c r="G81" s="8">
        <f>VLOOKUP(HLOOKUP("普",Sheet4!$A$1:$FE$85,A81+1,FALSE),Sheet4!$A$1:$FE$85,HLOOKUP(伤害计算器!$D$24,伤害计算器!$AV$28:$BM$30,3,FALSE)+4,FALSE)</f>
        <v>0</v>
      </c>
      <c r="H81" s="11">
        <f>VLOOKUP(HLOOKUP("普",Sheet4!$A$1:$FE$85,A81+1,FALSE),Sheet4!$A$1:$FE$85,HLOOKUP(伤害计算器!$D$24,伤害计算器!$AV$28:$BM$30,3,FALSE)+5,FALSE)</f>
        <v>0</v>
      </c>
      <c r="I81" s="12">
        <f>VLOOKUP(HLOOKUP("普",Sheet4!$A$1:$FE$85,A81+1,FALSE),Sheet4!$A$1:$FE$85,HLOOKUP(伤害计算器!$D$24,伤害计算器!$AV$28:$BM$30,3,FALSE)+6,FALSE)</f>
        <v>0</v>
      </c>
      <c r="J81" s="12"/>
      <c r="K81" s="12"/>
      <c r="L81" s="12"/>
      <c r="M81" s="12"/>
      <c r="N81" s="12"/>
      <c r="O81" s="12"/>
      <c r="P81" t="e">
        <f>VLOOKUP(HLOOKUP("普",Sheet4!$A$1:$FE$75,A81+1,FALSE),Sheet4!$A$1:$FF$75,HLOOKUP(伤害计算器!$D$24,伤害计算器!$AV$28:$BM$30,3,FALSE)+7,FALSE)</f>
        <v>#REF!</v>
      </c>
      <c r="S81">
        <v>78</v>
      </c>
      <c r="T81" s="8" t="str">
        <f>IF(HLOOKUP($W$1,Sheet4!$A$1:$FE$85,S81+1,FALSE)=0," ",HLOOKUP($W$1,Sheet4!$A$1:$FE$85,S81+1,FALSE))</f>
        <v> </v>
      </c>
      <c r="U81" s="8">
        <f>VLOOKUP(HLOOKUP("普",Sheet4!$A$1:$FE$85,S81+1,FALSE),Sheet4!$A$1:$FE$85,HLOOKUP($W$1,伤害计算器!$AV$28:$BM$30,3,FALSE),FALSE)</f>
        <v>0</v>
      </c>
      <c r="V81" s="8">
        <f>VLOOKUP(HLOOKUP("普",Sheet4!$A$1:$FE$85,S81+1,FALSE),Sheet4!$A$1:$FE$85,HLOOKUP($W$1,伤害计算器!$AV$28:$BM$30,3,FALSE)+1,FALSE)</f>
        <v>0</v>
      </c>
      <c r="W81" s="9">
        <f>VLOOKUP(HLOOKUP("普",Sheet4!$A$1:$FE$85,S81+1,FALSE),Sheet4!$A$1:$FE$85,HLOOKUP($W$1,伤害计算器!$AV$28:$BM$30,3,FALSE)+2,FALSE)</f>
        <v>0</v>
      </c>
      <c r="X81" s="9">
        <f>VLOOKUP(HLOOKUP("普",Sheet4!$A$1:$FE$85,S81+1,FALSE),Sheet4!$A$1:$FE$85,HLOOKUP($W$1,伤害计算器!$AV$28:$BM$30,3,FALSE)+3,FALSE)</f>
        <v>0</v>
      </c>
      <c r="Y81" s="9">
        <f>VLOOKUP(HLOOKUP("普",Sheet4!$A$1:$FE$85,S81+1,FALSE),Sheet4!$A$1:$FE$85,HLOOKUP($W$1,伤害计算器!$AV$28:$BM$30,3,FALSE)+4,FALSE)</f>
        <v>0</v>
      </c>
      <c r="Z81" s="10">
        <f>VLOOKUP(HLOOKUP("普",Sheet4!$A$1:$FE$85,S81+1,FALSE),Sheet4!$A$1:$FE$85,HLOOKUP($W$1,伤害计算器!$AV$28:$BM$30,3,FALSE)+5,FALSE)</f>
        <v>0</v>
      </c>
      <c r="AA81" s="12">
        <f>VLOOKUP(HLOOKUP("普",Sheet4!$A$1:$FE$85,S81+1,FALSE),Sheet4!$A$1:$FE$85,HLOOKUP($W$1,伤害计算器!$AV$28:$BM$30,3,FALSE)+6,FALSE)</f>
        <v>0</v>
      </c>
      <c r="AB81" s="12"/>
      <c r="AC81" s="12"/>
      <c r="AD81" s="12"/>
      <c r="AE81" s="12"/>
      <c r="AF81" s="12"/>
      <c r="AG81" s="12"/>
      <c r="AH81" t="e">
        <f>VLOOKUP(HLOOKUP("普",Sheet4!$A$1:$FE$75,S81+1,FALSE),Sheet4!$A$1:$FF$75,HLOOKUP($W$1,伤害计算器!$AV$28:$BM$30,3,FALSE)+7,FALSE)</f>
        <v>#REF!</v>
      </c>
    </row>
    <row r="82" spans="1:34">
      <c r="A82">
        <v>79</v>
      </c>
      <c r="B82" s="8" t="str">
        <f>IF(HLOOKUP(伤害计算器!$D$24,Sheet4!$A$1:$FE$85,A82+1,FALSE)=0," ",HLOOKUP(伤害计算器!$D$24,Sheet4!$A$1:$FE$85,A82+1,FALSE))</f>
        <v> </v>
      </c>
      <c r="C82" s="8">
        <f>VLOOKUP(HLOOKUP("普",Sheet4!$A$1:$FE$85,A82+1,FALSE),Sheet4!$A$1:$FE$85,HLOOKUP(伤害计算器!$D$24,伤害计算器!$AV$28:$BM$30,3,FALSE),FALSE)</f>
        <v>0</v>
      </c>
      <c r="D82" s="8">
        <f>VLOOKUP(HLOOKUP("普",Sheet4!$A$1:$FE$85,A82+1,FALSE),Sheet4!$A$1:$FE$85,HLOOKUP(伤害计算器!$D$24,伤害计算器!$AV$28:$BM$30,3,FALSE)+1,FALSE)</f>
        <v>0</v>
      </c>
      <c r="E82" s="8">
        <f>VLOOKUP(HLOOKUP("普",Sheet4!$A$1:$FE$85,A82+1,FALSE),Sheet4!$A$1:$FE$85,HLOOKUP(伤害计算器!$D$24,伤害计算器!$AV$28:$BM$30,3,FALSE)+2,FALSE)</f>
        <v>0</v>
      </c>
      <c r="F82" s="8">
        <f>VLOOKUP(HLOOKUP("普",Sheet4!$A$1:$FE$85,A82+1,FALSE),Sheet4!$A$1:$FE$85,HLOOKUP(伤害计算器!$D$24,伤害计算器!$AV$28:$BM$30,3,FALSE)+3,FALSE)</f>
        <v>0</v>
      </c>
      <c r="G82" s="8">
        <f>VLOOKUP(HLOOKUP("普",Sheet4!$A$1:$FE$85,A82+1,FALSE),Sheet4!$A$1:$FE$85,HLOOKUP(伤害计算器!$D$24,伤害计算器!$AV$28:$BM$30,3,FALSE)+4,FALSE)</f>
        <v>0</v>
      </c>
      <c r="H82" s="11">
        <f>VLOOKUP(HLOOKUP("普",Sheet4!$A$1:$FE$85,A82+1,FALSE),Sheet4!$A$1:$FE$85,HLOOKUP(伤害计算器!$D$24,伤害计算器!$AV$28:$BM$30,3,FALSE)+5,FALSE)</f>
        <v>0</v>
      </c>
      <c r="I82" s="12">
        <f>VLOOKUP(HLOOKUP("普",Sheet4!$A$1:$FE$85,A82+1,FALSE),Sheet4!$A$1:$FE$85,HLOOKUP(伤害计算器!$D$24,伤害计算器!$AV$28:$BM$30,3,FALSE)+6,FALSE)</f>
        <v>0</v>
      </c>
      <c r="J82" s="12"/>
      <c r="K82" s="12"/>
      <c r="L82" s="12"/>
      <c r="M82" s="12"/>
      <c r="N82" s="12"/>
      <c r="O82" s="12"/>
      <c r="P82" t="e">
        <f>VLOOKUP(HLOOKUP("普",Sheet4!$A$1:$FE$75,A82+1,FALSE),Sheet4!$A$1:$FF$75,HLOOKUP(伤害计算器!$D$24,伤害计算器!$AV$28:$BM$30,3,FALSE)+7,FALSE)</f>
        <v>#REF!</v>
      </c>
      <c r="S82">
        <v>79</v>
      </c>
      <c r="T82" s="8" t="str">
        <f>IF(HLOOKUP($W$1,Sheet4!$A$1:$FE$85,S82+1,FALSE)=0," ",HLOOKUP($W$1,Sheet4!$A$1:$FE$85,S82+1,FALSE))</f>
        <v> </v>
      </c>
      <c r="U82" s="8">
        <f>VLOOKUP(HLOOKUP("普",Sheet4!$A$1:$FE$85,S82+1,FALSE),Sheet4!$A$1:$FE$85,HLOOKUP($W$1,伤害计算器!$AV$28:$BM$30,3,FALSE),FALSE)</f>
        <v>0</v>
      </c>
      <c r="V82" s="8">
        <f>VLOOKUP(HLOOKUP("普",Sheet4!$A$1:$FE$85,S82+1,FALSE),Sheet4!$A$1:$FE$85,HLOOKUP($W$1,伤害计算器!$AV$28:$BM$30,3,FALSE)+1,FALSE)</f>
        <v>0</v>
      </c>
      <c r="W82" s="9">
        <f>VLOOKUP(HLOOKUP("普",Sheet4!$A$1:$FE$85,S82+1,FALSE),Sheet4!$A$1:$FE$85,HLOOKUP($W$1,伤害计算器!$AV$28:$BM$30,3,FALSE)+2,FALSE)</f>
        <v>0</v>
      </c>
      <c r="X82" s="9">
        <f>VLOOKUP(HLOOKUP("普",Sheet4!$A$1:$FE$85,S82+1,FALSE),Sheet4!$A$1:$FE$85,HLOOKUP($W$1,伤害计算器!$AV$28:$BM$30,3,FALSE)+3,FALSE)</f>
        <v>0</v>
      </c>
      <c r="Y82" s="9">
        <f>VLOOKUP(HLOOKUP("普",Sheet4!$A$1:$FE$85,S82+1,FALSE),Sheet4!$A$1:$FE$85,HLOOKUP($W$1,伤害计算器!$AV$28:$BM$30,3,FALSE)+4,FALSE)</f>
        <v>0</v>
      </c>
      <c r="Z82" s="10">
        <f>VLOOKUP(HLOOKUP("普",Sheet4!$A$1:$FE$85,S82+1,FALSE),Sheet4!$A$1:$FE$85,HLOOKUP($W$1,伤害计算器!$AV$28:$BM$30,3,FALSE)+5,FALSE)</f>
        <v>0</v>
      </c>
      <c r="AA82" s="12">
        <f>VLOOKUP(HLOOKUP("普",Sheet4!$A$1:$FE$85,S82+1,FALSE),Sheet4!$A$1:$FE$85,HLOOKUP($W$1,伤害计算器!$AV$28:$BM$30,3,FALSE)+6,FALSE)</f>
        <v>0</v>
      </c>
      <c r="AB82" s="12"/>
      <c r="AC82" s="12"/>
      <c r="AD82" s="12"/>
      <c r="AE82" s="12"/>
      <c r="AF82" s="12"/>
      <c r="AG82" s="12"/>
      <c r="AH82" t="e">
        <f>VLOOKUP(HLOOKUP("普",Sheet4!$A$1:$FE$75,S82+1,FALSE),Sheet4!$A$1:$FF$75,HLOOKUP($W$1,伤害计算器!$AV$28:$BM$30,3,FALSE)+7,FALSE)</f>
        <v>#REF!</v>
      </c>
    </row>
    <row r="83" spans="1:34">
      <c r="A83">
        <v>80</v>
      </c>
      <c r="B83" s="8" t="str">
        <f>IF(HLOOKUP(伤害计算器!$D$24,Sheet4!$A$1:$FE$85,A83+1,FALSE)=0," ",HLOOKUP(伤害计算器!$D$24,Sheet4!$A$1:$FE$85,A83+1,FALSE))</f>
        <v> </v>
      </c>
      <c r="C83" s="8">
        <f>VLOOKUP(HLOOKUP("普",Sheet4!$A$1:$FE$85,A83+1,FALSE),Sheet4!$A$1:$FE$85,HLOOKUP(伤害计算器!$D$24,伤害计算器!$AV$28:$BM$30,3,FALSE),FALSE)</f>
        <v>0</v>
      </c>
      <c r="D83" s="8">
        <f>VLOOKUP(HLOOKUP("普",Sheet4!$A$1:$FE$85,A83+1,FALSE),Sheet4!$A$1:$FE$85,HLOOKUP(伤害计算器!$D$24,伤害计算器!$AV$28:$BM$30,3,FALSE)+1,FALSE)</f>
        <v>0</v>
      </c>
      <c r="E83" s="8">
        <f>VLOOKUP(HLOOKUP("普",Sheet4!$A$1:$FE$85,A83+1,FALSE),Sheet4!$A$1:$FE$85,HLOOKUP(伤害计算器!$D$24,伤害计算器!$AV$28:$BM$30,3,FALSE)+2,FALSE)</f>
        <v>0</v>
      </c>
      <c r="F83" s="8">
        <f>VLOOKUP(HLOOKUP("普",Sheet4!$A$1:$FE$85,A83+1,FALSE),Sheet4!$A$1:$FE$85,HLOOKUP(伤害计算器!$D$24,伤害计算器!$AV$28:$BM$30,3,FALSE)+3,FALSE)</f>
        <v>0</v>
      </c>
      <c r="G83" s="8">
        <f>VLOOKUP(HLOOKUP("普",Sheet4!$A$1:$FE$85,A83+1,FALSE),Sheet4!$A$1:$FE$85,HLOOKUP(伤害计算器!$D$24,伤害计算器!$AV$28:$BM$30,3,FALSE)+4,FALSE)</f>
        <v>0</v>
      </c>
      <c r="H83" s="11">
        <f>VLOOKUP(HLOOKUP("普",Sheet4!$A$1:$FE$85,A83+1,FALSE),Sheet4!$A$1:$FE$85,HLOOKUP(伤害计算器!$D$24,伤害计算器!$AV$28:$BM$30,3,FALSE)+5,FALSE)</f>
        <v>0</v>
      </c>
      <c r="I83" s="12">
        <f>VLOOKUP(HLOOKUP("普",Sheet4!$A$1:$FE$85,A83+1,FALSE),Sheet4!$A$1:$FE$85,HLOOKUP(伤害计算器!$D$24,伤害计算器!$AV$28:$BM$30,3,FALSE)+6,FALSE)</f>
        <v>0</v>
      </c>
      <c r="J83" s="12"/>
      <c r="K83" s="12"/>
      <c r="L83" s="12"/>
      <c r="M83" s="12"/>
      <c r="N83" s="12"/>
      <c r="O83" s="12"/>
      <c r="P83" t="e">
        <f>VLOOKUP(HLOOKUP("普",Sheet4!$A$1:$FE$75,A83+1,FALSE),Sheet4!$A$1:$FF$75,HLOOKUP(伤害计算器!$D$24,伤害计算器!$AV$28:$BM$30,3,FALSE)+7,FALSE)</f>
        <v>#REF!</v>
      </c>
      <c r="S83">
        <v>80</v>
      </c>
      <c r="T83" s="8" t="str">
        <f>IF(HLOOKUP($W$1,Sheet4!$A$1:$FE$85,S83+1,FALSE)=0," ",HLOOKUP($W$1,Sheet4!$A$1:$FE$85,S83+1,FALSE))</f>
        <v> </v>
      </c>
      <c r="U83" s="8">
        <f>VLOOKUP(HLOOKUP("普",Sheet4!$A$1:$FE$85,S83+1,FALSE),Sheet4!$A$1:$FE$85,HLOOKUP($W$1,伤害计算器!$AV$28:$BM$30,3,FALSE),FALSE)</f>
        <v>0</v>
      </c>
      <c r="V83" s="8">
        <f>VLOOKUP(HLOOKUP("普",Sheet4!$A$1:$FE$85,S83+1,FALSE),Sheet4!$A$1:$FE$85,HLOOKUP($W$1,伤害计算器!$AV$28:$BM$30,3,FALSE)+1,FALSE)</f>
        <v>0</v>
      </c>
      <c r="W83" s="9">
        <f>VLOOKUP(HLOOKUP("普",Sheet4!$A$1:$FE$85,S83+1,FALSE),Sheet4!$A$1:$FE$85,HLOOKUP($W$1,伤害计算器!$AV$28:$BM$30,3,FALSE)+2,FALSE)</f>
        <v>0</v>
      </c>
      <c r="X83" s="9">
        <f>VLOOKUP(HLOOKUP("普",Sheet4!$A$1:$FE$85,S83+1,FALSE),Sheet4!$A$1:$FE$85,HLOOKUP($W$1,伤害计算器!$AV$28:$BM$30,3,FALSE)+3,FALSE)</f>
        <v>0</v>
      </c>
      <c r="Y83" s="9">
        <f>VLOOKUP(HLOOKUP("普",Sheet4!$A$1:$FE$85,S83+1,FALSE),Sheet4!$A$1:$FE$85,HLOOKUP($W$1,伤害计算器!$AV$28:$BM$30,3,FALSE)+4,FALSE)</f>
        <v>0</v>
      </c>
      <c r="Z83" s="10">
        <f>VLOOKUP(HLOOKUP("普",Sheet4!$A$1:$FE$85,S83+1,FALSE),Sheet4!$A$1:$FE$85,HLOOKUP($W$1,伤害计算器!$AV$28:$BM$30,3,FALSE)+5,FALSE)</f>
        <v>0</v>
      </c>
      <c r="AA83" s="12">
        <f>VLOOKUP(HLOOKUP("普",Sheet4!$A$1:$FE$85,S83+1,FALSE),Sheet4!$A$1:$FE$85,HLOOKUP($W$1,伤害计算器!$AV$28:$BM$30,3,FALSE)+6,FALSE)</f>
        <v>0</v>
      </c>
      <c r="AB83" s="12"/>
      <c r="AC83" s="12"/>
      <c r="AD83" s="12"/>
      <c r="AE83" s="12"/>
      <c r="AF83" s="12"/>
      <c r="AG83" s="12"/>
      <c r="AH83" t="e">
        <f>VLOOKUP(HLOOKUP("普",Sheet4!$A$1:$FE$75,S83+1,FALSE),Sheet4!$A$1:$FF$75,HLOOKUP($W$1,伤害计算器!$AV$28:$BM$30,3,FALSE)+7,FALSE)</f>
        <v>#REF!</v>
      </c>
    </row>
    <row r="84" spans="1:34">
      <c r="A84">
        <v>81</v>
      </c>
      <c r="B84" s="8" t="str">
        <f>IF(HLOOKUP(伤害计算器!$D$24,Sheet4!$A$1:$FE$85,A84+1,FALSE)=0," ",HLOOKUP(伤害计算器!$D$24,Sheet4!$A$1:$FE$85,A84+1,FALSE))</f>
        <v> </v>
      </c>
      <c r="C84" s="8">
        <f>VLOOKUP(HLOOKUP("普",Sheet4!$A$1:$FE$85,A84+1,FALSE),Sheet4!$A$1:$FE$85,HLOOKUP(伤害计算器!$D$24,伤害计算器!$AV$28:$BM$30,3,FALSE),FALSE)</f>
        <v>0</v>
      </c>
      <c r="D84" s="8">
        <f>VLOOKUP(HLOOKUP("普",Sheet4!$A$1:$FE$85,A84+1,FALSE),Sheet4!$A$1:$FE$85,HLOOKUP(伤害计算器!$D$24,伤害计算器!$AV$28:$BM$30,3,FALSE)+1,FALSE)</f>
        <v>0</v>
      </c>
      <c r="E84" s="8">
        <f>VLOOKUP(HLOOKUP("普",Sheet4!$A$1:$FE$85,A84+1,FALSE),Sheet4!$A$1:$FE$85,HLOOKUP(伤害计算器!$D$24,伤害计算器!$AV$28:$BM$30,3,FALSE)+2,FALSE)</f>
        <v>0</v>
      </c>
      <c r="F84" s="8">
        <f>VLOOKUP(HLOOKUP("普",Sheet4!$A$1:$FE$85,A84+1,FALSE),Sheet4!$A$1:$FE$85,HLOOKUP(伤害计算器!$D$24,伤害计算器!$AV$28:$BM$30,3,FALSE)+3,FALSE)</f>
        <v>0</v>
      </c>
      <c r="G84" s="8">
        <f>VLOOKUP(HLOOKUP("普",Sheet4!$A$1:$FE$85,A84+1,FALSE),Sheet4!$A$1:$FE$85,HLOOKUP(伤害计算器!$D$24,伤害计算器!$AV$28:$BM$30,3,FALSE)+4,FALSE)</f>
        <v>0</v>
      </c>
      <c r="H84" s="11">
        <f>VLOOKUP(HLOOKUP("普",Sheet4!$A$1:$FE$85,A84+1,FALSE),Sheet4!$A$1:$FE$85,HLOOKUP(伤害计算器!$D$24,伤害计算器!$AV$28:$BM$30,3,FALSE)+5,FALSE)</f>
        <v>0</v>
      </c>
      <c r="I84" s="12">
        <f>VLOOKUP(HLOOKUP("普",Sheet4!$A$1:$FE$85,A84+1,FALSE),Sheet4!$A$1:$FE$85,HLOOKUP(伤害计算器!$D$24,伤害计算器!$AV$28:$BM$30,3,FALSE)+6,FALSE)</f>
        <v>0</v>
      </c>
      <c r="J84" s="12"/>
      <c r="K84" s="12"/>
      <c r="L84" s="12"/>
      <c r="M84" s="12"/>
      <c r="N84" s="12"/>
      <c r="O84" s="12"/>
      <c r="P84" t="e">
        <f>VLOOKUP(HLOOKUP("普",Sheet4!$A$1:$FE$75,A84+1,FALSE),Sheet4!$A$1:$FF$75,HLOOKUP(伤害计算器!$D$24,伤害计算器!$AV$28:$BM$30,3,FALSE)+7,FALSE)</f>
        <v>#REF!</v>
      </c>
      <c r="S84">
        <v>81</v>
      </c>
      <c r="T84" s="8" t="str">
        <f>IF(HLOOKUP($W$1,Sheet4!$A$1:$FE$85,S84+1,FALSE)=0," ",HLOOKUP($W$1,Sheet4!$A$1:$FE$85,S84+1,FALSE))</f>
        <v> </v>
      </c>
      <c r="U84" s="8">
        <f>VLOOKUP(HLOOKUP("普",Sheet4!$A$1:$FE$85,S84+1,FALSE),Sheet4!$A$1:$FE$85,HLOOKUP($W$1,伤害计算器!$AV$28:$BM$30,3,FALSE),FALSE)</f>
        <v>0</v>
      </c>
      <c r="V84" s="8">
        <f>VLOOKUP(HLOOKUP("普",Sheet4!$A$1:$FE$85,S84+1,FALSE),Sheet4!$A$1:$FE$85,HLOOKUP($W$1,伤害计算器!$AV$28:$BM$30,3,FALSE)+1,FALSE)</f>
        <v>0</v>
      </c>
      <c r="W84" s="9">
        <f>VLOOKUP(HLOOKUP("普",Sheet4!$A$1:$FE$85,S84+1,FALSE),Sheet4!$A$1:$FE$85,HLOOKUP($W$1,伤害计算器!$AV$28:$BM$30,3,FALSE)+2,FALSE)</f>
        <v>0</v>
      </c>
      <c r="X84" s="9">
        <f>VLOOKUP(HLOOKUP("普",Sheet4!$A$1:$FE$85,S84+1,FALSE),Sheet4!$A$1:$FE$85,HLOOKUP($W$1,伤害计算器!$AV$28:$BM$30,3,FALSE)+3,FALSE)</f>
        <v>0</v>
      </c>
      <c r="Y84" s="9">
        <f>VLOOKUP(HLOOKUP("普",Sheet4!$A$1:$FE$85,S84+1,FALSE),Sheet4!$A$1:$FE$85,HLOOKUP($W$1,伤害计算器!$AV$28:$BM$30,3,FALSE)+4,FALSE)</f>
        <v>0</v>
      </c>
      <c r="Z84" s="10">
        <f>VLOOKUP(HLOOKUP("普",Sheet4!$A$1:$FE$85,S84+1,FALSE),Sheet4!$A$1:$FE$85,HLOOKUP($W$1,伤害计算器!$AV$28:$BM$30,3,FALSE)+5,FALSE)</f>
        <v>0</v>
      </c>
      <c r="AA84" s="12">
        <f>VLOOKUP(HLOOKUP("普",Sheet4!$A$1:$FE$85,S84+1,FALSE),Sheet4!$A$1:$FE$85,HLOOKUP($W$1,伤害计算器!$AV$28:$BM$30,3,FALSE)+6,FALSE)</f>
        <v>0</v>
      </c>
      <c r="AB84" s="12"/>
      <c r="AC84" s="12"/>
      <c r="AD84" s="12"/>
      <c r="AE84" s="12"/>
      <c r="AF84" s="12"/>
      <c r="AG84" s="12"/>
      <c r="AH84" t="e">
        <f>VLOOKUP(HLOOKUP("普",Sheet4!$A$1:$FE$75,S84+1,FALSE),Sheet4!$A$1:$FF$75,HLOOKUP($W$1,伤害计算器!$AV$28:$BM$30,3,FALSE)+7,FALSE)</f>
        <v>#REF!</v>
      </c>
    </row>
    <row r="85" spans="1:34">
      <c r="A85">
        <v>82</v>
      </c>
      <c r="B85" s="8" t="str">
        <f>IF(HLOOKUP(伤害计算器!$D$24,Sheet4!$A$1:$FE$85,A85+1,FALSE)=0," ",HLOOKUP(伤害计算器!$D$24,Sheet4!$A$1:$FE$85,A85+1,FALSE))</f>
        <v> </v>
      </c>
      <c r="C85" s="8">
        <f>VLOOKUP(HLOOKUP("普",Sheet4!$A$1:$FE$85,A85+1,FALSE),Sheet4!$A$1:$FE$85,HLOOKUP(伤害计算器!$D$24,伤害计算器!$AV$28:$BM$30,3,FALSE),FALSE)</f>
        <v>0</v>
      </c>
      <c r="D85" s="8">
        <f>VLOOKUP(HLOOKUP("普",Sheet4!$A$1:$FE$85,A85+1,FALSE),Sheet4!$A$1:$FE$85,HLOOKUP(伤害计算器!$D$24,伤害计算器!$AV$28:$BM$30,3,FALSE)+1,FALSE)</f>
        <v>0</v>
      </c>
      <c r="E85" s="8">
        <f>VLOOKUP(HLOOKUP("普",Sheet4!$A$1:$FE$85,A85+1,FALSE),Sheet4!$A$1:$FE$85,HLOOKUP(伤害计算器!$D$24,伤害计算器!$AV$28:$BM$30,3,FALSE)+2,FALSE)</f>
        <v>0</v>
      </c>
      <c r="F85" s="8">
        <f>VLOOKUP(HLOOKUP("普",Sheet4!$A$1:$FE$85,A85+1,FALSE),Sheet4!$A$1:$FE$85,HLOOKUP(伤害计算器!$D$24,伤害计算器!$AV$28:$BM$30,3,FALSE)+3,FALSE)</f>
        <v>0</v>
      </c>
      <c r="G85" s="8">
        <f>VLOOKUP(HLOOKUP("普",Sheet4!$A$1:$FE$85,A85+1,FALSE),Sheet4!$A$1:$FE$85,HLOOKUP(伤害计算器!$D$24,伤害计算器!$AV$28:$BM$30,3,FALSE)+4,FALSE)</f>
        <v>0</v>
      </c>
      <c r="H85" s="11">
        <f>VLOOKUP(HLOOKUP("普",Sheet4!$A$1:$FE$85,A85+1,FALSE),Sheet4!$A$1:$FE$85,HLOOKUP(伤害计算器!$D$24,伤害计算器!$AV$28:$BM$30,3,FALSE)+5,FALSE)</f>
        <v>0</v>
      </c>
      <c r="I85" s="12">
        <f>VLOOKUP(HLOOKUP("普",Sheet4!$A$1:$FE$85,A85+1,FALSE),Sheet4!$A$1:$FE$85,HLOOKUP(伤害计算器!$D$24,伤害计算器!$AV$28:$BM$30,3,FALSE)+6,FALSE)</f>
        <v>0</v>
      </c>
      <c r="J85" s="12"/>
      <c r="K85" s="12"/>
      <c r="L85" s="12"/>
      <c r="M85" s="12"/>
      <c r="N85" s="12"/>
      <c r="O85" s="12"/>
      <c r="P85" t="e">
        <f>VLOOKUP(HLOOKUP("普",Sheet4!$A$1:$FE$75,A85+1,FALSE),Sheet4!$A$1:$FF$75,HLOOKUP(伤害计算器!$D$24,伤害计算器!$AV$28:$BM$30,3,FALSE)+7,FALSE)</f>
        <v>#REF!</v>
      </c>
      <c r="S85">
        <v>82</v>
      </c>
      <c r="T85" s="8" t="str">
        <f>IF(HLOOKUP($W$1,Sheet4!$A$1:$FE$85,S85+1,FALSE)=0," ",HLOOKUP($W$1,Sheet4!$A$1:$FE$85,S85+1,FALSE))</f>
        <v> </v>
      </c>
      <c r="U85" s="8">
        <f>VLOOKUP(HLOOKUP("普",Sheet4!$A$1:$FE$85,S85+1,FALSE),Sheet4!$A$1:$FE$85,HLOOKUP($W$1,伤害计算器!$AV$28:$BM$30,3,FALSE),FALSE)</f>
        <v>0</v>
      </c>
      <c r="V85" s="8">
        <f>VLOOKUP(HLOOKUP("普",Sheet4!$A$1:$FE$85,S85+1,FALSE),Sheet4!$A$1:$FE$85,HLOOKUP($W$1,伤害计算器!$AV$28:$BM$30,3,FALSE)+1,FALSE)</f>
        <v>0</v>
      </c>
      <c r="W85" s="9">
        <f>VLOOKUP(HLOOKUP("普",Sheet4!$A$1:$FE$85,S85+1,FALSE),Sheet4!$A$1:$FE$85,HLOOKUP($W$1,伤害计算器!$AV$28:$BM$30,3,FALSE)+2,FALSE)</f>
        <v>0</v>
      </c>
      <c r="X85" s="9">
        <f>VLOOKUP(HLOOKUP("普",Sheet4!$A$1:$FE$85,S85+1,FALSE),Sheet4!$A$1:$FE$85,HLOOKUP($W$1,伤害计算器!$AV$28:$BM$30,3,FALSE)+3,FALSE)</f>
        <v>0</v>
      </c>
      <c r="Y85" s="9">
        <f>VLOOKUP(HLOOKUP("普",Sheet4!$A$1:$FE$85,S85+1,FALSE),Sheet4!$A$1:$FE$85,HLOOKUP($W$1,伤害计算器!$AV$28:$BM$30,3,FALSE)+4,FALSE)</f>
        <v>0</v>
      </c>
      <c r="Z85" s="10">
        <f>VLOOKUP(HLOOKUP("普",Sheet4!$A$1:$FE$85,S85+1,FALSE),Sheet4!$A$1:$FE$85,HLOOKUP($W$1,伤害计算器!$AV$28:$BM$30,3,FALSE)+5,FALSE)</f>
        <v>0</v>
      </c>
      <c r="AA85" s="12">
        <f>VLOOKUP(HLOOKUP("普",Sheet4!$A$1:$FE$85,S85+1,FALSE),Sheet4!$A$1:$FE$85,HLOOKUP($W$1,伤害计算器!$AV$28:$BM$30,3,FALSE)+6,FALSE)</f>
        <v>0</v>
      </c>
      <c r="AB85" s="12"/>
      <c r="AC85" s="12"/>
      <c r="AD85" s="12"/>
      <c r="AE85" s="12"/>
      <c r="AF85" s="12"/>
      <c r="AG85" s="12"/>
      <c r="AH85" t="e">
        <f>VLOOKUP(HLOOKUP("普",Sheet4!$A$1:$FE$75,S85+1,FALSE),Sheet4!$A$1:$FF$75,HLOOKUP($W$1,伤害计算器!$AV$28:$BM$30,3,FALSE)+7,FALSE)</f>
        <v>#REF!</v>
      </c>
    </row>
    <row r="86" spans="1:34">
      <c r="A86">
        <v>83</v>
      </c>
      <c r="B86" s="8" t="str">
        <f>IF(HLOOKUP(伤害计算器!$D$24,Sheet4!$A$1:$FE$85,A86+1,FALSE)=0," ",HLOOKUP(伤害计算器!$D$24,Sheet4!$A$1:$FE$85,A86+1,FALSE))</f>
        <v> </v>
      </c>
      <c r="C86" s="8">
        <f>VLOOKUP(HLOOKUP("普",Sheet4!$A$1:$FE$85,A86+1,FALSE),Sheet4!$A$1:$FE$85,HLOOKUP(伤害计算器!$D$24,伤害计算器!$AV$28:$BM$30,3,FALSE),FALSE)</f>
        <v>0</v>
      </c>
      <c r="D86" s="8">
        <f>VLOOKUP(HLOOKUP("普",Sheet4!$A$1:$FE$85,A86+1,FALSE),Sheet4!$A$1:$FE$85,HLOOKUP(伤害计算器!$D$24,伤害计算器!$AV$28:$BM$30,3,FALSE)+1,FALSE)</f>
        <v>0</v>
      </c>
      <c r="E86" s="8">
        <f>VLOOKUP(HLOOKUP("普",Sheet4!$A$1:$FE$85,A86+1,FALSE),Sheet4!$A$1:$FE$85,HLOOKUP(伤害计算器!$D$24,伤害计算器!$AV$28:$BM$30,3,FALSE)+2,FALSE)</f>
        <v>0</v>
      </c>
      <c r="F86" s="8">
        <f>VLOOKUP(HLOOKUP("普",Sheet4!$A$1:$FE$85,A86+1,FALSE),Sheet4!$A$1:$FE$85,HLOOKUP(伤害计算器!$D$24,伤害计算器!$AV$28:$BM$30,3,FALSE)+3,FALSE)</f>
        <v>0</v>
      </c>
      <c r="G86" s="8">
        <f>VLOOKUP(HLOOKUP("普",Sheet4!$A$1:$FE$85,A86+1,FALSE),Sheet4!$A$1:$FE$85,HLOOKUP(伤害计算器!$D$24,伤害计算器!$AV$28:$BM$30,3,FALSE)+4,FALSE)</f>
        <v>0</v>
      </c>
      <c r="H86" s="11">
        <f>VLOOKUP(HLOOKUP("普",Sheet4!$A$1:$FE$85,A86+1,FALSE),Sheet4!$A$1:$FE$85,HLOOKUP(伤害计算器!$D$24,伤害计算器!$AV$28:$BM$30,3,FALSE)+5,FALSE)</f>
        <v>0</v>
      </c>
      <c r="I86" s="12">
        <f>VLOOKUP(HLOOKUP("普",Sheet4!$A$1:$FE$85,A86+1,FALSE),Sheet4!$A$1:$FE$85,HLOOKUP(伤害计算器!$D$24,伤害计算器!$AV$28:$BM$30,3,FALSE)+6,FALSE)</f>
        <v>0</v>
      </c>
      <c r="J86" s="12"/>
      <c r="K86" s="12"/>
      <c r="L86" s="12"/>
      <c r="M86" s="12"/>
      <c r="N86" s="12"/>
      <c r="O86" s="12"/>
      <c r="P86" t="e">
        <f>VLOOKUP(HLOOKUP("普",Sheet4!$A$1:$FE$75,A86+1,FALSE),Sheet4!$A$1:$FF$75,HLOOKUP(伤害计算器!$D$24,伤害计算器!$AV$28:$BM$30,3,FALSE)+7,FALSE)</f>
        <v>#REF!</v>
      </c>
      <c r="S86">
        <v>83</v>
      </c>
      <c r="T86" s="8" t="str">
        <f>IF(HLOOKUP($W$1,Sheet4!$A$1:$FE$85,S86+1,FALSE)=0," ",HLOOKUP($W$1,Sheet4!$A$1:$FE$85,S86+1,FALSE))</f>
        <v> </v>
      </c>
      <c r="U86" s="8">
        <f>VLOOKUP(HLOOKUP("普",Sheet4!$A$1:$FE$85,S86+1,FALSE),Sheet4!$A$1:$FE$85,HLOOKUP($W$1,伤害计算器!$AV$28:$BM$30,3,FALSE),FALSE)</f>
        <v>0</v>
      </c>
      <c r="V86" s="8">
        <f>VLOOKUP(HLOOKUP("普",Sheet4!$A$1:$FE$85,S86+1,FALSE),Sheet4!$A$1:$FE$85,HLOOKUP($W$1,伤害计算器!$AV$28:$BM$30,3,FALSE)+1,FALSE)</f>
        <v>0</v>
      </c>
      <c r="W86" s="9">
        <f>VLOOKUP(HLOOKUP("普",Sheet4!$A$1:$FE$85,S86+1,FALSE),Sheet4!$A$1:$FE$85,HLOOKUP($W$1,伤害计算器!$AV$28:$BM$30,3,FALSE)+2,FALSE)</f>
        <v>0</v>
      </c>
      <c r="X86" s="9">
        <f>VLOOKUP(HLOOKUP("普",Sheet4!$A$1:$FE$85,S86+1,FALSE),Sheet4!$A$1:$FE$85,HLOOKUP($W$1,伤害计算器!$AV$28:$BM$30,3,FALSE)+3,FALSE)</f>
        <v>0</v>
      </c>
      <c r="Y86" s="9">
        <f>VLOOKUP(HLOOKUP("普",Sheet4!$A$1:$FE$85,S86+1,FALSE),Sheet4!$A$1:$FE$85,HLOOKUP($W$1,伤害计算器!$AV$28:$BM$30,3,FALSE)+4,FALSE)</f>
        <v>0</v>
      </c>
      <c r="Z86" s="10">
        <f>VLOOKUP(HLOOKUP("普",Sheet4!$A$1:$FE$85,S86+1,FALSE),Sheet4!$A$1:$FE$85,HLOOKUP($W$1,伤害计算器!$AV$28:$BM$30,3,FALSE)+5,FALSE)</f>
        <v>0</v>
      </c>
      <c r="AA86" s="12">
        <f>VLOOKUP(HLOOKUP("普",Sheet4!$A$1:$FE$85,S86+1,FALSE),Sheet4!$A$1:$FE$85,HLOOKUP($W$1,伤害计算器!$AV$28:$BM$30,3,FALSE)+6,FALSE)</f>
        <v>0</v>
      </c>
      <c r="AB86" s="12"/>
      <c r="AC86" s="12"/>
      <c r="AD86" s="12"/>
      <c r="AE86" s="12"/>
      <c r="AF86" s="12"/>
      <c r="AG86" s="12"/>
      <c r="AH86" t="e">
        <f>VLOOKUP(HLOOKUP("普",Sheet4!$A$1:$FE$75,S86+1,FALSE),Sheet4!$A$1:$FF$75,HLOOKUP($W$1,伤害计算器!$AV$28:$BM$30,3,FALSE)+7,FALSE)</f>
        <v>#REF!</v>
      </c>
    </row>
    <row r="87" spans="1:34">
      <c r="A87">
        <v>84</v>
      </c>
      <c r="B87" s="8" t="str">
        <f>IF(HLOOKUP(伤害计算器!$D$24,Sheet4!$A$1:$FE$85,A87+1,FALSE)=0," ",HLOOKUP(伤害计算器!$D$24,Sheet4!$A$1:$FE$85,A87+1,FALSE))</f>
        <v> </v>
      </c>
      <c r="C87" s="8">
        <f>VLOOKUP(HLOOKUP("普",Sheet4!$A$1:$FE$85,A87+1,FALSE),Sheet4!$A$1:$FE$85,HLOOKUP(伤害计算器!$D$24,伤害计算器!$AV$28:$BM$30,3,FALSE),FALSE)</f>
        <v>0</v>
      </c>
      <c r="D87" s="8">
        <f>VLOOKUP(HLOOKUP("普",Sheet4!$A$1:$FE$85,A87+1,FALSE),Sheet4!$A$1:$FE$85,HLOOKUP(伤害计算器!$D$24,伤害计算器!$AV$28:$BM$30,3,FALSE)+1,FALSE)</f>
        <v>0</v>
      </c>
      <c r="E87" s="8">
        <f>VLOOKUP(HLOOKUP("普",Sheet4!$A$1:$FE$85,A87+1,FALSE),Sheet4!$A$1:$FE$85,HLOOKUP(伤害计算器!$D$24,伤害计算器!$AV$28:$BM$30,3,FALSE)+2,FALSE)</f>
        <v>0</v>
      </c>
      <c r="F87" s="8">
        <f>VLOOKUP(HLOOKUP("普",Sheet4!$A$1:$FE$85,A87+1,FALSE),Sheet4!$A$1:$FE$85,HLOOKUP(伤害计算器!$D$24,伤害计算器!$AV$28:$BM$30,3,FALSE)+3,FALSE)</f>
        <v>0</v>
      </c>
      <c r="G87" s="8">
        <f>VLOOKUP(HLOOKUP("普",Sheet4!$A$1:$FE$85,A87+1,FALSE),Sheet4!$A$1:$FE$85,HLOOKUP(伤害计算器!$D$24,伤害计算器!$AV$28:$BM$30,3,FALSE)+4,FALSE)</f>
        <v>0</v>
      </c>
      <c r="H87" s="11">
        <f>VLOOKUP(HLOOKUP("普",Sheet4!$A$1:$FE$85,A87+1,FALSE),Sheet4!$A$1:$FE$85,HLOOKUP(伤害计算器!$D$24,伤害计算器!$AV$28:$BM$30,3,FALSE)+5,FALSE)</f>
        <v>0</v>
      </c>
      <c r="I87" s="12">
        <f>VLOOKUP(HLOOKUP("普",Sheet4!$A$1:$FE$85,A87+1,FALSE),Sheet4!$A$1:$FE$85,HLOOKUP(伤害计算器!$D$24,伤害计算器!$AV$28:$BM$30,3,FALSE)+6,FALSE)</f>
        <v>0</v>
      </c>
      <c r="J87" s="12"/>
      <c r="K87" s="12"/>
      <c r="L87" s="12"/>
      <c r="M87" s="12"/>
      <c r="N87" s="12"/>
      <c r="O87" s="12"/>
      <c r="P87" t="e">
        <f>VLOOKUP(HLOOKUP("普",Sheet4!$A$1:$FE$75,A87+1,FALSE),Sheet4!$A$1:$FF$75,HLOOKUP(伤害计算器!$D$24,伤害计算器!$AV$28:$BM$30,3,FALSE)+7,FALSE)</f>
        <v>#REF!</v>
      </c>
      <c r="S87">
        <v>84</v>
      </c>
      <c r="T87" s="8" t="str">
        <f>IF(HLOOKUP($W$1,Sheet4!$A$1:$FE$85,S87+1,FALSE)=0," ",HLOOKUP($W$1,Sheet4!$A$1:$FE$85,S87+1,FALSE))</f>
        <v> </v>
      </c>
      <c r="U87" s="8">
        <f>VLOOKUP(HLOOKUP("普",Sheet4!$A$1:$FE$85,S87+1,FALSE),Sheet4!$A$1:$FE$85,HLOOKUP($W$1,伤害计算器!$AV$28:$BM$30,3,FALSE),FALSE)</f>
        <v>0</v>
      </c>
      <c r="V87" s="8">
        <f>VLOOKUP(HLOOKUP("普",Sheet4!$A$1:$FE$85,S87+1,FALSE),Sheet4!$A$1:$FE$85,HLOOKUP($W$1,伤害计算器!$AV$28:$BM$30,3,FALSE)+1,FALSE)</f>
        <v>0</v>
      </c>
      <c r="W87" s="9">
        <f>VLOOKUP(HLOOKUP("普",Sheet4!$A$1:$FE$85,S87+1,FALSE),Sheet4!$A$1:$FE$85,HLOOKUP($W$1,伤害计算器!$AV$28:$BM$30,3,FALSE)+2,FALSE)</f>
        <v>0</v>
      </c>
      <c r="X87" s="9">
        <f>VLOOKUP(HLOOKUP("普",Sheet4!$A$1:$FE$85,S87+1,FALSE),Sheet4!$A$1:$FE$85,HLOOKUP($W$1,伤害计算器!$AV$28:$BM$30,3,FALSE)+3,FALSE)</f>
        <v>0</v>
      </c>
      <c r="Y87" s="9">
        <f>VLOOKUP(HLOOKUP("普",Sheet4!$A$1:$FE$85,S87+1,FALSE),Sheet4!$A$1:$FE$85,HLOOKUP($W$1,伤害计算器!$AV$28:$BM$30,3,FALSE)+4,FALSE)</f>
        <v>0</v>
      </c>
      <c r="Z87" s="10">
        <f>VLOOKUP(HLOOKUP("普",Sheet4!$A$1:$FE$85,S87+1,FALSE),Sheet4!$A$1:$FE$85,HLOOKUP($W$1,伤害计算器!$AV$28:$BM$30,3,FALSE)+5,FALSE)</f>
        <v>0</v>
      </c>
      <c r="AA87" s="12">
        <f>VLOOKUP(HLOOKUP("普",Sheet4!$A$1:$FE$85,S87+1,FALSE),Sheet4!$A$1:$FE$85,HLOOKUP($W$1,伤害计算器!$AV$28:$BM$30,3,FALSE)+6,FALSE)</f>
        <v>0</v>
      </c>
      <c r="AB87" s="12"/>
      <c r="AC87" s="12"/>
      <c r="AD87" s="12"/>
      <c r="AE87" s="12"/>
      <c r="AF87" s="12"/>
      <c r="AG87" s="12"/>
      <c r="AH87" t="e">
        <f>VLOOKUP(HLOOKUP("普",Sheet4!$A$1:$FE$75,S87+1,FALSE),Sheet4!$A$1:$FF$75,HLOOKUP($W$1,伤害计算器!$AV$28:$BM$30,3,FALSE)+7,FALSE)</f>
        <v>#REF!</v>
      </c>
    </row>
    <row r="88" spans="1:21">
      <c r="A88">
        <v>85</v>
      </c>
      <c r="B88" s="8"/>
      <c r="C88" s="8"/>
      <c r="S88">
        <v>85</v>
      </c>
      <c r="T88" s="8" t="e">
        <f>IF(HLOOKUP($W$1,Sheet4!$A$1:$FE$75,S88+1,FALSE)=0," ",HLOOKUP($W$1,Sheet4!$A$1:$FE$75,S88+1,FALSE))</f>
        <v>#REF!</v>
      </c>
      <c r="U88" s="8"/>
    </row>
  </sheetData>
  <mergeCells count="174">
    <mergeCell ref="I3:O3"/>
    <mergeCell ref="AA3:AG3"/>
    <mergeCell ref="I4:O4"/>
    <mergeCell ref="AA4:AG4"/>
    <mergeCell ref="I5:O5"/>
    <mergeCell ref="AA5:AG5"/>
    <mergeCell ref="I6:O6"/>
    <mergeCell ref="AA6:AG6"/>
    <mergeCell ref="I7:O7"/>
    <mergeCell ref="AA7:AG7"/>
    <mergeCell ref="I8:O8"/>
    <mergeCell ref="AA8:AG8"/>
    <mergeCell ref="I9:O9"/>
    <mergeCell ref="AA9:AG9"/>
    <mergeCell ref="I10:O10"/>
    <mergeCell ref="AA10:AG10"/>
    <mergeCell ref="I11:O11"/>
    <mergeCell ref="AA11:AG11"/>
    <mergeCell ref="I12:O12"/>
    <mergeCell ref="AA12:AG12"/>
    <mergeCell ref="I13:O13"/>
    <mergeCell ref="AA13:AG13"/>
    <mergeCell ref="I14:O14"/>
    <mergeCell ref="AA14:AG14"/>
    <mergeCell ref="I15:O15"/>
    <mergeCell ref="AA15:AG15"/>
    <mergeCell ref="I16:O16"/>
    <mergeCell ref="AA16:AG16"/>
    <mergeCell ref="I17:O17"/>
    <mergeCell ref="AA17:AG17"/>
    <mergeCell ref="I18:O18"/>
    <mergeCell ref="AA18:AG18"/>
    <mergeCell ref="I19:O19"/>
    <mergeCell ref="AA19:AG19"/>
    <mergeCell ref="I20:O20"/>
    <mergeCell ref="AA20:AG20"/>
    <mergeCell ref="I21:O21"/>
    <mergeCell ref="AA21:AG21"/>
    <mergeCell ref="I22:O22"/>
    <mergeCell ref="AA22:AG22"/>
    <mergeCell ref="I23:O23"/>
    <mergeCell ref="AA23:AG23"/>
    <mergeCell ref="I24:O24"/>
    <mergeCell ref="AA24:AG24"/>
    <mergeCell ref="I25:O25"/>
    <mergeCell ref="AA25:AG25"/>
    <mergeCell ref="I26:O26"/>
    <mergeCell ref="AA26:AG26"/>
    <mergeCell ref="I27:O27"/>
    <mergeCell ref="AA27:AG27"/>
    <mergeCell ref="I28:O28"/>
    <mergeCell ref="AA28:AG28"/>
    <mergeCell ref="I29:O29"/>
    <mergeCell ref="AA29:AG29"/>
    <mergeCell ref="I30:O30"/>
    <mergeCell ref="AA30:AG30"/>
    <mergeCell ref="I31:O31"/>
    <mergeCell ref="AA31:AG31"/>
    <mergeCell ref="I32:O32"/>
    <mergeCell ref="AA32:AG32"/>
    <mergeCell ref="I33:O33"/>
    <mergeCell ref="AA33:AG33"/>
    <mergeCell ref="I34:O34"/>
    <mergeCell ref="AA34:AG34"/>
    <mergeCell ref="I35:O35"/>
    <mergeCell ref="AA35:AG35"/>
    <mergeCell ref="I36:O36"/>
    <mergeCell ref="AA36:AG36"/>
    <mergeCell ref="I37:O37"/>
    <mergeCell ref="AA37:AG37"/>
    <mergeCell ref="I38:O38"/>
    <mergeCell ref="AA38:AG38"/>
    <mergeCell ref="I39:O39"/>
    <mergeCell ref="AA39:AG39"/>
    <mergeCell ref="I40:O40"/>
    <mergeCell ref="AA40:AG40"/>
    <mergeCell ref="I41:O41"/>
    <mergeCell ref="AA41:AG41"/>
    <mergeCell ref="I42:O42"/>
    <mergeCell ref="AA42:AG42"/>
    <mergeCell ref="I43:O43"/>
    <mergeCell ref="AA43:AG43"/>
    <mergeCell ref="I44:O44"/>
    <mergeCell ref="AA44:AG44"/>
    <mergeCell ref="I45:O45"/>
    <mergeCell ref="AA45:AG45"/>
    <mergeCell ref="I46:O46"/>
    <mergeCell ref="AA46:AG46"/>
    <mergeCell ref="I47:O47"/>
    <mergeCell ref="AA47:AG47"/>
    <mergeCell ref="I48:O48"/>
    <mergeCell ref="AA48:AG48"/>
    <mergeCell ref="I49:O49"/>
    <mergeCell ref="AA49:AG49"/>
    <mergeCell ref="I50:O50"/>
    <mergeCell ref="AA50:AG50"/>
    <mergeCell ref="I51:O51"/>
    <mergeCell ref="AA51:AG51"/>
    <mergeCell ref="I52:O52"/>
    <mergeCell ref="AA52:AG52"/>
    <mergeCell ref="I53:O53"/>
    <mergeCell ref="AA53:AG53"/>
    <mergeCell ref="I54:O54"/>
    <mergeCell ref="AA54:AG54"/>
    <mergeCell ref="I55:O55"/>
    <mergeCell ref="AA55:AG55"/>
    <mergeCell ref="I56:O56"/>
    <mergeCell ref="AA56:AG56"/>
    <mergeCell ref="I57:O57"/>
    <mergeCell ref="AA57:AG57"/>
    <mergeCell ref="I58:O58"/>
    <mergeCell ref="AA58:AG58"/>
    <mergeCell ref="I59:O59"/>
    <mergeCell ref="AA59:AG59"/>
    <mergeCell ref="I60:O60"/>
    <mergeCell ref="AA60:AG60"/>
    <mergeCell ref="I61:O61"/>
    <mergeCell ref="AA61:AG61"/>
    <mergeCell ref="I62:O62"/>
    <mergeCell ref="AA62:AG62"/>
    <mergeCell ref="I63:O63"/>
    <mergeCell ref="AA63:AG63"/>
    <mergeCell ref="I64:O64"/>
    <mergeCell ref="AA64:AG64"/>
    <mergeCell ref="I65:O65"/>
    <mergeCell ref="AA65:AG65"/>
    <mergeCell ref="I66:O66"/>
    <mergeCell ref="AA66:AG66"/>
    <mergeCell ref="I67:O67"/>
    <mergeCell ref="AA67:AG67"/>
    <mergeCell ref="I68:O68"/>
    <mergeCell ref="AA68:AG68"/>
    <mergeCell ref="I69:O69"/>
    <mergeCell ref="AA69:AG69"/>
    <mergeCell ref="I70:O70"/>
    <mergeCell ref="AA70:AG70"/>
    <mergeCell ref="I71:O71"/>
    <mergeCell ref="AA71:AG71"/>
    <mergeCell ref="I72:O72"/>
    <mergeCell ref="AA72:AG72"/>
    <mergeCell ref="I73:O73"/>
    <mergeCell ref="AA73:AG73"/>
    <mergeCell ref="I74:O74"/>
    <mergeCell ref="AA74:AG74"/>
    <mergeCell ref="I75:O75"/>
    <mergeCell ref="AA75:AG75"/>
    <mergeCell ref="I76:O76"/>
    <mergeCell ref="AA76:AG76"/>
    <mergeCell ref="I77:O77"/>
    <mergeCell ref="AA77:AG77"/>
    <mergeCell ref="I78:O78"/>
    <mergeCell ref="AA78:AG78"/>
    <mergeCell ref="I79:O79"/>
    <mergeCell ref="AA79:AG79"/>
    <mergeCell ref="I80:O80"/>
    <mergeCell ref="AA80:AG80"/>
    <mergeCell ref="I81:O81"/>
    <mergeCell ref="AA81:AG81"/>
    <mergeCell ref="I82:O82"/>
    <mergeCell ref="AA82:AG82"/>
    <mergeCell ref="I83:O83"/>
    <mergeCell ref="AA83:AG83"/>
    <mergeCell ref="I84:O84"/>
    <mergeCell ref="AA84:AG84"/>
    <mergeCell ref="I85:O85"/>
    <mergeCell ref="AA85:AG85"/>
    <mergeCell ref="I86:O86"/>
    <mergeCell ref="AA86:AG86"/>
    <mergeCell ref="I87:O87"/>
    <mergeCell ref="AA87:AG87"/>
    <mergeCell ref="B1:D2"/>
    <mergeCell ref="T1:V2"/>
    <mergeCell ref="E1:H2"/>
    <mergeCell ref="W1:Z2"/>
  </mergeCells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伤害计算器</vt:lpstr>
      <vt:lpstr>个体值计算器</vt:lpstr>
      <vt:lpstr>Sheet3</vt:lpstr>
      <vt:lpstr>Sheet4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Crazycomet</dc:creator>
  <cp:lastModifiedBy>admin</cp:lastModifiedBy>
  <dcterms:created xsi:type="dcterms:W3CDTF">2014-06-26T11:05:00Z</dcterms:created>
  <dcterms:modified xsi:type="dcterms:W3CDTF">2018-05-29T07:04:17Z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