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torres/Dropbox/203 readings/homework 1/attachments (1)/"/>
    </mc:Choice>
  </mc:AlternateContent>
  <xr:revisionPtr revIDLastSave="0" documentId="13_ncr:1_{239B9200-0298-1D43-BD20-52845D40BC2D}" xr6:coauthVersionLast="36" xr6:coauthVersionMax="36" xr10:uidLastSave="{00000000-0000-0000-0000-000000000000}"/>
  <bookViews>
    <workbookView xWindow="0" yWindow="460" windowWidth="28800" windowHeight="16140" tabRatio="892" firstSheet="2" activeTab="3" xr2:uid="{00000000-000D-0000-FFFF-FFFF00000000}"/>
  </bookViews>
  <sheets>
    <sheet name="Problem 1 - Venus, Earth, Mars" sheetId="12" r:id="rId1"/>
    <sheet name="Graph, Venus, Earth, Mars" sheetId="13" r:id="rId2"/>
    <sheet name="Graph, Earth near far" sheetId="20" r:id="rId3"/>
    <sheet name="Problem 2 - Harte model" sheetId="14" r:id="rId4"/>
    <sheet name="Graph - T vs emissivity" sheetId="16" r:id="rId5"/>
    <sheet name="Graph - T vs albedo" sheetId="17" r:id="rId6"/>
    <sheet name="Problem 3b - WaterAmount" sheetId="18" r:id="rId7"/>
    <sheet name="Probme 3d - Harte Model Solar" sheetId="22" r:id="rId8"/>
    <sheet name="Problem 4 - ocean heat cool" sheetId="21" r:id="rId9"/>
  </sheets>
  <definedNames>
    <definedName name="albedo400">'Problem 2 - Harte model'!$B$43</definedName>
    <definedName name="albedo500">'Problem 2 - Harte model'!$B$52</definedName>
    <definedName name="ap">'Problem 2 - Harte model'!$B$8</definedName>
    <definedName name="DE">'Problem 1 - Venus, Earth, Mars'!$B$3</definedName>
    <definedName name="DELTA_ap">#REF!</definedName>
    <definedName name="DELTA_L">#REF!</definedName>
    <definedName name="DM">'Problem 1 - Venus, Earth, Mars'!$B$4</definedName>
    <definedName name="DV">'Problem 1 - Venus, Earth, Mars'!$B$2</definedName>
    <definedName name="Earth_aphelion">'Problem 1 - Venus, Earth, Mars'!$C$6</definedName>
    <definedName name="Earth_perihelion">'Problem 1 - Venus, Earth, Mars'!$C$5</definedName>
    <definedName name="eps">'Problem 1 - Venus, Earth, Mars'!$B$9</definedName>
    <definedName name="eps_surface">'Problem 2 - Harte model'!$B$13</definedName>
    <definedName name="epsilon">'Problem 2 - Harte model'!$B$12</definedName>
    <definedName name="H">'Problem 2 - Harte model'!$B$6</definedName>
    <definedName name="kl">'Problem 2 - Harte model'!$B$10</definedName>
    <definedName name="ku">'Problem 2 - Harte model'!$B$9</definedName>
    <definedName name="L">'Problem 2 - Harte model'!$B$5</definedName>
    <definedName name="Sav">'Problem 2 - Harte model'!$B$3</definedName>
    <definedName name="Sbar">'Problem 2 - Harte model'!$B$3</definedName>
    <definedName name="Searth">'Problem 1 - Venus, Earth, Mars'!$B$8</definedName>
    <definedName name="sigma">'Problem 2 - Harte model'!$B$7</definedName>
    <definedName name="Slower">'Problem 1 - Venus, Earth, Mars'!#REF!</definedName>
    <definedName name="Solar">'Problem 2 - Harte model'!$B$2</definedName>
    <definedName name="solver_adj" localSheetId="3" hidden="1">'Problem 2 - Harte model'!$B$10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'Problem 2 - Harte model'!$B$9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'Problem 2 - Harte model'!$B$11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2.4*kl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79</definedName>
    <definedName name="solver_ver" localSheetId="3" hidden="1">3</definedName>
    <definedName name="W">'Problem 2 - Harte model'!$B$4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4" l="1"/>
  <c r="P14" i="14"/>
  <c r="A59" i="14"/>
  <c r="A61" i="14"/>
  <c r="A63" i="14"/>
  <c r="A65" i="14"/>
  <c r="L60" i="14"/>
  <c r="L61" i="14"/>
  <c r="L64" i="14"/>
  <c r="L65" i="14"/>
  <c r="L57" i="14"/>
  <c r="G58" i="14"/>
  <c r="G59" i="14"/>
  <c r="G62" i="14"/>
  <c r="G63" i="14"/>
  <c r="A66" i="14"/>
  <c r="A69" i="14"/>
  <c r="A70" i="14"/>
  <c r="A73" i="14"/>
  <c r="A74" i="14"/>
  <c r="A77" i="14"/>
  <c r="A78" i="14"/>
  <c r="A81" i="14"/>
  <c r="A82" i="14"/>
  <c r="A85" i="14"/>
  <c r="A86" i="14"/>
  <c r="A89" i="14"/>
  <c r="A90" i="14"/>
  <c r="A93" i="14"/>
  <c r="A94" i="14"/>
  <c r="A97" i="14"/>
  <c r="A98" i="14"/>
  <c r="A101" i="14"/>
  <c r="A102" i="14"/>
  <c r="A105" i="14"/>
  <c r="A106" i="14"/>
  <c r="B42" i="14"/>
  <c r="A46" i="14" s="1"/>
  <c r="B2" i="14"/>
  <c r="B3" i="14" s="1"/>
  <c r="E8" i="22"/>
  <c r="H8" i="22" s="1"/>
  <c r="E12" i="22"/>
  <c r="H12" i="22" s="1"/>
  <c r="E16" i="22"/>
  <c r="H16" i="22" s="1"/>
  <c r="E20" i="22"/>
  <c r="H20" i="22" s="1"/>
  <c r="E21" i="14"/>
  <c r="H21" i="14" s="1"/>
  <c r="E25" i="14"/>
  <c r="H25" i="14" s="1"/>
  <c r="E29" i="14"/>
  <c r="H29" i="14" s="1"/>
  <c r="E33" i="14"/>
  <c r="H33" i="14" s="1"/>
  <c r="B4" i="14"/>
  <c r="S3" i="21"/>
  <c r="S4" i="21"/>
  <c r="S19" i="21" s="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Q19" i="21"/>
  <c r="P19" i="21"/>
  <c r="O19" i="21"/>
  <c r="M19" i="21"/>
  <c r="L19" i="21"/>
  <c r="B11" i="21" s="1"/>
  <c r="B13" i="21" s="1"/>
  <c r="K19" i="21"/>
  <c r="K20" i="12"/>
  <c r="K53" i="12"/>
  <c r="B2" i="18"/>
  <c r="B7" i="18" s="1"/>
  <c r="B8" i="18" s="1"/>
  <c r="B9" i="18" s="1"/>
  <c r="B3" i="18"/>
  <c r="K21" i="12"/>
  <c r="B2" i="21"/>
  <c r="B6" i="21" s="1"/>
  <c r="D6" i="21" s="1"/>
  <c r="B7" i="21" s="1"/>
  <c r="B9" i="21" s="1"/>
  <c r="B16" i="21" s="1"/>
  <c r="D16" i="21" s="1"/>
  <c r="B12" i="21"/>
  <c r="L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L20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B5" i="18"/>
  <c r="B11" i="14" l="1"/>
  <c r="I58" i="14"/>
  <c r="J58" i="14" s="1"/>
  <c r="I62" i="14"/>
  <c r="J62" i="14" s="1"/>
  <c r="C68" i="14"/>
  <c r="D68" i="14" s="1"/>
  <c r="C84" i="14"/>
  <c r="D84" i="14" s="1"/>
  <c r="C100" i="14"/>
  <c r="D100" i="14" s="1"/>
  <c r="C60" i="14"/>
  <c r="D60" i="14" s="1"/>
  <c r="O17" i="14"/>
  <c r="R17" i="14" s="1"/>
  <c r="O19" i="14"/>
  <c r="R19" i="14" s="1"/>
  <c r="O21" i="14"/>
  <c r="R21" i="14" s="1"/>
  <c r="O23" i="14"/>
  <c r="R23" i="14" s="1"/>
  <c r="O25" i="14"/>
  <c r="R25" i="14" s="1"/>
  <c r="O27" i="14"/>
  <c r="R27" i="14" s="1"/>
  <c r="O29" i="14"/>
  <c r="R29" i="14" s="1"/>
  <c r="O31" i="14"/>
  <c r="R31" i="14" s="1"/>
  <c r="O33" i="14"/>
  <c r="R33" i="14" s="1"/>
  <c r="O35" i="14"/>
  <c r="R35" i="14" s="1"/>
  <c r="O37" i="14"/>
  <c r="R37" i="14" s="1"/>
  <c r="N56" i="14"/>
  <c r="O56" i="14" s="1"/>
  <c r="N57" i="14"/>
  <c r="O57" i="14" s="1"/>
  <c r="N61" i="14"/>
  <c r="O61" i="14" s="1"/>
  <c r="N65" i="14"/>
  <c r="O65" i="14" s="1"/>
  <c r="B46" i="14"/>
  <c r="N62" i="14"/>
  <c r="O62" i="14" s="1"/>
  <c r="C63" i="14"/>
  <c r="D63" i="14" s="1"/>
  <c r="C65" i="14"/>
  <c r="D65" i="14" s="1"/>
  <c r="C69" i="14"/>
  <c r="D69" i="14" s="1"/>
  <c r="C73" i="14"/>
  <c r="D73" i="14" s="1"/>
  <c r="C77" i="14"/>
  <c r="D77" i="14" s="1"/>
  <c r="C81" i="14"/>
  <c r="D81" i="14" s="1"/>
  <c r="C85" i="14"/>
  <c r="D85" i="14" s="1"/>
  <c r="C89" i="14"/>
  <c r="D89" i="14" s="1"/>
  <c r="C93" i="14"/>
  <c r="D93" i="14" s="1"/>
  <c r="C97" i="14"/>
  <c r="D97" i="14" s="1"/>
  <c r="C101" i="14"/>
  <c r="D101" i="14" s="1"/>
  <c r="C105" i="14"/>
  <c r="D105" i="14" s="1"/>
  <c r="N18" i="14"/>
  <c r="Q18" i="14" s="1"/>
  <c r="N20" i="14"/>
  <c r="Q20" i="14" s="1"/>
  <c r="N22" i="14"/>
  <c r="Q22" i="14" s="1"/>
  <c r="N24" i="14"/>
  <c r="Q24" i="14" s="1"/>
  <c r="N26" i="14"/>
  <c r="Q26" i="14" s="1"/>
  <c r="N28" i="14"/>
  <c r="Q28" i="14" s="1"/>
  <c r="N30" i="14"/>
  <c r="Q30" i="14" s="1"/>
  <c r="N32" i="14"/>
  <c r="Q32" i="14" s="1"/>
  <c r="N34" i="14"/>
  <c r="Q34" i="14" s="1"/>
  <c r="N36" i="14"/>
  <c r="Q36" i="14" s="1"/>
  <c r="N60" i="14"/>
  <c r="O60" i="14" s="1"/>
  <c r="C67" i="14"/>
  <c r="D67" i="14" s="1"/>
  <c r="C99" i="14"/>
  <c r="D99" i="14" s="1"/>
  <c r="N17" i="14"/>
  <c r="Q17" i="14" s="1"/>
  <c r="N21" i="14"/>
  <c r="Q21" i="14" s="1"/>
  <c r="N25" i="14"/>
  <c r="Q25" i="14" s="1"/>
  <c r="N29" i="14"/>
  <c r="Q29" i="14" s="1"/>
  <c r="N33" i="14"/>
  <c r="Q33" i="14" s="1"/>
  <c r="N37" i="14"/>
  <c r="Q37" i="14" s="1"/>
  <c r="O24" i="14"/>
  <c r="R24" i="14" s="1"/>
  <c r="O32" i="14"/>
  <c r="R32" i="14" s="1"/>
  <c r="M21" i="14"/>
  <c r="P21" i="14" s="1"/>
  <c r="M24" i="14"/>
  <c r="P24" i="14" s="1"/>
  <c r="M29" i="14"/>
  <c r="P29" i="14" s="1"/>
  <c r="E18" i="14"/>
  <c r="H18" i="14" s="1"/>
  <c r="D5" i="22"/>
  <c r="G5" i="22" s="1"/>
  <c r="D7" i="22"/>
  <c r="G7" i="22" s="1"/>
  <c r="D9" i="22"/>
  <c r="G9" i="22" s="1"/>
  <c r="D11" i="22"/>
  <c r="G11" i="22" s="1"/>
  <c r="D13" i="22"/>
  <c r="G13" i="22" s="1"/>
  <c r="D15" i="22"/>
  <c r="G15" i="22" s="1"/>
  <c r="D17" i="22"/>
  <c r="G17" i="22" s="1"/>
  <c r="D19" i="22"/>
  <c r="G19" i="22" s="1"/>
  <c r="C6" i="22"/>
  <c r="F6" i="22" s="1"/>
  <c r="C8" i="22"/>
  <c r="F8" i="22" s="1"/>
  <c r="C10" i="22"/>
  <c r="F10" i="22" s="1"/>
  <c r="C12" i="22"/>
  <c r="F12" i="22" s="1"/>
  <c r="C14" i="22"/>
  <c r="F14" i="22" s="1"/>
  <c r="C16" i="22"/>
  <c r="F16" i="22" s="1"/>
  <c r="C18" i="22"/>
  <c r="F18" i="22" s="1"/>
  <c r="C20" i="22"/>
  <c r="F20" i="22" s="1"/>
  <c r="D19" i="14"/>
  <c r="G19" i="14" s="1"/>
  <c r="D21" i="14"/>
  <c r="G21" i="14" s="1"/>
  <c r="D23" i="14"/>
  <c r="G23" i="14" s="1"/>
  <c r="D25" i="14"/>
  <c r="G25" i="14" s="1"/>
  <c r="D27" i="14"/>
  <c r="G27" i="14" s="1"/>
  <c r="D29" i="14"/>
  <c r="G29" i="14" s="1"/>
  <c r="D31" i="14"/>
  <c r="G31" i="14" s="1"/>
  <c r="D33" i="14"/>
  <c r="G33" i="14" s="1"/>
  <c r="C20" i="14"/>
  <c r="F20" i="14" s="1"/>
  <c r="N64" i="14"/>
  <c r="O64" i="14" s="1"/>
  <c r="C70" i="14"/>
  <c r="D70" i="14" s="1"/>
  <c r="C78" i="14"/>
  <c r="D78" i="14" s="1"/>
  <c r="C86" i="14"/>
  <c r="D86" i="14" s="1"/>
  <c r="C94" i="14"/>
  <c r="D94" i="14" s="1"/>
  <c r="C102" i="14"/>
  <c r="D102" i="14" s="1"/>
  <c r="C59" i="14"/>
  <c r="D59" i="14" s="1"/>
  <c r="O22" i="14"/>
  <c r="R22" i="14" s="1"/>
  <c r="O30" i="14"/>
  <c r="R30" i="14" s="1"/>
  <c r="M19" i="14"/>
  <c r="P19" i="14" s="1"/>
  <c r="M22" i="14"/>
  <c r="P22" i="14" s="1"/>
  <c r="M27" i="14"/>
  <c r="P27" i="14" s="1"/>
  <c r="M30" i="14"/>
  <c r="P30" i="14" s="1"/>
  <c r="M32" i="14"/>
  <c r="P32" i="14" s="1"/>
  <c r="M34" i="14"/>
  <c r="P34" i="14" s="1"/>
  <c r="M36" i="14"/>
  <c r="P36" i="14" s="1"/>
  <c r="E5" i="22"/>
  <c r="H5" i="22" s="1"/>
  <c r="E7" i="22"/>
  <c r="H7" i="22" s="1"/>
  <c r="E9" i="22"/>
  <c r="H9" i="22" s="1"/>
  <c r="E11" i="22"/>
  <c r="H11" i="22" s="1"/>
  <c r="E13" i="22"/>
  <c r="H13" i="22" s="1"/>
  <c r="E15" i="22"/>
  <c r="H15" i="22" s="1"/>
  <c r="E17" i="22"/>
  <c r="H17" i="22" s="1"/>
  <c r="E19" i="22"/>
  <c r="H19" i="22" s="1"/>
  <c r="E20" i="14"/>
  <c r="H20" i="14" s="1"/>
  <c r="E22" i="14"/>
  <c r="H22" i="14" s="1"/>
  <c r="E24" i="14"/>
  <c r="H24" i="14" s="1"/>
  <c r="E26" i="14"/>
  <c r="H26" i="14" s="1"/>
  <c r="E28" i="14"/>
  <c r="H28" i="14" s="1"/>
  <c r="E30" i="14"/>
  <c r="H30" i="14" s="1"/>
  <c r="E32" i="14"/>
  <c r="H32" i="14" s="1"/>
  <c r="C18" i="14"/>
  <c r="F18" i="14" s="1"/>
  <c r="M35" i="14"/>
  <c r="P35" i="14" s="1"/>
  <c r="M31" i="14"/>
  <c r="P31" i="14" s="1"/>
  <c r="M26" i="14"/>
  <c r="P26" i="14" s="1"/>
  <c r="O26" i="14"/>
  <c r="R26" i="14" s="1"/>
  <c r="C33" i="14"/>
  <c r="F33" i="14" s="1"/>
  <c r="C31" i="14"/>
  <c r="F31" i="14" s="1"/>
  <c r="C29" i="14"/>
  <c r="F29" i="14" s="1"/>
  <c r="C27" i="14"/>
  <c r="F27" i="14" s="1"/>
  <c r="C25" i="14"/>
  <c r="F25" i="14" s="1"/>
  <c r="C23" i="14"/>
  <c r="F23" i="14" s="1"/>
  <c r="C21" i="14"/>
  <c r="F21" i="14" s="1"/>
  <c r="D32" i="14"/>
  <c r="G32" i="14" s="1"/>
  <c r="D28" i="14"/>
  <c r="G28" i="14" s="1"/>
  <c r="D24" i="14"/>
  <c r="G24" i="14" s="1"/>
  <c r="D20" i="14"/>
  <c r="G20" i="14" s="1"/>
  <c r="C19" i="22"/>
  <c r="F19" i="22" s="1"/>
  <c r="C15" i="22"/>
  <c r="F15" i="22" s="1"/>
  <c r="C11" i="22"/>
  <c r="F11" i="22" s="1"/>
  <c r="C7" i="22"/>
  <c r="F7" i="22" s="1"/>
  <c r="D20" i="22"/>
  <c r="G20" i="22" s="1"/>
  <c r="D16" i="22"/>
  <c r="G16" i="22" s="1"/>
  <c r="D12" i="22"/>
  <c r="G12" i="22" s="1"/>
  <c r="D8" i="22"/>
  <c r="G8" i="22" s="1"/>
  <c r="M25" i="14"/>
  <c r="P25" i="14" s="1"/>
  <c r="M20" i="14"/>
  <c r="P20" i="14" s="1"/>
  <c r="O36" i="14"/>
  <c r="R36" i="14" s="1"/>
  <c r="O20" i="14"/>
  <c r="R20" i="14" s="1"/>
  <c r="N35" i="14"/>
  <c r="Q35" i="14" s="1"/>
  <c r="N27" i="14"/>
  <c r="Q27" i="14" s="1"/>
  <c r="N19" i="14"/>
  <c r="Q19" i="14" s="1"/>
  <c r="E31" i="14"/>
  <c r="H31" i="14" s="1"/>
  <c r="E27" i="14"/>
  <c r="H27" i="14" s="1"/>
  <c r="E23" i="14"/>
  <c r="H23" i="14" s="1"/>
  <c r="E19" i="14"/>
  <c r="H19" i="14" s="1"/>
  <c r="E18" i="22"/>
  <c r="H18" i="22" s="1"/>
  <c r="E14" i="22"/>
  <c r="H14" i="22" s="1"/>
  <c r="E10" i="22"/>
  <c r="H10" i="22" s="1"/>
  <c r="E6" i="22"/>
  <c r="H6" i="22" s="1"/>
  <c r="M37" i="14"/>
  <c r="P37" i="14" s="1"/>
  <c r="M33" i="14"/>
  <c r="P33" i="14" s="1"/>
  <c r="M23" i="14"/>
  <c r="P23" i="14" s="1"/>
  <c r="M18" i="14"/>
  <c r="P18" i="14" s="1"/>
  <c r="O34" i="14"/>
  <c r="R34" i="14" s="1"/>
  <c r="O18" i="14"/>
  <c r="R18" i="14" s="1"/>
  <c r="C61" i="14"/>
  <c r="D61" i="14" s="1"/>
  <c r="C106" i="14"/>
  <c r="D106" i="14" s="1"/>
  <c r="C98" i="14"/>
  <c r="D98" i="14" s="1"/>
  <c r="C90" i="14"/>
  <c r="D90" i="14" s="1"/>
  <c r="C82" i="14"/>
  <c r="D82" i="14" s="1"/>
  <c r="C74" i="14"/>
  <c r="D74" i="14" s="1"/>
  <c r="C66" i="14"/>
  <c r="D66" i="14" s="1"/>
  <c r="I63" i="14"/>
  <c r="J63" i="14" s="1"/>
  <c r="C32" i="14"/>
  <c r="F32" i="14" s="1"/>
  <c r="C30" i="14"/>
  <c r="F30" i="14" s="1"/>
  <c r="C28" i="14"/>
  <c r="F28" i="14" s="1"/>
  <c r="C26" i="14"/>
  <c r="F26" i="14" s="1"/>
  <c r="C24" i="14"/>
  <c r="F24" i="14" s="1"/>
  <c r="C22" i="14"/>
  <c r="F22" i="14" s="1"/>
  <c r="C19" i="14"/>
  <c r="F19" i="14" s="1"/>
  <c r="D30" i="14"/>
  <c r="G30" i="14" s="1"/>
  <c r="D26" i="14"/>
  <c r="G26" i="14" s="1"/>
  <c r="D22" i="14"/>
  <c r="G22" i="14" s="1"/>
  <c r="C17" i="22"/>
  <c r="F17" i="22" s="1"/>
  <c r="C13" i="22"/>
  <c r="F13" i="22" s="1"/>
  <c r="C9" i="22"/>
  <c r="F9" i="22" s="1"/>
  <c r="C5" i="22"/>
  <c r="F5" i="22" s="1"/>
  <c r="D18" i="22"/>
  <c r="G18" i="22" s="1"/>
  <c r="D14" i="22"/>
  <c r="G14" i="22" s="1"/>
  <c r="D10" i="22"/>
  <c r="G10" i="22" s="1"/>
  <c r="D6" i="22"/>
  <c r="G6" i="22" s="1"/>
  <c r="D18" i="14"/>
  <c r="G18" i="14" s="1"/>
  <c r="G34" i="14" s="1"/>
  <c r="M28" i="14"/>
  <c r="P28" i="14" s="1"/>
  <c r="M17" i="14"/>
  <c r="P17" i="14" s="1"/>
  <c r="O28" i="14"/>
  <c r="R28" i="14" s="1"/>
  <c r="N31" i="14"/>
  <c r="Q31" i="14" s="1"/>
  <c r="N23" i="14"/>
  <c r="Q23" i="14" s="1"/>
  <c r="I59" i="14"/>
  <c r="J59" i="14" s="1"/>
  <c r="L59" i="14"/>
  <c r="N59" i="14" s="1"/>
  <c r="O59" i="14" s="1"/>
  <c r="L63" i="14"/>
  <c r="N63" i="14" s="1"/>
  <c r="O63" i="14" s="1"/>
  <c r="A56" i="14"/>
  <c r="C56" i="14" s="1"/>
  <c r="D56" i="14" s="1"/>
  <c r="L56" i="14"/>
  <c r="G61" i="14"/>
  <c r="I61" i="14" s="1"/>
  <c r="J61" i="14" s="1"/>
  <c r="G65" i="14"/>
  <c r="I65" i="14" s="1"/>
  <c r="J65" i="14" s="1"/>
  <c r="G56" i="14"/>
  <c r="I56" i="14" s="1"/>
  <c r="J56" i="14" s="1"/>
  <c r="A67" i="14"/>
  <c r="A71" i="14"/>
  <c r="C71" i="14" s="1"/>
  <c r="D71" i="14" s="1"/>
  <c r="A75" i="14"/>
  <c r="C75" i="14" s="1"/>
  <c r="D75" i="14" s="1"/>
  <c r="A79" i="14"/>
  <c r="C79" i="14" s="1"/>
  <c r="D79" i="14" s="1"/>
  <c r="A83" i="14"/>
  <c r="C83" i="14" s="1"/>
  <c r="D83" i="14" s="1"/>
  <c r="A87" i="14"/>
  <c r="C87" i="14" s="1"/>
  <c r="D87" i="14" s="1"/>
  <c r="A91" i="14"/>
  <c r="C91" i="14" s="1"/>
  <c r="D91" i="14" s="1"/>
  <c r="A95" i="14"/>
  <c r="C95" i="14" s="1"/>
  <c r="D95" i="14" s="1"/>
  <c r="A99" i="14"/>
  <c r="A103" i="14"/>
  <c r="C103" i="14" s="1"/>
  <c r="D103" i="14" s="1"/>
  <c r="A107" i="14"/>
  <c r="C107" i="14" s="1"/>
  <c r="D107" i="14" s="1"/>
  <c r="A58" i="14"/>
  <c r="C58" i="14" s="1"/>
  <c r="D58" i="14" s="1"/>
  <c r="A60" i="14"/>
  <c r="A62" i="14"/>
  <c r="C62" i="14" s="1"/>
  <c r="D62" i="14" s="1"/>
  <c r="A64" i="14"/>
  <c r="C64" i="14" s="1"/>
  <c r="D64" i="14" s="1"/>
  <c r="L58" i="14"/>
  <c r="N58" i="14" s="1"/>
  <c r="O58" i="14" s="1"/>
  <c r="L62" i="14"/>
  <c r="A57" i="14"/>
  <c r="C57" i="14" s="1"/>
  <c r="D57" i="14" s="1"/>
  <c r="G60" i="14"/>
  <c r="I60" i="14" s="1"/>
  <c r="J60" i="14" s="1"/>
  <c r="G64" i="14"/>
  <c r="I64" i="14" s="1"/>
  <c r="J64" i="14" s="1"/>
  <c r="G57" i="14"/>
  <c r="I57" i="14" s="1"/>
  <c r="J57" i="14" s="1"/>
  <c r="A68" i="14"/>
  <c r="A72" i="14"/>
  <c r="C72" i="14" s="1"/>
  <c r="D72" i="14" s="1"/>
  <c r="A76" i="14"/>
  <c r="C76" i="14" s="1"/>
  <c r="D76" i="14" s="1"/>
  <c r="A80" i="14"/>
  <c r="C80" i="14" s="1"/>
  <c r="D80" i="14" s="1"/>
  <c r="A84" i="14"/>
  <c r="A88" i="14"/>
  <c r="C88" i="14" s="1"/>
  <c r="D88" i="14" s="1"/>
  <c r="A92" i="14"/>
  <c r="C92" i="14" s="1"/>
  <c r="D92" i="14" s="1"/>
  <c r="A96" i="14"/>
  <c r="C96" i="14" s="1"/>
  <c r="D96" i="14" s="1"/>
  <c r="A100" i="14"/>
  <c r="A104" i="14"/>
  <c r="C104" i="14" s="1"/>
  <c r="D104" i="14" s="1"/>
  <c r="A108" i="14"/>
  <c r="C108" i="14" s="1"/>
  <c r="D108" i="14" s="1"/>
  <c r="F21" i="22" l="1"/>
  <c r="O24" i="22" s="1"/>
  <c r="H21" i="22"/>
  <c r="P38" i="14"/>
  <c r="F34" i="14"/>
  <c r="G21" i="22"/>
  <c r="Q38" i="14"/>
  <c r="V55" i="14"/>
  <c r="C46" i="14"/>
  <c r="H34" i="14"/>
  <c r="R38" i="14"/>
</calcChain>
</file>

<file path=xl/sharedStrings.xml><?xml version="1.0" encoding="utf-8"?>
<sst xmlns="http://schemas.openxmlformats.org/spreadsheetml/2006/main" count="151" uniqueCount="96">
  <si>
    <t>ap</t>
  </si>
  <si>
    <t>W</t>
  </si>
  <si>
    <t>ku</t>
  </si>
  <si>
    <t>kl</t>
  </si>
  <si>
    <t>sigma</t>
  </si>
  <si>
    <t>emissivity</t>
  </si>
  <si>
    <t>Calculations with varying emissivity for ap=0.3</t>
  </si>
  <si>
    <t>albedo</t>
  </si>
  <si>
    <t>Distances to Sun (millions of km)</t>
  </si>
  <si>
    <t>Venus</t>
  </si>
  <si>
    <t>Earth</t>
  </si>
  <si>
    <t>Mars</t>
  </si>
  <si>
    <t>at Earth</t>
  </si>
  <si>
    <t>epsilon</t>
  </si>
  <si>
    <t>L</t>
  </si>
  <si>
    <t>H</t>
  </si>
  <si>
    <t>Fs</t>
  </si>
  <si>
    <t>Fl</t>
  </si>
  <si>
    <t>Fu</t>
  </si>
  <si>
    <t>surface</t>
  </si>
  <si>
    <t>lower layer</t>
  </si>
  <si>
    <t>upper layer</t>
  </si>
  <si>
    <t>latent heat of vaporization</t>
  </si>
  <si>
    <t>density</t>
  </si>
  <si>
    <t>kg/m^3</t>
  </si>
  <si>
    <t>J/kg</t>
  </si>
  <si>
    <t>W/m^2</t>
  </si>
  <si>
    <t>days per year</t>
  </si>
  <si>
    <t>seconds per day</t>
  </si>
  <si>
    <t>m/s</t>
  </si>
  <si>
    <t>m/yr</t>
  </si>
  <si>
    <t>mm/yr</t>
  </si>
  <si>
    <t>Searth</t>
  </si>
  <si>
    <t>Temperatures</t>
  </si>
  <si>
    <t>Note that if you click on any of the values in cells B1 through B9, the name of a variable pops up in the upper left corner of the spreadsheet.</t>
  </si>
  <si>
    <t>define on the Problem 2 worksheet</t>
  </si>
  <si>
    <t>Earth_perihelion</t>
  </si>
  <si>
    <t>Earth_aphelion</t>
  </si>
  <si>
    <t>Temperatures at Earth's perihelion, aphelion</t>
  </si>
  <si>
    <t>perihelion</t>
  </si>
  <si>
    <t>aphelion</t>
  </si>
  <si>
    <t>Sbar</t>
  </si>
  <si>
    <t>value</t>
  </si>
  <si>
    <t>range</t>
  </si>
  <si>
    <t>70,85</t>
  </si>
  <si>
    <t>15,25</t>
  </si>
  <si>
    <t>S_absorbed</t>
  </si>
  <si>
    <t>74,91</t>
  </si>
  <si>
    <t>Solar</t>
  </si>
  <si>
    <t>EarthRadius</t>
  </si>
  <si>
    <t>km</t>
  </si>
  <si>
    <t>MixedLayer</t>
  </si>
  <si>
    <r>
      <t>km</t>
    </r>
    <r>
      <rPr>
        <vertAlign val="superscript"/>
        <sz val="12"/>
        <rFont val="Calibri"/>
        <family val="2"/>
        <scheme val="minor"/>
      </rPr>
      <t>3</t>
    </r>
  </si>
  <si>
    <t>OceanPct</t>
  </si>
  <si>
    <t>MixedLayerDepth</t>
  </si>
  <si>
    <t>m</t>
  </si>
  <si>
    <t>MixedLayerMass</t>
  </si>
  <si>
    <r>
      <t>kg/m</t>
    </r>
    <r>
      <rPr>
        <vertAlign val="superscript"/>
        <sz val="12"/>
        <rFont val="Calibri"/>
        <family val="2"/>
        <scheme val="minor"/>
      </rPr>
      <t>2</t>
    </r>
  </si>
  <si>
    <t>heat content</t>
  </si>
  <si>
    <t>specific heat water</t>
  </si>
  <si>
    <t>J/kg/deg</t>
  </si>
  <si>
    <r>
      <t>J/m</t>
    </r>
    <r>
      <rPr>
        <vertAlign val="superscript"/>
        <sz val="12"/>
        <rFont val="Calibri"/>
        <family val="2"/>
        <scheme val="minor"/>
      </rPr>
      <t>2</t>
    </r>
  </si>
  <si>
    <t>how long to get rid of heat content?</t>
  </si>
  <si>
    <t>seconds =</t>
  </si>
  <si>
    <t>yr</t>
  </si>
  <si>
    <t>net energy at surface</t>
  </si>
  <si>
    <t>base</t>
  </si>
  <si>
    <t>T</t>
  </si>
  <si>
    <t>extra 0.6 W</t>
  </si>
  <si>
    <t>Tdiff</t>
  </si>
  <si>
    <t>averages</t>
  </si>
  <si>
    <t>Fs before</t>
  </si>
  <si>
    <t>Fs after</t>
  </si>
  <si>
    <t>difference</t>
  </si>
  <si>
    <t>Water Mass</t>
  </si>
  <si>
    <r>
      <t>kg/m</t>
    </r>
    <r>
      <rPr>
        <vertAlign val="superscript"/>
        <sz val="12"/>
        <rFont val="Calibri"/>
        <family val="2"/>
        <scheme val="minor"/>
      </rPr>
      <t>3</t>
    </r>
  </si>
  <si>
    <t xml:space="preserve">km </t>
  </si>
  <si>
    <t>Solar Constant + 2 Wm-2</t>
  </si>
  <si>
    <t>DIFFERENCE</t>
  </si>
  <si>
    <t>Temperature (k)</t>
  </si>
  <si>
    <t>Emissivity</t>
  </si>
  <si>
    <t>Average</t>
  </si>
  <si>
    <t>Averages</t>
  </si>
  <si>
    <t>Normal Solar Constant</t>
  </si>
  <si>
    <t>For CO2 400 ppm</t>
  </si>
  <si>
    <t>CO2 ppm</t>
  </si>
  <si>
    <t>ap400</t>
  </si>
  <si>
    <t>Surface Temp (k)</t>
  </si>
  <si>
    <t>Albedo</t>
  </si>
  <si>
    <t>For CO2 500 ppm</t>
  </si>
  <si>
    <t>Variables for emissivity and CO2</t>
  </si>
  <si>
    <t>K</t>
  </si>
  <si>
    <t>*** We are trying to find an albedo whereby the surface temperature for CO2 500pm matches this temperature (CO2 400ppm)</t>
  </si>
  <si>
    <t>*** Albedo is between 0.28737 abd 0.28738</t>
  </si>
  <si>
    <t>Method 1</t>
  </si>
  <si>
    <t>Method 2 -- Rearrange equation for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</si>
</sst>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%"/>
    <numFmt numFmtId="167" formatCode="0.000E+00"/>
    <numFmt numFmtId="168" formatCode="0.000"/>
    <numFmt numFmtId="169" formatCode="0.00000"/>
  </numFmts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vertical="center" wrapText="1"/>
    </xf>
    <xf numFmtId="2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/>
    <xf numFmtId="11" fontId="5" fillId="0" borderId="0" xfId="0" applyNumberFormat="1" applyFont="1"/>
    <xf numFmtId="166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0" applyNumberFormat="1" applyFont="1"/>
    <xf numFmtId="1" fontId="5" fillId="0" borderId="0" xfId="0" applyNumberFormat="1" applyFont="1"/>
    <xf numFmtId="167" fontId="5" fillId="0" borderId="0" xfId="0" applyNumberFormat="1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2" fontId="7" fillId="0" borderId="0" xfId="0" applyNumberFormat="1" applyFont="1"/>
    <xf numFmtId="11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4" fillId="2" borderId="0" xfId="0" applyFont="1" applyFill="1"/>
    <xf numFmtId="2" fontId="4" fillId="2" borderId="0" xfId="0" applyNumberFormat="1" applyFont="1" applyFill="1"/>
    <xf numFmtId="168" fontId="4" fillId="0" borderId="0" xfId="0" applyNumberFormat="1" applyFont="1"/>
    <xf numFmtId="3" fontId="4" fillId="0" borderId="0" xfId="0" applyNumberFormat="1" applyFont="1" applyAlignment="1">
      <alignment horizontal="left"/>
    </xf>
    <xf numFmtId="0" fontId="7" fillId="2" borderId="0" xfId="0" applyFont="1" applyFill="1"/>
    <xf numFmtId="2" fontId="7" fillId="2" borderId="0" xfId="0" applyNumberFormat="1" applyFont="1" applyFill="1"/>
    <xf numFmtId="168" fontId="4" fillId="2" borderId="0" xfId="0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1" fontId="0" fillId="2" borderId="0" xfId="0" applyNumberFormat="1" applyFill="1"/>
    <xf numFmtId="0" fontId="0" fillId="2" borderId="0" xfId="0" applyFill="1"/>
    <xf numFmtId="0" fontId="10" fillId="2" borderId="0" xfId="0" applyFont="1" applyFill="1"/>
    <xf numFmtId="168" fontId="4" fillId="4" borderId="0" xfId="0" applyNumberFormat="1" applyFont="1" applyFill="1"/>
    <xf numFmtId="0" fontId="11" fillId="0" borderId="0" xfId="0" applyFont="1"/>
    <xf numFmtId="169" fontId="4" fillId="2" borderId="0" xfId="0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/>
    <xf numFmtId="11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51942286348501E-2"/>
          <c:y val="3.2626427406198998E-2"/>
          <c:w val="0.88057381160688197"/>
          <c:h val="0.8629690048939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'Problem 1 - Venus, Earth, Mars'!$B$19</c:f>
              <c:strCache>
                <c:ptCount val="1"/>
                <c:pt idx="0">
                  <c:v>Venus</c:v>
                </c:pt>
              </c:strCache>
            </c:strRef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'Problem 1 - Venus, Earth, Mars'!$A$20:$A$53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0.89</c:v>
                </c:pt>
                <c:pt idx="14">
                  <c:v>0.9</c:v>
                </c:pt>
                <c:pt idx="15">
                  <c:v>0.91</c:v>
                </c:pt>
                <c:pt idx="16">
                  <c:v>0.92</c:v>
                </c:pt>
                <c:pt idx="17">
                  <c:v>0.93</c:v>
                </c:pt>
                <c:pt idx="18">
                  <c:v>0.94</c:v>
                </c:pt>
                <c:pt idx="19">
                  <c:v>0.95</c:v>
                </c:pt>
                <c:pt idx="20">
                  <c:v>0.96</c:v>
                </c:pt>
                <c:pt idx="21">
                  <c:v>0.97</c:v>
                </c:pt>
                <c:pt idx="22">
                  <c:v>0.98</c:v>
                </c:pt>
                <c:pt idx="23">
                  <c:v>0.99</c:v>
                </c:pt>
                <c:pt idx="24">
                  <c:v>0.99099999999999999</c:v>
                </c:pt>
                <c:pt idx="25">
                  <c:v>0.99199999999999999</c:v>
                </c:pt>
                <c:pt idx="26">
                  <c:v>0.99299999999999999</c:v>
                </c:pt>
                <c:pt idx="27">
                  <c:v>0.99399999999999999</c:v>
                </c:pt>
                <c:pt idx="28">
                  <c:v>0.995</c:v>
                </c:pt>
                <c:pt idx="29">
                  <c:v>0.996</c:v>
                </c:pt>
                <c:pt idx="30">
                  <c:v>0.997</c:v>
                </c:pt>
                <c:pt idx="31">
                  <c:v>0.998</c:v>
                </c:pt>
                <c:pt idx="32">
                  <c:v>0.999</c:v>
                </c:pt>
                <c:pt idx="33">
                  <c:v>1</c:v>
                </c:pt>
              </c:numCache>
            </c:numRef>
          </c:xVal>
          <c:yVal>
            <c:numRef>
              <c:f>'Problem 1 - Venus, Earth, Mars'!$B$20:$B$53</c:f>
              <c:numCache>
                <c:formatCode>0.00</c:formatCode>
                <c:ptCount val="34"/>
                <c:pt idx="0">
                  <c:v>327.63284524330572</c:v>
                </c:pt>
                <c:pt idx="1">
                  <c:v>319.11561871895907</c:v>
                </c:pt>
                <c:pt idx="2">
                  <c:v>309.85601422269229</c:v>
                </c:pt>
                <c:pt idx="3">
                  <c:v>299.68288667496529</c:v>
                </c:pt>
                <c:pt idx="4">
                  <c:v>288.35351245764679</c:v>
                </c:pt>
                <c:pt idx="5">
                  <c:v>275.5052850844707</c:v>
                </c:pt>
                <c:pt idx="6">
                  <c:v>260.55681160466605</c:v>
                </c:pt>
                <c:pt idx="7">
                  <c:v>242.4754349514526</c:v>
                </c:pt>
                <c:pt idx="8">
                  <c:v>219.10128884830101</c:v>
                </c:pt>
                <c:pt idx="9">
                  <c:v>203.89672403776163</c:v>
                </c:pt>
                <c:pt idx="10">
                  <c:v>200.41002503123084</c:v>
                </c:pt>
                <c:pt idx="11">
                  <c:v>196.73121377646501</c:v>
                </c:pt>
                <c:pt idx="12">
                  <c:v>192.83361586194926</c:v>
                </c:pt>
                <c:pt idx="13">
                  <c:v>188.68423033701481</c:v>
                </c:pt>
                <c:pt idx="14">
                  <c:v>184.24148837000507</c:v>
                </c:pt>
                <c:pt idx="15">
                  <c:v>179.45189991935757</c:v>
                </c:pt>
                <c:pt idx="16">
                  <c:v>174.24484165618838</c:v>
                </c:pt>
                <c:pt idx="17">
                  <c:v>168.52407162966929</c:v>
                </c:pt>
                <c:pt idx="18">
                  <c:v>162.15309631872503</c:v>
                </c:pt>
                <c:pt idx="19">
                  <c:v>154.92800711134626</c:v>
                </c:pt>
                <c:pt idx="20">
                  <c:v>146.52186272513998</c:v>
                </c:pt>
                <c:pt idx="21">
                  <c:v>136.35395741670609</c:v>
                </c:pt>
                <c:pt idx="22">
                  <c:v>123.20970912186712</c:v>
                </c:pt>
                <c:pt idx="23">
                  <c:v>103.60660272503091</c:v>
                </c:pt>
                <c:pt idx="24">
                  <c:v>100.9132192085775</c:v>
                </c:pt>
                <c:pt idx="25">
                  <c:v>97.985075164523565</c:v>
                </c:pt>
                <c:pt idx="26">
                  <c:v>94.768049766701509</c:v>
                </c:pt>
                <c:pt idx="27">
                  <c:v>91.185387067590113</c:v>
                </c:pt>
                <c:pt idx="28">
                  <c:v>87.122420828094263</c:v>
                </c:pt>
                <c:pt idx="29">
                  <c:v>82.395298454213673</c:v>
                </c:pt>
                <c:pt idx="30">
                  <c:v>76.677465108658922</c:v>
                </c:pt>
                <c:pt idx="31">
                  <c:v>69.285911103908177</c:v>
                </c:pt>
                <c:pt idx="32">
                  <c:v>58.262274274863948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0-E046-84FA-518B5C6BE3B3}"/>
            </c:ext>
          </c:extLst>
        </c:ser>
        <c:ser>
          <c:idx val="1"/>
          <c:order val="1"/>
          <c:tx>
            <c:strRef>
              <c:f>'Problem 1 - Venus, Earth, Mars'!$C$19</c:f>
              <c:strCache>
                <c:ptCount val="1"/>
                <c:pt idx="0">
                  <c:v>Earth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'Problem 1 - Venus, Earth, Mars'!$A$20:$A$53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0.89</c:v>
                </c:pt>
                <c:pt idx="14">
                  <c:v>0.9</c:v>
                </c:pt>
                <c:pt idx="15">
                  <c:v>0.91</c:v>
                </c:pt>
                <c:pt idx="16">
                  <c:v>0.92</c:v>
                </c:pt>
                <c:pt idx="17">
                  <c:v>0.93</c:v>
                </c:pt>
                <c:pt idx="18">
                  <c:v>0.94</c:v>
                </c:pt>
                <c:pt idx="19">
                  <c:v>0.95</c:v>
                </c:pt>
                <c:pt idx="20">
                  <c:v>0.96</c:v>
                </c:pt>
                <c:pt idx="21">
                  <c:v>0.97</c:v>
                </c:pt>
                <c:pt idx="22">
                  <c:v>0.98</c:v>
                </c:pt>
                <c:pt idx="23">
                  <c:v>0.99</c:v>
                </c:pt>
                <c:pt idx="24">
                  <c:v>0.99099999999999999</c:v>
                </c:pt>
                <c:pt idx="25">
                  <c:v>0.99199999999999999</c:v>
                </c:pt>
                <c:pt idx="26">
                  <c:v>0.99299999999999999</c:v>
                </c:pt>
                <c:pt idx="27">
                  <c:v>0.99399999999999999</c:v>
                </c:pt>
                <c:pt idx="28">
                  <c:v>0.995</c:v>
                </c:pt>
                <c:pt idx="29">
                  <c:v>0.996</c:v>
                </c:pt>
                <c:pt idx="30">
                  <c:v>0.997</c:v>
                </c:pt>
                <c:pt idx="31">
                  <c:v>0.998</c:v>
                </c:pt>
                <c:pt idx="32">
                  <c:v>0.999</c:v>
                </c:pt>
                <c:pt idx="33">
                  <c:v>1</c:v>
                </c:pt>
              </c:numCache>
            </c:numRef>
          </c:xVal>
          <c:yVal>
            <c:numRef>
              <c:f>'Problem 1 - Venus, Earth, Mars'!$C$20:$C$53</c:f>
              <c:numCache>
                <c:formatCode>0.00</c:formatCode>
                <c:ptCount val="34"/>
                <c:pt idx="0">
                  <c:v>278.37710518355414</c:v>
                </c:pt>
                <c:pt idx="1">
                  <c:v>271.14034336781049</c:v>
                </c:pt>
                <c:pt idx="2">
                  <c:v>263.27281136594064</c:v>
                </c:pt>
                <c:pt idx="3">
                  <c:v>254.62909374569946</c:v>
                </c:pt>
                <c:pt idx="4">
                  <c:v>245.00295752661489</c:v>
                </c:pt>
                <c:pt idx="5">
                  <c:v>234.0863098375568</c:v>
                </c:pt>
                <c:pt idx="6">
                  <c:v>221.38516331138698</c:v>
                </c:pt>
                <c:pt idx="7">
                  <c:v>206.02210871068863</c:v>
                </c:pt>
                <c:pt idx="8">
                  <c:v>186.16199021890338</c:v>
                </c:pt>
                <c:pt idx="9">
                  <c:v>173.24325267782908</c:v>
                </c:pt>
                <c:pt idx="10">
                  <c:v>170.28073780736906</c:v>
                </c:pt>
                <c:pt idx="11">
                  <c:v>167.15499250287164</c:v>
                </c:pt>
                <c:pt idx="12">
                  <c:v>163.84335253647384</c:v>
                </c:pt>
                <c:pt idx="13">
                  <c:v>160.31777826181894</c:v>
                </c:pt>
                <c:pt idx="14">
                  <c:v>156.54295023157297</c:v>
                </c:pt>
                <c:pt idx="15">
                  <c:v>152.4734200020209</c:v>
                </c:pt>
                <c:pt idx="16">
                  <c:v>148.04918163011195</c:v>
                </c:pt>
                <c:pt idx="17">
                  <c:v>143.18846200897437</c:v>
                </c:pt>
                <c:pt idx="18">
                  <c:v>137.77528781107151</c:v>
                </c:pt>
                <c:pt idx="19">
                  <c:v>131.63640568297043</c:v>
                </c:pt>
                <c:pt idx="20">
                  <c:v>124.49402611400716</c:v>
                </c:pt>
                <c:pt idx="21">
                  <c:v>115.85474563087877</c:v>
                </c:pt>
                <c:pt idx="22">
                  <c:v>104.68658027977099</c:v>
                </c:pt>
                <c:pt idx="23">
                  <c:v>88.030570082429676</c:v>
                </c:pt>
                <c:pt idx="24">
                  <c:v>85.742105060241101</c:v>
                </c:pt>
                <c:pt idx="25">
                  <c:v>83.254172991223811</c:v>
                </c:pt>
                <c:pt idx="26">
                  <c:v>80.520789478094571</c:v>
                </c:pt>
                <c:pt idx="27">
                  <c:v>77.476737926159686</c:v>
                </c:pt>
                <c:pt idx="28">
                  <c:v>74.024590815055959</c:v>
                </c:pt>
                <c:pt idx="29">
                  <c:v>70.008135623232761</c:v>
                </c:pt>
                <c:pt idx="30">
                  <c:v>65.149911187659157</c:v>
                </c:pt>
                <c:pt idx="31">
                  <c:v>58.869590284172268</c:v>
                </c:pt>
                <c:pt idx="32">
                  <c:v>49.503227437415383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0-E046-84FA-518B5C6BE3B3}"/>
            </c:ext>
          </c:extLst>
        </c:ser>
        <c:ser>
          <c:idx val="2"/>
          <c:order val="2"/>
          <c:tx>
            <c:strRef>
              <c:f>'Problem 1 - Venus, Earth, Mars'!$D$19</c:f>
              <c:strCache>
                <c:ptCount val="1"/>
                <c:pt idx="0">
                  <c:v>Mars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'Problem 1 - Venus, Earth, Mars'!$A$20:$A$53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0.89</c:v>
                </c:pt>
                <c:pt idx="14">
                  <c:v>0.9</c:v>
                </c:pt>
                <c:pt idx="15">
                  <c:v>0.91</c:v>
                </c:pt>
                <c:pt idx="16">
                  <c:v>0.92</c:v>
                </c:pt>
                <c:pt idx="17">
                  <c:v>0.93</c:v>
                </c:pt>
                <c:pt idx="18">
                  <c:v>0.94</c:v>
                </c:pt>
                <c:pt idx="19">
                  <c:v>0.95</c:v>
                </c:pt>
                <c:pt idx="20">
                  <c:v>0.96</c:v>
                </c:pt>
                <c:pt idx="21">
                  <c:v>0.97</c:v>
                </c:pt>
                <c:pt idx="22">
                  <c:v>0.98</c:v>
                </c:pt>
                <c:pt idx="23">
                  <c:v>0.99</c:v>
                </c:pt>
                <c:pt idx="24">
                  <c:v>0.99099999999999999</c:v>
                </c:pt>
                <c:pt idx="25">
                  <c:v>0.99199999999999999</c:v>
                </c:pt>
                <c:pt idx="26">
                  <c:v>0.99299999999999999</c:v>
                </c:pt>
                <c:pt idx="27">
                  <c:v>0.99399999999999999</c:v>
                </c:pt>
                <c:pt idx="28">
                  <c:v>0.995</c:v>
                </c:pt>
                <c:pt idx="29">
                  <c:v>0.996</c:v>
                </c:pt>
                <c:pt idx="30">
                  <c:v>0.997</c:v>
                </c:pt>
                <c:pt idx="31">
                  <c:v>0.998</c:v>
                </c:pt>
                <c:pt idx="32">
                  <c:v>0.999</c:v>
                </c:pt>
                <c:pt idx="33">
                  <c:v>1</c:v>
                </c:pt>
              </c:numCache>
            </c:numRef>
          </c:xVal>
          <c:yVal>
            <c:numRef>
              <c:f>'Problem 1 - Venus, Earth, Mars'!$D$20:$D$53</c:f>
              <c:numCache>
                <c:formatCode>0.00</c:formatCode>
                <c:ptCount val="34"/>
                <c:pt idx="0">
                  <c:v>225.49238889477942</c:v>
                </c:pt>
                <c:pt idx="1">
                  <c:v>219.63043157390521</c:v>
                </c:pt>
                <c:pt idx="2">
                  <c:v>213.2575346913186</c:v>
                </c:pt>
                <c:pt idx="3">
                  <c:v>206.25590812495676</c:v>
                </c:pt>
                <c:pt idx="4">
                  <c:v>198.45849802387571</c:v>
                </c:pt>
                <c:pt idx="5">
                  <c:v>189.61574148861661</c:v>
                </c:pt>
                <c:pt idx="6">
                  <c:v>179.32749644777439</c:v>
                </c:pt>
                <c:pt idx="7">
                  <c:v>166.88303956491339</c:v>
                </c:pt>
                <c:pt idx="8">
                  <c:v>150.79584891935679</c:v>
                </c:pt>
                <c:pt idx="9">
                  <c:v>140.33134973677954</c:v>
                </c:pt>
                <c:pt idx="10">
                  <c:v>137.93163890267249</c:v>
                </c:pt>
                <c:pt idx="11">
                  <c:v>135.39970735132232</c:v>
                </c:pt>
                <c:pt idx="12">
                  <c:v>132.7171964936492</c:v>
                </c:pt>
                <c:pt idx="13">
                  <c:v>129.86139351770504</c:v>
                </c:pt>
                <c:pt idx="14">
                  <c:v>126.80368879142779</c:v>
                </c:pt>
                <c:pt idx="15">
                  <c:v>123.50726794339812</c:v>
                </c:pt>
                <c:pt idx="16">
                  <c:v>119.92352466514291</c:v>
                </c:pt>
                <c:pt idx="17">
                  <c:v>115.98622070332704</c:v>
                </c:pt>
                <c:pt idx="18">
                  <c:v>111.60141477403252</c:v>
                </c:pt>
                <c:pt idx="19">
                  <c:v>106.6287673456593</c:v>
                </c:pt>
                <c:pt idx="20">
                  <c:v>100.84326199550914</c:v>
                </c:pt>
                <c:pt idx="21">
                  <c:v>93.845229620726911</c:v>
                </c:pt>
                <c:pt idx="22">
                  <c:v>84.798737514514741</c:v>
                </c:pt>
                <c:pt idx="23">
                  <c:v>71.306954393996165</c:v>
                </c:pt>
                <c:pt idx="24">
                  <c:v>69.453240725930058</c:v>
                </c:pt>
                <c:pt idx="25">
                  <c:v>67.43795378169402</c:v>
                </c:pt>
                <c:pt idx="26">
                  <c:v>65.223845054129271</c:v>
                </c:pt>
                <c:pt idx="27">
                  <c:v>62.758087477147228</c:v>
                </c:pt>
                <c:pt idx="28">
                  <c:v>59.961762332571453</c:v>
                </c:pt>
                <c:pt idx="29">
                  <c:v>56.708333587072154</c:v>
                </c:pt>
                <c:pt idx="30">
                  <c:v>52.773050787712158</c:v>
                </c:pt>
                <c:pt idx="31">
                  <c:v>47.685834428380815</c:v>
                </c:pt>
                <c:pt idx="32">
                  <c:v>40.098847229207593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B0-E046-84FA-518B5C6B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21920"/>
        <c:axId val="1543123968"/>
      </c:scatterChart>
      <c:valAx>
        <c:axId val="154312192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planetary albedo</a:t>
                </a:r>
              </a:p>
            </c:rich>
          </c:tx>
          <c:layout>
            <c:manualLayout>
              <c:xMode val="edge"/>
              <c:yMode val="edge"/>
              <c:x val="0.41953385127636"/>
              <c:y val="0.94616639477977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123968"/>
        <c:crosses val="autoZero"/>
        <c:crossBetween val="midCat"/>
      </c:valAx>
      <c:valAx>
        <c:axId val="1543123968"/>
        <c:scaling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</a:t>
                </a:r>
              </a:p>
            </c:rich>
          </c:tx>
          <c:layout>
            <c:manualLayout>
              <c:xMode val="edge"/>
              <c:yMode val="edge"/>
              <c:x val="1.10987791342952E-2"/>
              <c:y val="0.396411092985318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121920"/>
        <c:crosses val="autoZero"/>
        <c:crossBetween val="midCat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53123359580002"/>
          <c:y val="5.0553550138749098E-2"/>
          <c:w val="8.1021087680355194E-2"/>
          <c:h val="0.1044045676998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51942286348501E-2"/>
          <c:y val="3.2626427406198998E-2"/>
          <c:w val="0.81687014428412896"/>
          <c:h val="0.8629690048939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'Problem 1 - Venus, Earth, Mars'!$K$19</c:f>
              <c:strCache>
                <c:ptCount val="1"/>
                <c:pt idx="0">
                  <c:v>perihelion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'Problem 1 - Venus, Earth, Mars'!$A$20:$A$53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0.89</c:v>
                </c:pt>
                <c:pt idx="14">
                  <c:v>0.9</c:v>
                </c:pt>
                <c:pt idx="15">
                  <c:v>0.91</c:v>
                </c:pt>
                <c:pt idx="16">
                  <c:v>0.92</c:v>
                </c:pt>
                <c:pt idx="17">
                  <c:v>0.93</c:v>
                </c:pt>
                <c:pt idx="18">
                  <c:v>0.94</c:v>
                </c:pt>
                <c:pt idx="19">
                  <c:v>0.95</c:v>
                </c:pt>
                <c:pt idx="20">
                  <c:v>0.96</c:v>
                </c:pt>
                <c:pt idx="21">
                  <c:v>0.97</c:v>
                </c:pt>
                <c:pt idx="22">
                  <c:v>0.98</c:v>
                </c:pt>
                <c:pt idx="23">
                  <c:v>0.99</c:v>
                </c:pt>
                <c:pt idx="24">
                  <c:v>0.99099999999999999</c:v>
                </c:pt>
                <c:pt idx="25">
                  <c:v>0.99199999999999999</c:v>
                </c:pt>
                <c:pt idx="26">
                  <c:v>0.99299999999999999</c:v>
                </c:pt>
                <c:pt idx="27">
                  <c:v>0.99399999999999999</c:v>
                </c:pt>
                <c:pt idx="28">
                  <c:v>0.995</c:v>
                </c:pt>
                <c:pt idx="29">
                  <c:v>0.996</c:v>
                </c:pt>
                <c:pt idx="30">
                  <c:v>0.997</c:v>
                </c:pt>
                <c:pt idx="31">
                  <c:v>0.998</c:v>
                </c:pt>
                <c:pt idx="32">
                  <c:v>0.999</c:v>
                </c:pt>
                <c:pt idx="33">
                  <c:v>1</c:v>
                </c:pt>
              </c:numCache>
            </c:numRef>
          </c:xVal>
          <c:yVal>
            <c:numRef>
              <c:f>'Problem 1 - Venus, Earth, Mars'!$K$20:$K$53</c:f>
              <c:numCache>
                <c:formatCode>0.00</c:formatCode>
                <c:ptCount val="34"/>
                <c:pt idx="0">
                  <c:v>280.73107891022562</c:v>
                </c:pt>
                <c:pt idx="1">
                  <c:v>273.43312259657546</c:v>
                </c:pt>
                <c:pt idx="2">
                  <c:v>265.49906226575439</c:v>
                </c:pt>
                <c:pt idx="3">
                  <c:v>256.78225284378118</c:v>
                </c:pt>
                <c:pt idx="4">
                  <c:v>247.07471743156199</c:v>
                </c:pt>
                <c:pt idx="5">
                  <c:v>236.06575790591651</c:v>
                </c:pt>
                <c:pt idx="6">
                  <c:v>223.25720971249569</c:v>
                </c:pt>
                <c:pt idx="7">
                  <c:v>207.76424418802483</c:v>
                </c:pt>
                <c:pt idx="8">
                  <c:v>187.73618732678432</c:v>
                </c:pt>
                <c:pt idx="9">
                  <c:v>174.70820815560754</c:v>
                </c:pt>
                <c:pt idx="10">
                  <c:v>171.72064207928295</c:v>
                </c:pt>
                <c:pt idx="11">
                  <c:v>168.5684652824464</c:v>
                </c:pt>
                <c:pt idx="12">
                  <c:v>165.22882188714593</c:v>
                </c:pt>
                <c:pt idx="13">
                  <c:v>161.67343514207076</c:v>
                </c:pt>
                <c:pt idx="14">
                  <c:v>157.86668693649284</c:v>
                </c:pt>
                <c:pt idx="15">
                  <c:v>153.7627445118934</c:v>
                </c:pt>
                <c:pt idx="16">
                  <c:v>149.30109451131929</c:v>
                </c:pt>
                <c:pt idx="17">
                  <c:v>144.39927234953515</c:v>
                </c:pt>
                <c:pt idx="18">
                  <c:v>138.94032402149557</c:v>
                </c:pt>
                <c:pt idx="19">
                  <c:v>132.74953113287717</c:v>
                </c:pt>
                <c:pt idx="20">
                  <c:v>125.54675516802448</c:v>
                </c:pt>
                <c:pt idx="21">
                  <c:v>116.83442040386524</c:v>
                </c:pt>
                <c:pt idx="22">
                  <c:v>105.57181636752757</c:v>
                </c:pt>
                <c:pt idx="23">
                  <c:v>88.774961935277332</c:v>
                </c:pt>
                <c:pt idx="24">
                  <c:v>86.467145513723267</c:v>
                </c:pt>
                <c:pt idx="25">
                  <c:v>83.958175339864894</c:v>
                </c:pt>
                <c:pt idx="26">
                  <c:v>81.20167816955977</c:v>
                </c:pt>
                <c:pt idx="27">
                  <c:v>78.131885932624357</c:v>
                </c:pt>
                <c:pt idx="28">
                  <c:v>74.650547255659703</c:v>
                </c:pt>
                <c:pt idx="29">
                  <c:v>70.600128674535171</c:v>
                </c:pt>
                <c:pt idx="30">
                  <c:v>65.700822797755919</c:v>
                </c:pt>
                <c:pt idx="31">
                  <c:v>59.367395118867627</c:v>
                </c:pt>
                <c:pt idx="32">
                  <c:v>49.921829738406657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7-0443-9E1C-6BCCCB734306}"/>
            </c:ext>
          </c:extLst>
        </c:ser>
        <c:ser>
          <c:idx val="1"/>
          <c:order val="1"/>
          <c:tx>
            <c:v>aphelion</c:v>
          </c:tx>
          <c:spPr>
            <a:ln w="38100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'Problem 1 - Venus, Earth, Mars'!$A$20:$A$53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0.89</c:v>
                </c:pt>
                <c:pt idx="14">
                  <c:v>0.9</c:v>
                </c:pt>
                <c:pt idx="15">
                  <c:v>0.91</c:v>
                </c:pt>
                <c:pt idx="16">
                  <c:v>0.92</c:v>
                </c:pt>
                <c:pt idx="17">
                  <c:v>0.93</c:v>
                </c:pt>
                <c:pt idx="18">
                  <c:v>0.94</c:v>
                </c:pt>
                <c:pt idx="19">
                  <c:v>0.95</c:v>
                </c:pt>
                <c:pt idx="20">
                  <c:v>0.96</c:v>
                </c:pt>
                <c:pt idx="21">
                  <c:v>0.97</c:v>
                </c:pt>
                <c:pt idx="22">
                  <c:v>0.98</c:v>
                </c:pt>
                <c:pt idx="23">
                  <c:v>0.99</c:v>
                </c:pt>
                <c:pt idx="24">
                  <c:v>0.99099999999999999</c:v>
                </c:pt>
                <c:pt idx="25">
                  <c:v>0.99199999999999999</c:v>
                </c:pt>
                <c:pt idx="26">
                  <c:v>0.99299999999999999</c:v>
                </c:pt>
                <c:pt idx="27">
                  <c:v>0.99399999999999999</c:v>
                </c:pt>
                <c:pt idx="28">
                  <c:v>0.995</c:v>
                </c:pt>
                <c:pt idx="29">
                  <c:v>0.996</c:v>
                </c:pt>
                <c:pt idx="30">
                  <c:v>0.997</c:v>
                </c:pt>
                <c:pt idx="31">
                  <c:v>0.998</c:v>
                </c:pt>
                <c:pt idx="32">
                  <c:v>0.999</c:v>
                </c:pt>
                <c:pt idx="33">
                  <c:v>1</c:v>
                </c:pt>
              </c:numCache>
            </c:numRef>
          </c:xVal>
          <c:yVal>
            <c:numRef>
              <c:f>'Problem 1 - Venus, Earth, Mars'!$L$20:$L$53</c:f>
              <c:numCache>
                <c:formatCode>0.00</c:formatCode>
                <c:ptCount val="34"/>
                <c:pt idx="0">
                  <c:v>276.08137074373104</c:v>
                </c:pt>
                <c:pt idx="1">
                  <c:v>268.90428942262548</c:v>
                </c:pt>
                <c:pt idx="2">
                  <c:v>261.10163978297857</c:v>
                </c:pt>
                <c:pt idx="3">
                  <c:v>252.52920561191263</c:v>
                </c:pt>
                <c:pt idx="4">
                  <c:v>242.98245470156601</c:v>
                </c:pt>
                <c:pt idx="5">
                  <c:v>232.15583497673529</c:v>
                </c:pt>
                <c:pt idx="6">
                  <c:v>219.55943291037323</c:v>
                </c:pt>
                <c:pt idx="7">
                  <c:v>204.32307512809484</c:v>
                </c:pt>
                <c:pt idx="8">
                  <c:v>184.62674006947137</c:v>
                </c:pt>
                <c:pt idx="9">
                  <c:v>171.81454142883041</c:v>
                </c:pt>
                <c:pt idx="10">
                  <c:v>168.87645797636407</c:v>
                </c:pt>
                <c:pt idx="11">
                  <c:v>165.77649022688834</c:v>
                </c:pt>
                <c:pt idx="12">
                  <c:v>162.49216086104479</c:v>
                </c:pt>
                <c:pt idx="13">
                  <c:v>158.99566147125566</c:v>
                </c:pt>
                <c:pt idx="14">
                  <c:v>155.25196388439775</c:v>
                </c:pt>
                <c:pt idx="15">
                  <c:v>151.21599446328833</c:v>
                </c:pt>
                <c:pt idx="16">
                  <c:v>146.8282421249333</c:v>
                </c:pt>
                <c:pt idx="17">
                  <c:v>142.00760813306906</c:v>
                </c:pt>
                <c:pt idx="18">
                  <c:v>136.63907557488255</c:v>
                </c:pt>
                <c:pt idx="19">
                  <c:v>130.55081989148928</c:v>
                </c:pt>
                <c:pt idx="20">
                  <c:v>123.46734246086091</c:v>
                </c:pt>
                <c:pt idx="21">
                  <c:v>114.89930883450018</c:v>
                </c:pt>
                <c:pt idx="22">
                  <c:v>103.82324567624072</c:v>
                </c:pt>
                <c:pt idx="23">
                  <c:v>87.304595109156494</c:v>
                </c:pt>
                <c:pt idx="24">
                  <c:v>85.035002716462103</c:v>
                </c:pt>
                <c:pt idx="25">
                  <c:v>82.567588251904482</c:v>
                </c:pt>
                <c:pt idx="26">
                  <c:v>79.856746544661888</c:v>
                </c:pt>
                <c:pt idx="27">
                  <c:v>76.837798831563688</c:v>
                </c:pt>
                <c:pt idx="28">
                  <c:v>73.414121062466705</c:v>
                </c:pt>
                <c:pt idx="29">
                  <c:v>69.430788977171161</c:v>
                </c:pt>
                <c:pt idx="30">
                  <c:v>64.612629593447991</c:v>
                </c:pt>
                <c:pt idx="31">
                  <c:v>58.384101559140369</c:v>
                </c:pt>
                <c:pt idx="32">
                  <c:v>49.094981708889939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7-0443-9E1C-6BCCCB73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143840"/>
        <c:axId val="1538108480"/>
      </c:scatterChart>
      <c:valAx>
        <c:axId val="1538143840"/>
        <c:scaling>
          <c:orientation val="minMax"/>
          <c:max val="0.7"/>
          <c:min val="0.1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planetary albedo</a:t>
                </a:r>
              </a:p>
            </c:rich>
          </c:tx>
          <c:layout>
            <c:manualLayout>
              <c:xMode val="edge"/>
              <c:yMode val="edge"/>
              <c:x val="0.41953385127636"/>
              <c:y val="0.94616639477977105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108480"/>
        <c:crosses val="autoZero"/>
        <c:crossBetween val="midCat"/>
      </c:valAx>
      <c:valAx>
        <c:axId val="1538108480"/>
        <c:scaling>
          <c:orientation val="minMax"/>
          <c:max val="280"/>
          <c:min val="20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</a:t>
                </a:r>
              </a:p>
            </c:rich>
          </c:tx>
          <c:layout>
            <c:manualLayout>
              <c:xMode val="edge"/>
              <c:yMode val="edge"/>
              <c:x val="1.10987791342952E-2"/>
              <c:y val="0.39641109298531801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143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6779049285505996"/>
          <c:y val="4.61799737034412E-2"/>
          <c:w val="0.103637278399377"/>
          <c:h val="7.06233624626774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2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60599334073295E-2"/>
          <c:y val="3.7520391517128902E-2"/>
          <c:w val="0.86348501664816901"/>
          <c:h val="0.848287112561174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'Problem 2 - Harte model'!$F$17</c:f>
              <c:strCache>
                <c:ptCount val="1"/>
                <c:pt idx="0">
                  <c:v>surface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'Problem 2 - Harte model'!$B$18:$B$33</c:f>
              <c:numCache>
                <c:formatCode>0.00</c:formatCode>
                <c:ptCount val="16"/>
                <c:pt idx="0">
                  <c:v>0.85</c:v>
                </c:pt>
                <c:pt idx="1">
                  <c:v>0.86</c:v>
                </c:pt>
                <c:pt idx="2">
                  <c:v>0.87</c:v>
                </c:pt>
                <c:pt idx="3">
                  <c:v>0.88</c:v>
                </c:pt>
                <c:pt idx="4">
                  <c:v>0.89</c:v>
                </c:pt>
                <c:pt idx="5">
                  <c:v>0.9</c:v>
                </c:pt>
                <c:pt idx="6">
                  <c:v>0.91</c:v>
                </c:pt>
                <c:pt idx="7">
                  <c:v>0.92</c:v>
                </c:pt>
                <c:pt idx="8">
                  <c:v>0.93</c:v>
                </c:pt>
                <c:pt idx="9">
                  <c:v>0.94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</c:numCache>
            </c:numRef>
          </c:xVal>
          <c:yVal>
            <c:numRef>
              <c:f>'Problem 2 - Harte model'!$F$18:$F$33</c:f>
              <c:numCache>
                <c:formatCode>0.00</c:formatCode>
                <c:ptCount val="16"/>
                <c:pt idx="0">
                  <c:v>273.22177053837027</c:v>
                </c:pt>
                <c:pt idx="1">
                  <c:v>274.28284592279181</c:v>
                </c:pt>
                <c:pt idx="2">
                  <c:v>275.36485054147164</c:v>
                </c:pt>
                <c:pt idx="3">
                  <c:v>276.46853939549345</c:v>
                </c:pt>
                <c:pt idx="4">
                  <c:v>277.59470746837962</c:v>
                </c:pt>
                <c:pt idx="5">
                  <c:v>278.74419254083392</c:v>
                </c:pt>
                <c:pt idx="6">
                  <c:v>279.91787825439542</c:v>
                </c:pt>
                <c:pt idx="7">
                  <c:v>281.11669745065194</c:v>
                </c:pt>
                <c:pt idx="8">
                  <c:v>282.3416358160398</c:v>
                </c:pt>
                <c:pt idx="9">
                  <c:v>283.59373586610872</c:v>
                </c:pt>
                <c:pt idx="10">
                  <c:v>284.87410130757405</c:v>
                </c:pt>
                <c:pt idx="11">
                  <c:v>286.18390182158601</c:v>
                </c:pt>
                <c:pt idx="12">
                  <c:v>287.52437831754469</c:v>
                </c:pt>
                <c:pt idx="13">
                  <c:v>288.89684871362442</c:v>
                </c:pt>
                <c:pt idx="14">
                  <c:v>290.30271430808926</c:v>
                </c:pt>
                <c:pt idx="15">
                  <c:v>291.74346681471565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C-BA47-9741-033078188120}"/>
            </c:ext>
          </c:extLst>
        </c:ser>
        <c:ser>
          <c:idx val="1"/>
          <c:order val="1"/>
          <c:tx>
            <c:strRef>
              <c:f>'Problem 2 - Harte model'!$G$17</c:f>
              <c:strCache>
                <c:ptCount val="1"/>
                <c:pt idx="0">
                  <c:v>lower layer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'Problem 2 - Harte model'!$B$18:$B$33</c:f>
              <c:numCache>
                <c:formatCode>0.00</c:formatCode>
                <c:ptCount val="16"/>
                <c:pt idx="0">
                  <c:v>0.85</c:v>
                </c:pt>
                <c:pt idx="1">
                  <c:v>0.86</c:v>
                </c:pt>
                <c:pt idx="2">
                  <c:v>0.87</c:v>
                </c:pt>
                <c:pt idx="3">
                  <c:v>0.88</c:v>
                </c:pt>
                <c:pt idx="4">
                  <c:v>0.89</c:v>
                </c:pt>
                <c:pt idx="5">
                  <c:v>0.9</c:v>
                </c:pt>
                <c:pt idx="6">
                  <c:v>0.91</c:v>
                </c:pt>
                <c:pt idx="7">
                  <c:v>0.92</c:v>
                </c:pt>
                <c:pt idx="8">
                  <c:v>0.93</c:v>
                </c:pt>
                <c:pt idx="9">
                  <c:v>0.94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</c:numCache>
            </c:numRef>
          </c:xVal>
          <c:yVal>
            <c:numRef>
              <c:f>'Problem 2 - Harte model'!$G$18:$G$33</c:f>
              <c:numCache>
                <c:formatCode>0.00</c:formatCode>
                <c:ptCount val="16"/>
                <c:pt idx="0">
                  <c:v>274.05162136321144</c:v>
                </c:pt>
                <c:pt idx="1">
                  <c:v>274.48371170317341</c:v>
                </c:pt>
                <c:pt idx="2">
                  <c:v>274.94213320209815</c:v>
                </c:pt>
                <c:pt idx="3">
                  <c:v>275.42734279089524</c:v>
                </c:pt>
                <c:pt idx="4">
                  <c:v>275.93984097907435</c:v>
                </c:pt>
                <c:pt idx="5">
                  <c:v>276.48017398994403</c:v>
                </c:pt>
                <c:pt idx="6">
                  <c:v>277.04893614089013</c:v>
                </c:pt>
                <c:pt idx="7">
                  <c:v>277.64677249111486</c:v>
                </c:pt>
                <c:pt idx="8">
                  <c:v>278.27438178236133</c:v>
                </c:pt>
                <c:pt idx="9">
                  <c:v>278.93251970172116</c:v>
                </c:pt>
                <c:pt idx="10">
                  <c:v>279.62200249970834</c:v>
                </c:pt>
                <c:pt idx="11">
                  <c:v>280.34371100145853</c:v>
                </c:pt>
                <c:pt idx="12">
                  <c:v>281.09859505429978</c:v>
                </c:pt>
                <c:pt idx="13">
                  <c:v>281.88767846114212</c:v>
                </c:pt>
                <c:pt idx="14">
                  <c:v>282.71206445633169</c:v>
                </c:pt>
                <c:pt idx="15">
                  <c:v>283.57294178895796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BC-BA47-9741-033078188120}"/>
            </c:ext>
          </c:extLst>
        </c:ser>
        <c:ser>
          <c:idx val="2"/>
          <c:order val="2"/>
          <c:tx>
            <c:strRef>
              <c:f>'Problem 2 - Harte model'!$H$17</c:f>
              <c:strCache>
                <c:ptCount val="1"/>
                <c:pt idx="0">
                  <c:v>upper layer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'Problem 2 - Harte model'!$B$18:$B$33</c:f>
              <c:numCache>
                <c:formatCode>0.00</c:formatCode>
                <c:ptCount val="16"/>
                <c:pt idx="0">
                  <c:v>0.85</c:v>
                </c:pt>
                <c:pt idx="1">
                  <c:v>0.86</c:v>
                </c:pt>
                <c:pt idx="2">
                  <c:v>0.87</c:v>
                </c:pt>
                <c:pt idx="3">
                  <c:v>0.88</c:v>
                </c:pt>
                <c:pt idx="4">
                  <c:v>0.89</c:v>
                </c:pt>
                <c:pt idx="5">
                  <c:v>0.9</c:v>
                </c:pt>
                <c:pt idx="6">
                  <c:v>0.91</c:v>
                </c:pt>
                <c:pt idx="7">
                  <c:v>0.92</c:v>
                </c:pt>
                <c:pt idx="8">
                  <c:v>0.93</c:v>
                </c:pt>
                <c:pt idx="9">
                  <c:v>0.94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</c:numCache>
            </c:numRef>
          </c:xVal>
          <c:yVal>
            <c:numRef>
              <c:f>'Problem 2 - Harte model'!$H$18:$H$33</c:f>
              <c:numCache>
                <c:formatCode>0.00</c:formatCode>
                <c:ptCount val="16"/>
                <c:pt idx="0">
                  <c:v>249.77026697743452</c:v>
                </c:pt>
                <c:pt idx="1">
                  <c:v>249.85636029818053</c:v>
                </c:pt>
                <c:pt idx="2">
                  <c:v>249.96582090998191</c:v>
                </c:pt>
                <c:pt idx="3">
                  <c:v>250.09897300313449</c:v>
                </c:pt>
                <c:pt idx="4">
                  <c:v>250.25617846580784</c:v>
                </c:pt>
                <c:pt idx="5">
                  <c:v>250.43783857725785</c:v>
                </c:pt>
                <c:pt idx="6">
                  <c:v>250.64439590928168</c:v>
                </c:pt>
                <c:pt idx="7">
                  <c:v>250.87633645427033</c:v>
                </c:pt>
                <c:pt idx="8">
                  <c:v>251.1341920008505</c:v>
                </c:pt>
                <c:pt idx="9">
                  <c:v>251.41854278112405</c:v>
                </c:pt>
                <c:pt idx="10">
                  <c:v>251.73002041692845</c:v>
                </c:pt>
                <c:pt idx="11">
                  <c:v>252.0693111964722</c:v>
                </c:pt>
                <c:pt idx="12">
                  <c:v>252.4371597172036</c:v>
                </c:pt>
                <c:pt idx="13">
                  <c:v>252.83437293596816</c:v>
                </c:pt>
                <c:pt idx="14">
                  <c:v>253.26182467353397</c:v>
                </c:pt>
                <c:pt idx="15">
                  <c:v>253.72046062753881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BC-BA47-9741-033078188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673024"/>
        <c:axId val="1543206480"/>
      </c:scatterChart>
      <c:valAx>
        <c:axId val="1475673024"/>
        <c:scaling>
          <c:orientation val="minMax"/>
          <c:max val="1"/>
          <c:min val="0.84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emissivity</a:t>
                </a:r>
              </a:p>
            </c:rich>
          </c:tx>
          <c:layout>
            <c:manualLayout>
              <c:xMode val="edge"/>
              <c:yMode val="edge"/>
              <c:x val="0.47169811320754701"/>
              <c:y val="0.944535073409461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206480"/>
        <c:crosses val="autoZero"/>
        <c:crossBetween val="midCat"/>
        <c:majorUnit val="0.02"/>
        <c:minorUnit val="0.01"/>
      </c:valAx>
      <c:valAx>
        <c:axId val="1543206480"/>
        <c:scaling>
          <c:orientation val="minMax"/>
          <c:max val="300"/>
          <c:min val="2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Temperature, K</a:t>
                </a:r>
              </a:p>
            </c:rich>
          </c:tx>
          <c:layout>
            <c:manualLayout>
              <c:xMode val="edge"/>
              <c:yMode val="edge"/>
              <c:x val="5.5493895671476102E-3"/>
              <c:y val="0.362153344208809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673024"/>
        <c:crossesAt val="0.8"/>
        <c:crossBetween val="midCat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856825749167597"/>
          <c:y val="6.0358890701468201E-2"/>
          <c:w val="0.14317425083240801"/>
          <c:h val="0.1190864600326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60599334073295E-2"/>
          <c:y val="3.7520391517128902E-2"/>
          <c:w val="0.76692563817979997"/>
          <c:h val="0.848287112561174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'Problem 2 - Harte model'!$P$16</c:f>
              <c:strCache>
                <c:ptCount val="1"/>
                <c:pt idx="0">
                  <c:v>surface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'Problem 2 - Harte model'!$L$17:$L$37</c:f>
              <c:numCache>
                <c:formatCode>General</c:formatCode>
                <c:ptCount val="2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</c:numCache>
            </c:numRef>
          </c:xVal>
          <c:yVal>
            <c:numRef>
              <c:f>'Problem 2 - Harte model'!$P$17:$P$37</c:f>
              <c:numCache>
                <c:formatCode>0.00</c:formatCode>
                <c:ptCount val="21"/>
                <c:pt idx="0">
                  <c:v>298.63520448618539</c:v>
                </c:pt>
                <c:pt idx="1">
                  <c:v>297.16655098764403</c:v>
                </c:pt>
                <c:pt idx="2">
                  <c:v>295.67579376021723</c:v>
                </c:pt>
                <c:pt idx="3">
                  <c:v>294.1621406470781</c:v>
                </c:pt>
                <c:pt idx="4">
                  <c:v>292.62475394464485</c:v>
                </c:pt>
                <c:pt idx="5">
                  <c:v>291.06274675504665</c:v>
                </c:pt>
                <c:pt idx="6">
                  <c:v>289.47517896049527</c:v>
                </c:pt>
                <c:pt idx="7">
                  <c:v>287.86105277105588</c:v>
                </c:pt>
                <c:pt idx="8">
                  <c:v>286.21930778984552</c:v>
                </c:pt>
                <c:pt idx="9">
                  <c:v>284.54881553085454</c:v>
                </c:pt>
                <c:pt idx="10">
                  <c:v>282.84837331413598</c:v>
                </c:pt>
                <c:pt idx="11">
                  <c:v>281.11669745065194</c:v>
                </c:pt>
                <c:pt idx="12">
                  <c:v>279.35241561421054</c:v>
                </c:pt>
                <c:pt idx="13">
                  <c:v>277.55405828007832</c:v>
                </c:pt>
                <c:pt idx="14">
                  <c:v>275.72004908836931</c:v>
                </c:pt>
                <c:pt idx="15">
                  <c:v>273.84869396428905</c:v>
                </c:pt>
                <c:pt idx="16">
                  <c:v>271.93816879567299</c:v>
                </c:pt>
                <c:pt idx="17">
                  <c:v>269.98650542955664</c:v>
                </c:pt>
                <c:pt idx="18">
                  <c:v>267.99157570196274</c:v>
                </c:pt>
                <c:pt idx="19">
                  <c:v>265.95107315629485</c:v>
                </c:pt>
                <c:pt idx="20">
                  <c:v>263.86249203260331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6-E34B-A2BC-63B01E6A8E09}"/>
            </c:ext>
          </c:extLst>
        </c:ser>
        <c:ser>
          <c:idx val="1"/>
          <c:order val="1"/>
          <c:tx>
            <c:strRef>
              <c:f>'Problem 2 - Harte model'!$Q$16</c:f>
              <c:strCache>
                <c:ptCount val="1"/>
                <c:pt idx="0">
                  <c:v>lower layer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'Problem 2 - Harte model'!$L$17:$L$37</c:f>
              <c:numCache>
                <c:formatCode>General</c:formatCode>
                <c:ptCount val="2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</c:numCache>
            </c:numRef>
          </c:xVal>
          <c:yVal>
            <c:numRef>
              <c:f>'Problem 2 - Harte model'!$Q$17:$Q$37</c:f>
              <c:numCache>
                <c:formatCode>0.00</c:formatCode>
                <c:ptCount val="21"/>
                <c:pt idx="0">
                  <c:v>290.0885512154963</c:v>
                </c:pt>
                <c:pt idx="1">
                  <c:v>289.02232483570526</c:v>
                </c:pt>
                <c:pt idx="2">
                  <c:v>287.94416594007117</c:v>
                </c:pt>
                <c:pt idx="3">
                  <c:v>286.85375820537212</c:v>
                </c:pt>
                <c:pt idx="4">
                  <c:v>285.75077192812506</c:v>
                </c:pt>
                <c:pt idx="5">
                  <c:v>284.63486324072397</c:v>
                </c:pt>
                <c:pt idx="6">
                  <c:v>283.50567326848414</c:v>
                </c:pt>
                <c:pt idx="7">
                  <c:v>282.36282722211877</c:v>
                </c:pt>
                <c:pt idx="8">
                  <c:v>281.20593341955504</c:v>
                </c:pt>
                <c:pt idx="9">
                  <c:v>280.0345822303243</c:v>
                </c:pt>
                <c:pt idx="10">
                  <c:v>278.84834493497902</c:v>
                </c:pt>
                <c:pt idx="11">
                  <c:v>277.64677249111486</c:v>
                </c:pt>
                <c:pt idx="12">
                  <c:v>276.42939419657472</c:v>
                </c:pt>
                <c:pt idx="13">
                  <c:v>275.19571623928437</c:v>
                </c:pt>
                <c:pt idx="14">
                  <c:v>273.9452201218615</c:v>
                </c:pt>
                <c:pt idx="15">
                  <c:v>272.67736094767389</c:v>
                </c:pt>
                <c:pt idx="16">
                  <c:v>271.39156555330754</c:v>
                </c:pt>
                <c:pt idx="17">
                  <c:v>270.08723047047346</c:v>
                </c:pt>
                <c:pt idx="18">
                  <c:v>268.76371969811561</c:v>
                </c:pt>
                <c:pt idx="19">
                  <c:v>267.42036226290185</c:v>
                </c:pt>
                <c:pt idx="20">
                  <c:v>266.05644954326726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6-E34B-A2BC-63B01E6A8E09}"/>
            </c:ext>
          </c:extLst>
        </c:ser>
        <c:ser>
          <c:idx val="2"/>
          <c:order val="2"/>
          <c:tx>
            <c:strRef>
              <c:f>'Problem 2 - Harte model'!$R$16</c:f>
              <c:strCache>
                <c:ptCount val="1"/>
                <c:pt idx="0">
                  <c:v>upper layer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'Problem 2 - Harte model'!$L$17:$L$37</c:f>
              <c:numCache>
                <c:formatCode>General</c:formatCode>
                <c:ptCount val="2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</c:numCache>
            </c:numRef>
          </c:xVal>
          <c:yVal>
            <c:numRef>
              <c:f>'Problem 2 - Harte model'!$R$17:$R$37</c:f>
              <c:numCache>
                <c:formatCode>0.00</c:formatCode>
                <c:ptCount val="21"/>
                <c:pt idx="0">
                  <c:v>259.44372452002847</c:v>
                </c:pt>
                <c:pt idx="1">
                  <c:v>258.69941097736148</c:v>
                </c:pt>
                <c:pt idx="2">
                  <c:v>257.94861693344785</c:v>
                </c:pt>
                <c:pt idx="3">
                  <c:v>257.1912091848356</c:v>
                </c:pt>
                <c:pt idx="4">
                  <c:v>256.42705017441193</c:v>
                </c:pt>
                <c:pt idx="5">
                  <c:v>255.65599779502676</c:v>
                </c:pt>
                <c:pt idx="6">
                  <c:v>254.8779051817574</c:v>
                </c:pt>
                <c:pt idx="7">
                  <c:v>254.09262049201408</c:v>
                </c:pt>
                <c:pt idx="8">
                  <c:v>253.29998667260949</c:v>
                </c:pt>
                <c:pt idx="9">
                  <c:v>252.4998412128476</c:v>
                </c:pt>
                <c:pt idx="10">
                  <c:v>251.69201588260324</c:v>
                </c:pt>
                <c:pt idx="11">
                  <c:v>250.87633645427033</c:v>
                </c:pt>
                <c:pt idx="12">
                  <c:v>250.05262240736502</c:v>
                </c:pt>
                <c:pt idx="13">
                  <c:v>249.22068661445263</c:v>
                </c:pt>
                <c:pt idx="14">
                  <c:v>248.38033500695238</c:v>
                </c:pt>
                <c:pt idx="15">
                  <c:v>247.53136621923457</c:v>
                </c:pt>
                <c:pt idx="16">
                  <c:v>246.67357120928492</c:v>
                </c:pt>
                <c:pt idx="17">
                  <c:v>245.80673285403572</c:v>
                </c:pt>
                <c:pt idx="18">
                  <c:v>244.93062551729307</c:v>
                </c:pt>
                <c:pt idx="19">
                  <c:v>244.04501458797429</c:v>
                </c:pt>
                <c:pt idx="20">
                  <c:v>243.14965598615811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06-E34B-A2BC-63B01E6A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83136"/>
        <c:axId val="1543285984"/>
      </c:scatterChart>
      <c:valAx>
        <c:axId val="1543283136"/>
        <c:scaling>
          <c:orientation val="minMax"/>
          <c:max val="0.4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43618201997780298"/>
              <c:y val="0.944535073409461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285984"/>
        <c:crosses val="autoZero"/>
        <c:crossBetween val="midCat"/>
      </c:valAx>
      <c:valAx>
        <c:axId val="1543285984"/>
        <c:scaling>
          <c:orientation val="minMax"/>
          <c:max val="310"/>
          <c:min val="2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Temperature, K</a:t>
                </a:r>
              </a:p>
            </c:rich>
          </c:tx>
          <c:layout>
            <c:manualLayout>
              <c:xMode val="edge"/>
              <c:yMode val="edge"/>
              <c:x val="5.5493895671476102E-3"/>
              <c:y val="0.362153344208809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283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940066592674796"/>
          <c:y val="4.7308319738988601E-2"/>
          <c:w val="0.129855715871254"/>
          <c:h val="0.1190864600326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theme="4"/>
  </sheetPr>
  <sheetViews>
    <sheetView zoomScale="120" workbookViewId="0"/>
  </sheetViews>
  <pageMargins left="0.75" right="0.75" top="1" bottom="1" header="0.5" footer="0.5"/>
  <pageSetup orientation="landscape" horizontalDpi="300" verticalDpi="300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>
    <tabColor theme="4"/>
  </sheetPr>
  <sheetViews>
    <sheetView zoomScale="120" workbookViewId="0"/>
  </sheetViews>
  <pageMargins left="0.75" right="0.75" top="1" bottom="1" header="0.5" footer="0.5"/>
  <pageSetup orientation="landscape" horizontalDpi="300" verticalDpi="300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5"/>
  <sheetViews>
    <sheetView workbookViewId="0"/>
  </sheetViews>
  <pageMargins left="0.75" right="0.75" top="1" bottom="1" header="0.5" footer="0.5"/>
  <pageSetup orientation="landscape" horizontalDpi="300" verticalDpi="300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6"/>
  <sheetViews>
    <sheetView workbookViewId="0"/>
  </sheetViews>
  <pageMargins left="0.75" right="0.75" top="1" bottom="1" header="0.5" footer="0.5"/>
  <pageSetup orientation="landscape" horizontalDpi="300" verticalDpi="300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0</xdr:row>
          <xdr:rowOff>50800</xdr:rowOff>
        </xdr:from>
        <xdr:to>
          <xdr:col>8</xdr:col>
          <xdr:colOff>177800</xdr:colOff>
          <xdr:row>14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190500</xdr:colOff>
      <xdr:row>17</xdr:row>
      <xdr:rowOff>38100</xdr:rowOff>
    </xdr:from>
    <xdr:to>
      <xdr:col>19</xdr:col>
      <xdr:colOff>342900</xdr:colOff>
      <xdr:row>44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9398000" y="2844800"/>
              <a:ext cx="4191000" cy="457200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bg-BG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charset="0"/>
                          </a:rPr>
                          <m:t>𝑆</m:t>
                        </m:r>
                      </m:num>
                      <m:den>
                        <m:r>
                          <a:rPr lang="en-US" sz="1400" b="0" i="1">
                            <a:latin typeface="Cambria Math" charset="0"/>
                          </a:rPr>
                          <m:t>4</m:t>
                        </m:r>
                      </m:den>
                    </m:f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bg-BG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bg-BG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charset="0"/>
                                  </a:rPr>
                                  <m:t>1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charset="0"/>
                                  </a:rPr>
                                  <m:t>𝐸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e>
                    </m:d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charset="0"/>
                          </a:rPr>
                          <m:t>1−</m:t>
                        </m:r>
                        <m:r>
                          <a:rPr lang="en-US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𝛼</m:t>
                        </m:r>
                      </m:e>
                    </m:d>
                    <m:r>
                      <a:rPr lang="en-US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= </m:t>
                    </m:r>
                    <m:r>
                      <a:rPr lang="en-US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charset="0"/>
                            <a:cs typeface="Cambria Math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400" b="0">
                <a:ea typeface="Cambria Math" charset="0"/>
                <a:cs typeface="Cambria Math" charset="0"/>
              </a:endParaRPr>
            </a:p>
            <a:p>
              <a:endParaRPr lang="en-US" sz="1400"/>
            </a:p>
            <a:p>
              <a:r>
                <a:rPr lang="en-US" sz="1400"/>
                <a:t>S = Solar Constant at Earth</a:t>
              </a:r>
            </a:p>
            <a:p>
              <a:r>
                <a:rPr lang="en-US" sz="1400"/>
                <a:t>DE</a:t>
              </a:r>
              <a:r>
                <a:rPr lang="en-US" sz="1400" baseline="0"/>
                <a:t> = Earth at Perihelion or Aphelion </a:t>
              </a:r>
            </a:p>
            <a:p>
              <a:r>
                <a:rPr lang="en-US" sz="1400"/>
                <a:t>𝛼 = planetary Albedo</a:t>
              </a:r>
            </a:p>
            <a:p>
              <a:r>
                <a:rPr lang="en-US" sz="1400"/>
                <a:t>𝜎 = Stefan-Boltzmann</a:t>
              </a:r>
              <a:r>
                <a:rPr lang="en-US" sz="1400" baseline="0"/>
                <a:t> constant</a:t>
              </a:r>
            </a:p>
            <a:p>
              <a:r>
                <a:rPr lang="en-US" sz="1400" baseline="0"/>
                <a:t>T = Temperature</a:t>
              </a:r>
            </a:p>
            <a:p>
              <a:endParaRPr lang="en-US" sz="1400" baseline="0"/>
            </a:p>
            <a:p>
              <a:r>
                <a:rPr lang="en-US" sz="1400" baseline="0"/>
                <a:t>We use 1/Earth-Sun radius vector (D</a:t>
              </a:r>
              <a:r>
                <a:rPr lang="en-US" sz="1400" baseline="-25000"/>
                <a:t>E</a:t>
              </a:r>
              <a:r>
                <a:rPr lang="en-US" sz="1400" baseline="0"/>
                <a:t>), because the distance 1 is equivalent to the soloar constant that we have been using.  So its just the inverse square law using vector distances.</a:t>
              </a:r>
            </a:p>
            <a:p>
              <a:endParaRPr lang="en-US" sz="1400" baseline="0"/>
            </a:p>
            <a:p>
              <a:r>
                <a:rPr lang="en-US" sz="1400" baseline="0"/>
                <a:t>Solution:</a:t>
              </a:r>
            </a:p>
            <a:p>
              <a:endParaRPr lang="en-US" sz="14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charset="0"/>
                          </a:rPr>
                          <m:t>4</m:t>
                        </m:r>
                      </m:sup>
                    </m:sSup>
                    <m:r>
                      <a:rPr lang="en-US" sz="1400" b="0" i="1">
                        <a:latin typeface="Cambria Math" charset="0"/>
                      </a:rPr>
                      <m:t>=(</m:t>
                    </m:r>
                    <m:f>
                      <m:fPr>
                        <m:ctrlPr>
                          <a:rPr lang="bg-BG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charset="0"/>
                          </a:rPr>
                          <m:t>𝑆</m:t>
                        </m:r>
                      </m:num>
                      <m:den>
                        <m:r>
                          <a:rPr lang="en-US" sz="1400" b="0" i="1">
                            <a:latin typeface="Cambria Math" charset="0"/>
                          </a:rPr>
                          <m:t>4</m:t>
                        </m:r>
                        <m:r>
                          <a:rPr lang="en-US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𝜎</m:t>
                        </m:r>
                      </m:den>
                    </m:f>
                    <m:r>
                      <a:rPr lang="en-US" sz="1400" b="0" i="1">
                        <a:latin typeface="Cambria Math" charset="0"/>
                      </a:rPr>
                      <m:t>)(1−</m:t>
                    </m:r>
                    <m:r>
                      <a:rPr lang="en-US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𝛼</m:t>
                    </m:r>
                    <m:r>
                      <a:rPr lang="en-US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)(</m:t>
                    </m:r>
                    <m:f>
                      <m:fPr>
                        <m:ctrlPr>
                          <a:rPr lang="bg-BG" sz="1400" b="0" i="1">
                            <a:latin typeface="Cambria Math" panose="02040503050406030204" pitchFamily="18" charset="0"/>
                            <a:ea typeface="Cambria Math" charset="0"/>
                            <a:cs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bg-BG" sz="1400" b="0" i="1">
                                <a:latin typeface="Cambria Math" panose="02040503050406030204" pitchFamily="18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bSupPr>
                          <m:e>
                            <m:r>
                              <a:rPr lang="en-US" sz="14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𝐸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438900" y="50800"/>
              <a:ext cx="4191000" cy="457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charset="0"/>
                </a:rPr>
                <a:t>𝑆</a:t>
              </a:r>
              <a:r>
                <a:rPr lang="bg-BG" sz="1400" b="0" i="0">
                  <a:latin typeface="Cambria Math" charset="0"/>
                </a:rPr>
                <a:t>/</a:t>
              </a:r>
              <a:r>
                <a:rPr lang="en-US" sz="1400" b="0" i="0">
                  <a:latin typeface="Cambria Math" charset="0"/>
                </a:rPr>
                <a:t>4 (1</a:t>
              </a:r>
              <a:r>
                <a:rPr lang="bg-BG" sz="1400" b="0" i="0">
                  <a:latin typeface="Cambria Math" charset="0"/>
                </a:rPr>
                <a:t>^</a:t>
              </a:r>
              <a:r>
                <a:rPr lang="en-US" sz="1400" b="0" i="0">
                  <a:latin typeface="Cambria Math" charset="0"/>
                </a:rPr>
                <a:t>2</a:t>
              </a:r>
              <a:r>
                <a:rPr lang="bg-BG" sz="1400" b="0" i="0">
                  <a:latin typeface="Cambria Math" charset="0"/>
                </a:rPr>
                <a:t>/(</a:t>
              </a:r>
              <a:r>
                <a:rPr lang="en-US" sz="1400" b="0" i="0">
                  <a:latin typeface="Cambria Math" charset="0"/>
                </a:rPr>
                <a:t>𝐷_𝐸^2</a:t>
              </a:r>
              <a:r>
                <a:rPr lang="bg-BG" sz="1400" b="0" i="0">
                  <a:latin typeface="Cambria Math" charset="0"/>
                </a:rPr>
                <a:t> )</a:t>
              </a:r>
              <a:r>
                <a:rPr lang="en-US" sz="1400" b="0" i="0">
                  <a:latin typeface="Cambria Math" charset="0"/>
                </a:rPr>
                <a:t>)(1−</a:t>
              </a:r>
              <a:r>
                <a:rPr lang="en-US" sz="1400" b="0" i="0">
                  <a:latin typeface="Cambria Math" charset="0"/>
                  <a:ea typeface="Cambria Math" charset="0"/>
                  <a:cs typeface="Cambria Math" charset="0"/>
                </a:rPr>
                <a:t>𝛼)= 𝜎𝑇^4</a:t>
              </a:r>
              <a:endParaRPr lang="en-US" sz="1400" b="0">
                <a:ea typeface="Cambria Math" charset="0"/>
                <a:cs typeface="Cambria Math" charset="0"/>
              </a:endParaRPr>
            </a:p>
            <a:p>
              <a:endParaRPr lang="en-US" sz="1400"/>
            </a:p>
            <a:p>
              <a:r>
                <a:rPr lang="en-US" sz="1400"/>
                <a:t>S = Solar Constant at Earth</a:t>
              </a:r>
            </a:p>
            <a:p>
              <a:r>
                <a:rPr lang="en-US" sz="1400"/>
                <a:t>DE</a:t>
              </a:r>
              <a:r>
                <a:rPr lang="en-US" sz="1400" baseline="0"/>
                <a:t> = Earth at Perihelion or Aphelion </a:t>
              </a:r>
            </a:p>
            <a:p>
              <a:r>
                <a:rPr lang="en-US" sz="1400"/>
                <a:t>𝛼 = planetary Albedo</a:t>
              </a:r>
            </a:p>
            <a:p>
              <a:r>
                <a:rPr lang="en-US" sz="1400"/>
                <a:t>𝜎 = Stefan-Boltzmann</a:t>
              </a:r>
              <a:r>
                <a:rPr lang="en-US" sz="1400" baseline="0"/>
                <a:t> constant</a:t>
              </a:r>
            </a:p>
            <a:p>
              <a:r>
                <a:rPr lang="en-US" sz="1400" baseline="0"/>
                <a:t>T = Temperature</a:t>
              </a:r>
            </a:p>
            <a:p>
              <a:endParaRPr lang="en-US" sz="1400" baseline="0"/>
            </a:p>
            <a:p>
              <a:r>
                <a:rPr lang="en-US" sz="1400" baseline="0"/>
                <a:t>We use 1/Earth-Sun radius vector (D</a:t>
              </a:r>
              <a:r>
                <a:rPr lang="en-US" sz="1400" baseline="-25000"/>
                <a:t>E</a:t>
              </a:r>
              <a:r>
                <a:rPr lang="en-US" sz="1400" baseline="0"/>
                <a:t>), because the distance 1 is equivalent to the soloar constant that we have been using.  So its just the inverse square law using vector distances.</a:t>
              </a:r>
            </a:p>
            <a:p>
              <a:endParaRPr lang="en-US" sz="1400" baseline="0"/>
            </a:p>
            <a:p>
              <a:r>
                <a:rPr lang="en-US" sz="1400" baseline="0"/>
                <a:t>Solution:</a:t>
              </a:r>
            </a:p>
            <a:p>
              <a:endParaRPr lang="en-US" sz="1400" baseline="0"/>
            </a:p>
            <a:p>
              <a:r>
                <a:rPr lang="en-US" sz="1400" b="0" i="0">
                  <a:latin typeface="Cambria Math" charset="0"/>
                </a:rPr>
                <a:t>𝑇^4=(𝑆</a:t>
              </a:r>
              <a:r>
                <a:rPr lang="bg-BG" sz="1400" b="0" i="0">
                  <a:latin typeface="Cambria Math" charset="0"/>
                </a:rPr>
                <a:t>/</a:t>
              </a:r>
              <a:r>
                <a:rPr lang="en-US" sz="1400" b="0" i="0">
                  <a:latin typeface="Cambria Math" charset="0"/>
                </a:rPr>
                <a:t>4</a:t>
              </a:r>
              <a:r>
                <a:rPr lang="en-US" sz="14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r>
                <a:rPr lang="en-US" sz="1400" b="0" i="0">
                  <a:latin typeface="Cambria Math" charset="0"/>
                </a:rPr>
                <a:t>)(1−</a:t>
              </a:r>
              <a:r>
                <a:rPr lang="en-US" sz="1400" b="0" i="0">
                  <a:latin typeface="Cambria Math" charset="0"/>
                  <a:ea typeface="Cambria Math" charset="0"/>
                  <a:cs typeface="Cambria Math" charset="0"/>
                </a:rPr>
                <a:t>𝛼)(1</a:t>
              </a:r>
              <a:r>
                <a:rPr lang="bg-BG" sz="1400" b="0" i="0">
                  <a:latin typeface="Cambria Math" charset="0"/>
                  <a:ea typeface="Cambria Math" charset="0"/>
                  <a:cs typeface="Cambria Math" charset="0"/>
                </a:rPr>
                <a:t>^</a:t>
              </a:r>
              <a:r>
                <a:rPr lang="en-US" sz="1400" b="0" i="0">
                  <a:latin typeface="Cambria Math" charset="0"/>
                  <a:ea typeface="Cambria Math" charset="0"/>
                  <a:cs typeface="Cambria Math" charset="0"/>
                </a:rPr>
                <a:t>2</a:t>
              </a:r>
              <a:r>
                <a:rPr lang="bg-BG" sz="1400" b="0" i="0">
                  <a:latin typeface="Cambria Math" charset="0"/>
                  <a:ea typeface="Cambria Math" charset="0"/>
                  <a:cs typeface="Cambria Math" charset="0"/>
                </a:rPr>
                <a:t>/(</a:t>
              </a:r>
              <a:r>
                <a:rPr lang="en-US" sz="1400" b="0" i="0">
                  <a:latin typeface="Cambria Math" charset="0"/>
                  <a:ea typeface="Cambria Math" charset="0"/>
                  <a:cs typeface="Cambria Math" charset="0"/>
                </a:rPr>
                <a:t>𝐷_𝐸^2</a:t>
              </a:r>
              <a:r>
                <a:rPr lang="bg-BG" sz="1400" b="0" i="0">
                  <a:latin typeface="Cambria Math" charset="0"/>
                  <a:ea typeface="Cambria Math" charset="0"/>
                  <a:cs typeface="Cambria Math" charset="0"/>
                </a:rPr>
                <a:t> )</a:t>
              </a:r>
              <a:r>
                <a:rPr lang="en-US" sz="14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55</xdr:row>
      <xdr:rowOff>114300</xdr:rowOff>
    </xdr:from>
    <xdr:to>
      <xdr:col>5</xdr:col>
      <xdr:colOff>609600</xdr:colOff>
      <xdr:row>91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517900" y="10401300"/>
          <a:ext cx="1193800" cy="688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65</xdr:row>
      <xdr:rowOff>38100</xdr:rowOff>
    </xdr:from>
    <xdr:to>
      <xdr:col>6</xdr:col>
      <xdr:colOff>25400</xdr:colOff>
      <xdr:row>94</xdr:row>
      <xdr:rowOff>25400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3505200" y="12230100"/>
          <a:ext cx="1295400" cy="5511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55</xdr:row>
      <xdr:rowOff>50800</xdr:rowOff>
    </xdr:from>
    <xdr:to>
      <xdr:col>10</xdr:col>
      <xdr:colOff>647700</xdr:colOff>
      <xdr:row>57</xdr:row>
      <xdr:rowOff>25400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7670800" y="10337800"/>
          <a:ext cx="6096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63500</xdr:colOff>
      <xdr:row>59</xdr:row>
      <xdr:rowOff>12700</xdr:rowOff>
    </xdr:from>
    <xdr:to>
      <xdr:col>11</xdr:col>
      <xdr:colOff>38100</xdr:colOff>
      <xdr:row>64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7696200" y="11061700"/>
          <a:ext cx="6477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292100</xdr:colOff>
      <xdr:row>76</xdr:row>
      <xdr:rowOff>101600</xdr:rowOff>
    </xdr:from>
    <xdr:to>
      <xdr:col>8</xdr:col>
      <xdr:colOff>419100</xdr:colOff>
      <xdr:row>83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4394200" y="14579600"/>
          <a:ext cx="2146300" cy="138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Continue to try albedo values over smaller and smaller</a:t>
          </a:r>
          <a:r>
            <a:rPr lang="en-US" sz="1100" baseline="0"/>
            <a:t> values to find were Ts (CO2 500) matches that of Ts (CO2 400).  Note: there are better ways to do this, like using Excel's add on fucntion solver, or you can use method 2</a:t>
          </a:r>
          <a:endParaRPr lang="en-US" sz="1100"/>
        </a:p>
      </xdr:txBody>
    </xdr:sp>
    <xdr:clientData/>
  </xdr:twoCellAnchor>
  <xdr:twoCellAnchor>
    <xdr:from>
      <xdr:col>20</xdr:col>
      <xdr:colOff>38100</xdr:colOff>
      <xdr:row>55</xdr:row>
      <xdr:rowOff>177800</xdr:rowOff>
    </xdr:from>
    <xdr:to>
      <xdr:col>27</xdr:col>
      <xdr:colOff>558800</xdr:colOff>
      <xdr:row>70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14579600" y="10655300"/>
              <a:ext cx="5842000" cy="2692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charset="0"/>
                          </a:rPr>
                          <m:t>𝐹</m:t>
                        </m:r>
                      </m:e>
                      <m:sub>
                        <m:r>
                          <a:rPr lang="en-US" sz="1600" b="0" i="1">
                            <a:latin typeface="Cambria Math" charset="0"/>
                          </a:rPr>
                          <m:t>𝑠</m:t>
                        </m:r>
                      </m:sub>
                    </m:sSub>
                    <m:r>
                      <a:rPr lang="en-US" sz="16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mr-I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charset="0"/>
                          </a:rPr>
                          <m:t>2</m:t>
                        </m:r>
                        <m:r>
                          <a:rPr lang="en-US" sz="1600" b="0" i="1">
                            <a:latin typeface="Cambria Math" charset="0"/>
                          </a:rPr>
                          <m:t>𝑊</m:t>
                        </m:r>
                        <m:r>
                          <a:rPr lang="en-US" sz="1600" b="0" i="1">
                            <a:latin typeface="Cambria Math" charset="0"/>
                          </a:rPr>
                          <m:t>+ </m:t>
                        </m:r>
                        <m:acc>
                          <m:accPr>
                            <m:chr m:val="̅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600" b="0" i="1">
                                <a:latin typeface="Cambria Math" charset="0"/>
                              </a:rPr>
                              <m:t>𝑆</m:t>
                            </m:r>
                          </m:e>
                        </m:acc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 charset="0"/>
                              </a:rPr>
                              <m:t>3−3</m:t>
                            </m:r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charset="0"/>
                              </a:rPr>
                              <m:t>−2</m:t>
                            </m:r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𝑢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charset="0"/>
                              </a:rPr>
                              <m:t>− </m:t>
                            </m:r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𝑙</m:t>
                                </m:r>
                              </m:sub>
                            </m:sSub>
                          </m:e>
                        </m:d>
                        <m:r>
                          <a:rPr lang="en-US" sz="1600" b="0" i="1">
                            <a:latin typeface="Cambria Math" charset="0"/>
                          </a:rPr>
                          <m:t>−</m:t>
                        </m:r>
                        <m:r>
                          <a:rPr lang="en-US" sz="1600" b="0" i="1">
                            <a:latin typeface="Cambria Math" charset="0"/>
                          </a:rPr>
                          <m:t>𝐻</m:t>
                        </m:r>
                        <m:r>
                          <a:rPr lang="en-US" sz="1600" b="0" i="1">
                            <a:latin typeface="Cambria Math" charset="0"/>
                          </a:rPr>
                          <m:t>−</m:t>
                        </m:r>
                        <m:f>
                          <m:fPr>
                            <m:ctrlPr>
                              <a:rPr lang="mr-IN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charset="0"/>
                              </a:rPr>
                              <m:t>3</m:t>
                            </m:r>
                            <m:r>
                              <a:rPr lang="en-US" sz="1600" b="0" i="1">
                                <a:latin typeface="Cambria Math" charset="0"/>
                              </a:rPr>
                              <m:t>𝐿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charset="0"/>
                              </a:rPr>
                              <m:t>2</m:t>
                            </m:r>
                          </m:den>
                        </m:f>
                      </m:num>
                      <m:den>
                        <m:r>
                          <a:rPr lang="en-US" sz="1600" b="0" i="1">
                            <a:latin typeface="Cambria Math" charset="0"/>
                          </a:rPr>
                          <m:t>3−2</m:t>
                        </m:r>
                        <m:r>
                          <a:rPr lang="en-US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𝜀</m:t>
                        </m:r>
                      </m:den>
                    </m:f>
                  </m:oMath>
                </m:oMathPara>
              </a14:m>
              <a:endParaRPr lang="en-US" sz="1600"/>
            </a:p>
            <a:p>
              <a:r>
                <a:rPr lang="en-US" sz="1600"/>
                <a:t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charset="0"/>
                          </a:rPr>
                          <m:t>𝐹</m:t>
                        </m:r>
                      </m:e>
                      <m:sub>
                        <m:r>
                          <a:rPr lang="en-US" sz="1600" b="0" i="1">
                            <a:latin typeface="Cambria Math" charset="0"/>
                          </a:rPr>
                          <m:t>𝑠</m:t>
                        </m:r>
                      </m:sub>
                    </m:sSub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latin typeface="Cambria Math" charset="0"/>
                          </a:rPr>
                          <m:t>3−2</m:t>
                        </m:r>
                        <m:r>
                          <a:rPr lang="en-US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𝜀</m:t>
                        </m:r>
                      </m:e>
                    </m:d>
                    <m:r>
                      <a:rPr lang="en-US" sz="1600" b="0" i="0">
                        <a:latin typeface="Cambria Math" charset="0"/>
                        <a:ea typeface="Cambria Math" charset="0"/>
                        <a:cs typeface="Cambria Math" charset="0"/>
                      </a:rPr>
                      <m:t>=2</m:t>
                    </m:r>
                    <m:r>
                      <m:rPr>
                        <m:sty m:val="p"/>
                      </m:rPr>
                      <a:rPr lang="en-US" sz="1600" b="0" i="0">
                        <a:latin typeface="Cambria Math" charset="0"/>
                        <a:ea typeface="Cambria Math" charset="0"/>
                        <a:cs typeface="Cambria Math" charset="0"/>
                      </a:rPr>
                      <m:t>W</m:t>
                    </m:r>
                    <m:r>
                      <a:rPr lang="en-US" sz="1600" b="0" i="0">
                        <a:latin typeface="Cambria Math" charset="0"/>
                        <a:ea typeface="Cambria Math" charset="0"/>
                        <a:cs typeface="Cambria Math" charset="0"/>
                      </a:rPr>
                      <m:t>+</m:t>
                    </m:r>
                    <m:r>
                      <a:rPr lang="en-US" sz="16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3</m:t>
                    </m:r>
                    <m:acc>
                      <m:accPr>
                        <m:chr m:val="̅"/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charset="0"/>
                            <a:cs typeface="Cambria Math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𝑆</m:t>
                        </m:r>
                      </m:e>
                    </m:acc>
                    <m:r>
                      <a:rPr lang="en-US" sz="1600" b="0" i="0">
                        <a:latin typeface="Cambria Math" charset="0"/>
                        <a:ea typeface="Cambria Math" charset="0"/>
                        <a:cs typeface="Cambria Math" charset="0"/>
                      </a:rPr>
                      <m:t> −3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charset="0"/>
                            <a:cs typeface="Cambria Math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𝑎</m:t>
                        </m:r>
                      </m:e>
                      <m:sub>
                        <m:r>
                          <a:rPr lang="en-US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𝑝</m:t>
                        </m:r>
                      </m:sub>
                    </m:sSub>
                    <m:r>
                      <a:rPr lang="en-US" sz="16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−2</m:t>
                    </m:r>
                    <m:acc>
                      <m:accPr>
                        <m:chr m:val="̅"/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charset="0"/>
                            <a:cs typeface="Cambria Math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𝑆</m:t>
                        </m:r>
                      </m:e>
                    </m:acc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charset="0"/>
                          </a:rPr>
                          <m:t>𝑘</m:t>
                        </m:r>
                      </m:e>
                      <m:sub>
                        <m:r>
                          <a:rPr lang="en-US" sz="1600" b="0" i="1">
                            <a:latin typeface="Cambria Math" charset="0"/>
                          </a:rPr>
                          <m:t>𝑢</m:t>
                        </m:r>
                      </m:sub>
                    </m:sSub>
                    <m:r>
                      <a:rPr lang="en-US" sz="1600" b="0" i="1">
                        <a:latin typeface="Cambria Math" charset="0"/>
                      </a:rPr>
                      <m:t>− </m:t>
                    </m:r>
                    <m:acc>
                      <m:accPr>
                        <m:chr m:val="̅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charset="0"/>
                          </a:rPr>
                          <m:t>𝑆</m:t>
                        </m:r>
                      </m:e>
                    </m:acc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charset="0"/>
                          </a:rPr>
                          <m:t>𝑘</m:t>
                        </m:r>
                      </m:e>
                      <m:sub>
                        <m:r>
                          <a:rPr lang="en-US" sz="1600" b="0" i="1">
                            <a:latin typeface="Cambria Math" charset="0"/>
                          </a:rPr>
                          <m:t>𝑙</m:t>
                        </m:r>
                      </m:sub>
                    </m:sSub>
                    <m:r>
                      <a:rPr lang="en-US" sz="1600" b="0" i="1">
                        <a:latin typeface="Cambria Math" charset="0"/>
                      </a:rPr>
                      <m:t>−</m:t>
                    </m:r>
                    <m:r>
                      <a:rPr lang="en-US" sz="1600" b="0" i="1">
                        <a:latin typeface="Cambria Math" charset="0"/>
                      </a:rPr>
                      <m:t>𝐻</m:t>
                    </m:r>
                    <m:r>
                      <a:rPr lang="en-US" sz="1600" b="0" i="1">
                        <a:latin typeface="Cambria Math" charset="0"/>
                      </a:rPr>
                      <m:t>−</m:t>
                    </m:r>
                    <m:f>
                      <m:fPr>
                        <m:ctrlPr>
                          <a:rPr lang="mr-I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charset="0"/>
                          </a:rPr>
                          <m:t>3</m:t>
                        </m:r>
                        <m:r>
                          <a:rPr lang="en-US" sz="1600" b="0" i="1">
                            <a:latin typeface="Cambria Math" charset="0"/>
                          </a:rPr>
                          <m:t>𝐿</m:t>
                        </m:r>
                      </m:num>
                      <m:den>
                        <m:r>
                          <a:rPr lang="en-US" sz="1600" b="0" i="1">
                            <a:latin typeface="Cambria Math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600"/>
            </a:p>
            <a:p>
              <a:endParaRPr lang="en-US" sz="16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charset="0"/>
                          </a:rPr>
                          <m:t>𝑎</m:t>
                        </m:r>
                      </m:e>
                      <m:sub>
                        <m:r>
                          <a:rPr lang="en-US" sz="1600" b="0" i="1">
                            <a:latin typeface="Cambria Math" charset="0"/>
                          </a:rPr>
                          <m:t>𝑝</m:t>
                        </m:r>
                      </m:sub>
                    </m:sSub>
                    <m:r>
                      <a:rPr lang="en-US" sz="1600" b="0" i="1">
                        <a:latin typeface="Cambria Math" charset="0"/>
                      </a:rPr>
                      <m:t>=</m:t>
                    </m:r>
                    <m:d>
                      <m:dPr>
                        <m:begChr m:val="⌊"/>
                        <m:endChr m:val="⌋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mr-IN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𝑠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3−2</m:t>
                                </m:r>
                                <m:r>
                                  <a:rPr lang="en-US" sz="16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𝜀</m:t>
                                </m:r>
                              </m:e>
                            </m:d>
                            <m:r>
                              <a:rPr lang="en-US" sz="16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−2</m:t>
                            </m:r>
                            <m:r>
                              <a:rPr lang="en-US" sz="16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𝑊</m:t>
                            </m:r>
                            <m:r>
                              <a:rPr lang="en-US" sz="16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−3</m:t>
                            </m:r>
                            <m:acc>
                              <m:accPr>
                                <m:chr m:val="̅"/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charset="0"/>
                                    <a:cs typeface="Cambria Math" charset="0"/>
                                  </a:rPr>
                                </m:ctrlPr>
                              </m:accPr>
                              <m:e>
                                <m:r>
                                  <a:rPr lang="en-US" sz="16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𝑆</m:t>
                                </m:r>
                              </m:e>
                            </m:acc>
                            <m:r>
                              <a:rPr lang="en-US" sz="1600" b="0" i="1">
                                <a:latin typeface="Cambria Math" charset="0"/>
                              </a:rPr>
                              <m:t>+2</m:t>
                            </m:r>
                            <m:acc>
                              <m:accPr>
                                <m:chr m:val="̅"/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𝑆</m:t>
                                </m:r>
                              </m:e>
                            </m:acc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𝑢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charset="0"/>
                              </a:rPr>
                              <m:t>+</m:t>
                            </m:r>
                            <m:acc>
                              <m:accPr>
                                <m:chr m:val="̅"/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𝑆</m:t>
                                </m:r>
                              </m:e>
                            </m:acc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𝑙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charset="0"/>
                              </a:rPr>
                              <m:t>+</m:t>
                            </m:r>
                            <m:r>
                              <a:rPr lang="en-US" sz="1600" b="0" i="1">
                                <a:latin typeface="Cambria Math" charset="0"/>
                              </a:rPr>
                              <m:t>𝐻</m:t>
                            </m:r>
                            <m:r>
                              <a:rPr lang="en-US" sz="1600" b="0" i="1">
                                <a:latin typeface="Cambria Math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mr-IN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3</m:t>
                                </m:r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𝐿</m:t>
                                </m:r>
                              </m:num>
                              <m:den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2</m:t>
                                </m:r>
                              </m:den>
                            </m:f>
                          </m:num>
                          <m:den>
                            <m:r>
                              <a:rPr lang="en-US" sz="1600" b="0" i="1">
                                <a:latin typeface="Cambria Math" charset="0"/>
                              </a:rPr>
                              <m:t>3</m:t>
                            </m:r>
                            <m:acc>
                              <m:accPr>
                                <m:chr m:val="̅"/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𝑆</m:t>
                                </m:r>
                              </m:e>
                            </m:acc>
                          </m:den>
                        </m:f>
                      </m:e>
                    </m:d>
                    <m:r>
                      <a:rPr lang="en-US" sz="1600" b="0" i="1">
                        <a:latin typeface="Cambria Math" charset="0"/>
                      </a:rPr>
                      <m:t>(−1)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579600" y="10655300"/>
              <a:ext cx="5842000" cy="2692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b="0" i="0">
                  <a:latin typeface="Cambria Math" charset="0"/>
                </a:rPr>
                <a:t>𝐹_𝑠=</a:t>
              </a:r>
              <a:r>
                <a:rPr lang="mr-IN" sz="1600" b="0" i="0">
                  <a:latin typeface="Cambria Math" charset="0"/>
                </a:rPr>
                <a:t>(</a:t>
              </a:r>
              <a:r>
                <a:rPr lang="en-US" sz="1600" b="0" i="0">
                  <a:latin typeface="Cambria Math" charset="0"/>
                </a:rPr>
                <a:t>2𝑊+ 𝑆 ̅(3−3𝑎_𝑝−2𝑘_𝑢− 𝑘_𝑙 )−𝐻−3𝐿</a:t>
              </a:r>
              <a:r>
                <a:rPr lang="mr-IN" sz="1600" b="0" i="0">
                  <a:latin typeface="Cambria Math" charset="0"/>
                </a:rPr>
                <a:t>/</a:t>
              </a:r>
              <a:r>
                <a:rPr lang="en-US" sz="1600" b="0" i="0">
                  <a:latin typeface="Cambria Math" charset="0"/>
                </a:rPr>
                <a:t>2</a:t>
              </a:r>
              <a:r>
                <a:rPr lang="mr-IN" sz="1600" b="0" i="0">
                  <a:latin typeface="Cambria Math" charset="0"/>
                </a:rPr>
                <a:t>)/(</a:t>
              </a:r>
              <a:r>
                <a:rPr lang="en-US" sz="1600" b="0" i="0">
                  <a:latin typeface="Cambria Math" charset="0"/>
                </a:rPr>
                <a:t>3−2</a:t>
              </a:r>
              <a:r>
                <a:rPr lang="en-US" sz="1600" b="0" i="0">
                  <a:latin typeface="Cambria Math" charset="0"/>
                  <a:ea typeface="Cambria Math" charset="0"/>
                  <a:cs typeface="Cambria Math" charset="0"/>
                </a:rPr>
                <a:t>𝜀</a:t>
              </a:r>
              <a:r>
                <a:rPr lang="mr-IN" sz="16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endParaRPr lang="en-US" sz="1600"/>
            </a:p>
            <a:p>
              <a:endParaRPr lang="en-US" sz="1600"/>
            </a:p>
            <a:p>
              <a:r>
                <a:rPr lang="en-US" sz="1600" b="0" i="0">
                  <a:latin typeface="Cambria Math" charset="0"/>
                </a:rPr>
                <a:t>𝐹_𝑠 (3−2</a:t>
              </a:r>
              <a:r>
                <a:rPr lang="en-US" sz="1600" b="0" i="0">
                  <a:latin typeface="Cambria Math" charset="0"/>
                  <a:ea typeface="Cambria Math" charset="0"/>
                  <a:cs typeface="Cambria Math" charset="0"/>
                </a:rPr>
                <a:t>𝜀)=2W+3𝑆 ̅  −3𝑎_𝑝−2𝑆 ̅</a:t>
              </a:r>
              <a:r>
                <a:rPr lang="en-US" sz="1600" b="0" i="0">
                  <a:latin typeface="Cambria Math" charset="0"/>
                </a:rPr>
                <a:t>𝑘_𝑢− 𝑆 ̅𝑘_𝑙−𝐻−3𝐿</a:t>
              </a:r>
              <a:r>
                <a:rPr lang="mr-IN" sz="1600" b="0" i="0">
                  <a:latin typeface="Cambria Math" charset="0"/>
                </a:rPr>
                <a:t>/</a:t>
              </a:r>
              <a:r>
                <a:rPr lang="en-US" sz="1600" b="0" i="0">
                  <a:latin typeface="Cambria Math" charset="0"/>
                </a:rPr>
                <a:t>2</a:t>
              </a:r>
              <a:endParaRPr lang="en-US" sz="1600"/>
            </a:p>
            <a:p>
              <a:endParaRPr lang="en-US" sz="1600"/>
            </a:p>
            <a:p>
              <a:r>
                <a:rPr lang="en-US" sz="1600" b="0" i="0">
                  <a:latin typeface="Cambria Math" charset="0"/>
                </a:rPr>
                <a:t>𝑎_𝑝=⌊</a:t>
              </a:r>
              <a:r>
                <a:rPr lang="mr-IN" sz="1600" b="0" i="0">
                  <a:latin typeface="Cambria Math" charset="0"/>
                </a:rPr>
                <a:t>(</a:t>
              </a:r>
              <a:r>
                <a:rPr lang="en-US" sz="1600" b="0" i="0">
                  <a:latin typeface="Cambria Math" charset="0"/>
                </a:rPr>
                <a:t>𝐹_𝑠 (3−2</a:t>
              </a:r>
              <a:r>
                <a:rPr lang="en-US" sz="1600" b="0" i="0">
                  <a:latin typeface="Cambria Math" charset="0"/>
                  <a:ea typeface="Cambria Math" charset="0"/>
                  <a:cs typeface="Cambria Math" charset="0"/>
                </a:rPr>
                <a:t>𝜀)−2𝑊−3𝑆 ̅</a:t>
              </a:r>
              <a:r>
                <a:rPr lang="en-US" sz="1600" b="0" i="0">
                  <a:latin typeface="Cambria Math" charset="0"/>
                </a:rPr>
                <a:t>+2𝑆 ̅𝑘_𝑢+𝑆 ̅𝑘_𝑙+𝐻+3𝐿</a:t>
              </a:r>
              <a:r>
                <a:rPr lang="mr-IN" sz="1600" b="0" i="0">
                  <a:latin typeface="Cambria Math" charset="0"/>
                </a:rPr>
                <a:t>/</a:t>
              </a:r>
              <a:r>
                <a:rPr lang="en-US" sz="1600" b="0" i="0">
                  <a:latin typeface="Cambria Math" charset="0"/>
                </a:rPr>
                <a:t>2</a:t>
              </a:r>
              <a:r>
                <a:rPr lang="mr-IN" sz="1600" b="0" i="0">
                  <a:latin typeface="Cambria Math" charset="0"/>
                </a:rPr>
                <a:t>)/(</a:t>
              </a:r>
              <a:r>
                <a:rPr lang="en-US" sz="1600" b="0" i="0">
                  <a:latin typeface="Cambria Math" charset="0"/>
                </a:rPr>
                <a:t>3𝑆 ̅ </a:t>
              </a:r>
              <a:r>
                <a:rPr lang="mr-IN" sz="1600" b="0" i="0">
                  <a:latin typeface="Cambria Math" charset="0"/>
                </a:rPr>
                <a:t>)</a:t>
              </a:r>
              <a:r>
                <a:rPr lang="en-US" sz="1600" b="0" i="0">
                  <a:latin typeface="Cambria Math" charset="0"/>
                </a:rPr>
                <a:t>⌋</a:t>
              </a:r>
              <a:r>
                <a:rPr lang="en-US" sz="1600" b="0" i="0">
                  <a:latin typeface="Cambria Math" charset="0"/>
                </a:rPr>
                <a:t>(−1)</a:t>
              </a:r>
              <a:endParaRPr lang="en-US" sz="16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76200</xdr:rowOff>
    </xdr:from>
    <xdr:to>
      <xdr:col>10</xdr:col>
      <xdr:colOff>419100</xdr:colOff>
      <xdr:row>10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3784600" y="76200"/>
              <a:ext cx="4406900" cy="172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charset="0"/>
                      </a:rPr>
                      <m:t>𝑒𝑣𝑎𝑝</m:t>
                    </m:r>
                    <m:r>
                      <a:rPr lang="en-US" sz="1600" b="0" i="1">
                        <a:latin typeface="Cambria Math" charset="0"/>
                      </a:rPr>
                      <m:t>= </m:t>
                    </m:r>
                    <m:f>
                      <m:fPr>
                        <m:ctrlPr>
                          <a:rPr lang="mr-I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charset="0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charset="0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charset="0"/>
                              </a:rPr>
                              <m:t>𝑣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/>
            </a:p>
            <a:p>
              <a:endParaRPr lang="en-US" sz="1600"/>
            </a:p>
            <a:p>
              <a:r>
                <a:rPr lang="en-US" sz="1600"/>
                <a:t>L = latent</a:t>
              </a:r>
              <a:r>
                <a:rPr lang="en-US" sz="1600" baseline="0"/>
                <a:t> heat (J m</a:t>
              </a:r>
              <a:r>
                <a:rPr lang="en-US" sz="1600" baseline="30000"/>
                <a:t>-2</a:t>
              </a:r>
              <a:r>
                <a:rPr lang="en-US" sz="1600" baseline="0"/>
                <a:t> sec</a:t>
              </a:r>
              <a:r>
                <a:rPr lang="en-US" sz="1600" baseline="30000"/>
                <a:t>-1</a:t>
              </a:r>
              <a:r>
                <a:rPr lang="en-US" sz="1600" baseline="0"/>
                <a:t>)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𝜌</m:t>
                      </m:r>
                    </m:e>
                    <m:sub>
                      <m:r>
                        <a:rPr lang="en-US" sz="1600" b="0" i="1">
                          <a:latin typeface="Cambria Math" charset="0"/>
                        </a:rPr>
                        <m:t>𝑤</m:t>
                      </m:r>
                    </m:sub>
                  </m:sSub>
                  <m:r>
                    <a:rPr lang="en-US" sz="1600" b="0" i="1">
                      <a:latin typeface="Cambria Math" charset="0"/>
                    </a:rPr>
                    <m:t>= </m:t>
                  </m:r>
                </m:oMath>
              </a14:m>
              <a:r>
                <a:rPr lang="en-US" sz="1600"/>
                <a:t>Density of water (kg m</a:t>
              </a:r>
              <a:r>
                <a:rPr lang="en-US" sz="1600" baseline="30000"/>
                <a:t>-3</a:t>
              </a:r>
              <a:r>
                <a:rPr lang="en-US" sz="1600"/>
                <a:t>)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𝜆</m:t>
                      </m:r>
                    </m:e>
                    <m:sub>
                      <m:r>
                        <a:rPr lang="en-US" sz="1600" b="0" i="1">
                          <a:latin typeface="Cambria Math" charset="0"/>
                        </a:rPr>
                        <m:t>𝑣</m:t>
                      </m:r>
                    </m:sub>
                  </m:sSub>
                  <m:r>
                    <a:rPr lang="en-US" sz="1600" b="0" i="1">
                      <a:latin typeface="Cambria Math" charset="0"/>
                    </a:rPr>
                    <m:t>= </m:t>
                  </m:r>
                </m:oMath>
              </a14:m>
              <a:r>
                <a:rPr lang="en-US" sz="1600"/>
                <a:t>Latent heat of vaporization (J</a:t>
              </a:r>
              <a:r>
                <a:rPr lang="en-US" sz="1600" baseline="0"/>
                <a:t> kg</a:t>
              </a:r>
              <a:r>
                <a:rPr lang="en-US" sz="1600" baseline="30000"/>
                <a:t>-1</a:t>
              </a:r>
              <a:r>
                <a:rPr lang="en-US" sz="1600" baseline="0"/>
                <a:t>)</a:t>
              </a:r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84600" y="76200"/>
              <a:ext cx="4406900" cy="172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b="0" i="0">
                  <a:latin typeface="Cambria Math" charset="0"/>
                </a:rPr>
                <a:t>𝑒𝑣𝑎𝑝=  𝐿</a:t>
              </a:r>
              <a:r>
                <a:rPr lang="mr-IN" sz="1600" b="0" i="0">
                  <a:latin typeface="Cambria Math" charset="0"/>
                </a:rPr>
                <a:t>/(</a:t>
              </a:r>
              <a:r>
                <a:rPr lang="en-US" sz="1600" b="0" i="0">
                  <a:latin typeface="Cambria Math" charset="0"/>
                  <a:ea typeface="Cambria Math" charset="0"/>
                  <a:cs typeface="Cambria Math" charset="0"/>
                </a:rPr>
                <a:t>𝜌_</a:t>
              </a:r>
              <a:r>
                <a:rPr lang="en-US" sz="1600" b="0" i="0">
                  <a:latin typeface="Cambria Math" charset="0"/>
                </a:rPr>
                <a:t>𝑤 </a:t>
              </a:r>
              <a:r>
                <a:rPr lang="en-US" sz="1600" b="0" i="0">
                  <a:latin typeface="Cambria Math" charset="0"/>
                  <a:ea typeface="Cambria Math" charset="0"/>
                  <a:cs typeface="Cambria Math" charset="0"/>
                </a:rPr>
                <a:t>𝜆_</a:t>
              </a:r>
              <a:r>
                <a:rPr lang="en-US" sz="1600" b="0" i="0">
                  <a:latin typeface="Cambria Math" charset="0"/>
                </a:rPr>
                <a:t>𝑣</a:t>
              </a:r>
              <a:r>
                <a:rPr lang="mr-IN" sz="1600" b="0" i="0">
                  <a:latin typeface="Cambria Math" charset="0"/>
                </a:rPr>
                <a:t> )</a:t>
              </a:r>
              <a:endParaRPr lang="en-US" sz="1600"/>
            </a:p>
            <a:p>
              <a:endParaRPr lang="en-US" sz="1600"/>
            </a:p>
            <a:p>
              <a:r>
                <a:rPr lang="en-US" sz="1600"/>
                <a:t>L = latent</a:t>
              </a:r>
              <a:r>
                <a:rPr lang="en-US" sz="1600" baseline="0"/>
                <a:t> heat (J m</a:t>
              </a:r>
              <a:r>
                <a:rPr lang="en-US" sz="1600" baseline="30000"/>
                <a:t>-2</a:t>
              </a:r>
              <a:r>
                <a:rPr lang="en-US" sz="1600" baseline="0"/>
                <a:t> sec</a:t>
              </a:r>
              <a:r>
                <a:rPr lang="en-US" sz="1600" baseline="30000"/>
                <a:t>-1</a:t>
              </a:r>
              <a:r>
                <a:rPr lang="en-US" sz="1600" baseline="0"/>
                <a:t>)</a:t>
              </a:r>
            </a:p>
            <a:p>
              <a:r>
                <a:rPr lang="en-US" sz="1600" i="0">
                  <a:latin typeface="Cambria Math" charset="0"/>
                  <a:ea typeface="Cambria Math" charset="0"/>
                  <a:cs typeface="Cambria Math" charset="0"/>
                </a:rPr>
                <a:t>𝜌_</a:t>
              </a:r>
              <a:r>
                <a:rPr lang="en-US" sz="1600" b="0" i="0">
                  <a:latin typeface="Cambria Math" charset="0"/>
                </a:rPr>
                <a:t>𝑤= </a:t>
              </a:r>
              <a:r>
                <a:rPr lang="en-US" sz="1600"/>
                <a:t>Density of water (kg m</a:t>
              </a:r>
              <a:r>
                <a:rPr lang="en-US" sz="1600" baseline="30000"/>
                <a:t>-3</a:t>
              </a:r>
              <a:r>
                <a:rPr lang="en-US" sz="1600"/>
                <a:t>)</a:t>
              </a:r>
            </a:p>
            <a:p>
              <a:r>
                <a:rPr lang="en-US" sz="1600" i="0">
                  <a:latin typeface="Cambria Math" charset="0"/>
                  <a:ea typeface="Cambria Math" charset="0"/>
                  <a:cs typeface="Cambria Math" charset="0"/>
                </a:rPr>
                <a:t>𝜆_</a:t>
              </a:r>
              <a:r>
                <a:rPr lang="en-US" sz="1600" b="0" i="0">
                  <a:latin typeface="Cambria Math" charset="0"/>
                </a:rPr>
                <a:t>𝑣= </a:t>
              </a:r>
              <a:r>
                <a:rPr lang="en-US" sz="1600"/>
                <a:t>Latent heat of vaporization (J</a:t>
              </a:r>
              <a:r>
                <a:rPr lang="en-US" sz="1600" baseline="0"/>
                <a:t> kg</a:t>
              </a:r>
              <a:r>
                <a:rPr lang="en-US" sz="1600" baseline="30000"/>
                <a:t>-1</a:t>
              </a:r>
              <a:r>
                <a:rPr lang="en-US" sz="1600" baseline="0"/>
                <a:t>)</a:t>
              </a:r>
              <a:endParaRPr lang="en-US" sz="1600"/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520700</xdr:colOff>
      <xdr:row>19</xdr:row>
      <xdr:rowOff>190500</xdr:rowOff>
    </xdr:from>
    <xdr:to>
      <xdr:col>18</xdr:col>
      <xdr:colOff>520700</xdr:colOff>
      <xdr:row>43</xdr:row>
      <xdr:rowOff>178706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4394200"/>
          <a:ext cx="10058400" cy="486500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74"/>
  <sheetViews>
    <sheetView workbookViewId="0">
      <selection activeCell="B12" sqref="B12"/>
    </sheetView>
  </sheetViews>
  <sheetFormatPr baseColWidth="10" defaultColWidth="8.83203125" defaultRowHeight="13" x14ac:dyDescent="0.15"/>
  <cols>
    <col min="2" max="2" width="12" bestFit="1" customWidth="1"/>
    <col min="4" max="4" width="11.6640625" bestFit="1" customWidth="1"/>
  </cols>
  <sheetData>
    <row r="1" spans="1:3" x14ac:dyDescent="0.15">
      <c r="A1" t="s">
        <v>8</v>
      </c>
    </row>
    <row r="2" spans="1:3" x14ac:dyDescent="0.15">
      <c r="A2" t="s">
        <v>9</v>
      </c>
      <c r="B2">
        <v>108</v>
      </c>
    </row>
    <row r="3" spans="1:3" x14ac:dyDescent="0.15">
      <c r="A3" t="s">
        <v>10</v>
      </c>
      <c r="B3">
        <v>149.6</v>
      </c>
    </row>
    <row r="4" spans="1:3" x14ac:dyDescent="0.15">
      <c r="A4" t="s">
        <v>11</v>
      </c>
      <c r="B4">
        <v>228</v>
      </c>
    </row>
    <row r="5" spans="1:3" x14ac:dyDescent="0.15">
      <c r="A5" s="42" t="s">
        <v>36</v>
      </c>
      <c r="B5" s="42"/>
      <c r="C5">
        <v>0.98329999999999995</v>
      </c>
    </row>
    <row r="6" spans="1:3" x14ac:dyDescent="0.15">
      <c r="A6" s="42" t="s">
        <v>37</v>
      </c>
      <c r="B6" s="42"/>
      <c r="C6">
        <v>1.0166999999999999</v>
      </c>
    </row>
    <row r="8" spans="1:3" x14ac:dyDescent="0.15">
      <c r="A8" t="s">
        <v>32</v>
      </c>
      <c r="B8">
        <v>1362</v>
      </c>
      <c r="C8" t="s">
        <v>12</v>
      </c>
    </row>
    <row r="9" spans="1:3" x14ac:dyDescent="0.15">
      <c r="A9" s="4" t="s">
        <v>4</v>
      </c>
      <c r="B9" s="4" t="s">
        <v>35</v>
      </c>
    </row>
    <row r="18" spans="1:13" x14ac:dyDescent="0.15">
      <c r="B18" s="41" t="s">
        <v>33</v>
      </c>
      <c r="C18" s="41"/>
      <c r="D18" s="41"/>
      <c r="J18" s="5" t="s">
        <v>38</v>
      </c>
    </row>
    <row r="19" spans="1:13" x14ac:dyDescent="0.15">
      <c r="A19" t="s">
        <v>7</v>
      </c>
      <c r="B19" t="s">
        <v>9</v>
      </c>
      <c r="C19" t="s">
        <v>10</v>
      </c>
      <c r="D19" t="s">
        <v>11</v>
      </c>
      <c r="K19" s="4" t="s">
        <v>39</v>
      </c>
      <c r="L19" s="4" t="s">
        <v>40</v>
      </c>
    </row>
    <row r="20" spans="1:13" x14ac:dyDescent="0.15">
      <c r="A20">
        <v>0</v>
      </c>
      <c r="B20" s="2">
        <f t="shared" ref="B20:B53" si="0">POWER((Searth/(4*sigma))*(1-$A20)*(DE/DV)^2,1/4)</f>
        <v>327.63284524330572</v>
      </c>
      <c r="C20" s="2">
        <f t="shared" ref="C20:C53" si="1">POWER((Searth/(4*sigma))*(1-$A20)*(DE/DE)^2,1/4)</f>
        <v>278.37710518355414</v>
      </c>
      <c r="D20" s="2">
        <f t="shared" ref="D20:D53" si="2">POWER((Searth/(4*sigma))*(1-$A20)*(DE/DM)^2,1/4)</f>
        <v>225.49238889477942</v>
      </c>
      <c r="K20" s="2">
        <f>POWER((Searth/(4*sigma))*(1-$A20)*(1/Earth_perihelion)^2,1/4)</f>
        <v>280.73107891022562</v>
      </c>
      <c r="L20" s="2">
        <f t="shared" ref="L20:L53" si="3">POWER((Searth/(4*sigma))*(1-$A20)*(1/Earth_aphelion)^2,1/4)</f>
        <v>276.08137074373104</v>
      </c>
      <c r="M20" s="3"/>
    </row>
    <row r="21" spans="1:13" x14ac:dyDescent="0.15">
      <c r="A21">
        <v>0.1</v>
      </c>
      <c r="B21" s="2">
        <f t="shared" si="0"/>
        <v>319.11561871895907</v>
      </c>
      <c r="C21" s="2">
        <f t="shared" si="1"/>
        <v>271.14034336781049</v>
      </c>
      <c r="D21" s="2">
        <f t="shared" si="2"/>
        <v>219.63043157390521</v>
      </c>
      <c r="E21" s="2"/>
      <c r="J21" s="2"/>
      <c r="K21" s="2">
        <f>POWER((Searth/(4*sigma))*(1-$A21)*(1/Earth_perihelion)^2,1/4)</f>
        <v>273.43312259657546</v>
      </c>
      <c r="L21" s="2">
        <f t="shared" si="3"/>
        <v>268.90428942262548</v>
      </c>
      <c r="M21" s="2"/>
    </row>
    <row r="22" spans="1:13" x14ac:dyDescent="0.15">
      <c r="A22">
        <v>0.2</v>
      </c>
      <c r="B22" s="2">
        <f t="shared" si="0"/>
        <v>309.85601422269229</v>
      </c>
      <c r="C22" s="2">
        <f t="shared" si="1"/>
        <v>263.27281136594064</v>
      </c>
      <c r="D22" s="2">
        <f t="shared" si="2"/>
        <v>213.2575346913186</v>
      </c>
      <c r="E22" s="2"/>
      <c r="J22" s="2"/>
      <c r="K22" s="2">
        <f t="shared" ref="K22:K52" si="4">POWER((Searth/(4*sigma))*(1-$A22)*(1/Earth_perihelion)^2,1/4)</f>
        <v>265.49906226575439</v>
      </c>
      <c r="L22" s="2">
        <f t="shared" si="3"/>
        <v>261.10163978297857</v>
      </c>
      <c r="M22" s="2"/>
    </row>
    <row r="23" spans="1:13" x14ac:dyDescent="0.15">
      <c r="A23">
        <v>0.3</v>
      </c>
      <c r="B23" s="2">
        <f t="shared" si="0"/>
        <v>299.68288667496529</v>
      </c>
      <c r="C23" s="2">
        <f t="shared" si="1"/>
        <v>254.62909374569946</v>
      </c>
      <c r="D23" s="2">
        <f t="shared" si="2"/>
        <v>206.25590812495676</v>
      </c>
      <c r="E23" s="2"/>
      <c r="J23" s="2"/>
      <c r="K23" s="2">
        <f t="shared" si="4"/>
        <v>256.78225284378118</v>
      </c>
      <c r="L23" s="2">
        <f t="shared" si="3"/>
        <v>252.52920561191263</v>
      </c>
      <c r="M23" s="2"/>
    </row>
    <row r="24" spans="1:13" x14ac:dyDescent="0.15">
      <c r="A24">
        <v>0.4</v>
      </c>
      <c r="B24" s="2">
        <f t="shared" si="0"/>
        <v>288.35351245764679</v>
      </c>
      <c r="C24" s="2">
        <f t="shared" si="1"/>
        <v>245.00295752661489</v>
      </c>
      <c r="D24" s="2">
        <f t="shared" si="2"/>
        <v>198.45849802387571</v>
      </c>
      <c r="E24" s="2"/>
      <c r="J24" s="2"/>
      <c r="K24" s="2">
        <f t="shared" si="4"/>
        <v>247.07471743156199</v>
      </c>
      <c r="L24" s="2">
        <f t="shared" si="3"/>
        <v>242.98245470156601</v>
      </c>
      <c r="M24" s="2"/>
    </row>
    <row r="25" spans="1:13" x14ac:dyDescent="0.15">
      <c r="A25">
        <v>0.5</v>
      </c>
      <c r="B25" s="2">
        <f t="shared" si="0"/>
        <v>275.5052850844707</v>
      </c>
      <c r="C25" s="2">
        <f t="shared" si="1"/>
        <v>234.0863098375568</v>
      </c>
      <c r="D25" s="2">
        <f t="shared" si="2"/>
        <v>189.61574148861661</v>
      </c>
      <c r="E25" s="2"/>
      <c r="J25" s="2"/>
      <c r="K25" s="2">
        <f t="shared" si="4"/>
        <v>236.06575790591651</v>
      </c>
      <c r="L25" s="2">
        <f t="shared" si="3"/>
        <v>232.15583497673529</v>
      </c>
      <c r="M25" s="2"/>
    </row>
    <row r="26" spans="1:13" x14ac:dyDescent="0.15">
      <c r="A26">
        <v>0.6</v>
      </c>
      <c r="B26" s="2">
        <f t="shared" si="0"/>
        <v>260.55681160466605</v>
      </c>
      <c r="C26" s="2">
        <f t="shared" si="1"/>
        <v>221.38516331138698</v>
      </c>
      <c r="D26" s="2">
        <f t="shared" si="2"/>
        <v>179.32749644777439</v>
      </c>
      <c r="E26" s="2"/>
      <c r="J26" s="2"/>
      <c r="K26" s="2">
        <f t="shared" si="4"/>
        <v>223.25720971249569</v>
      </c>
      <c r="L26" s="2">
        <f t="shared" si="3"/>
        <v>219.55943291037323</v>
      </c>
      <c r="M26" s="2"/>
    </row>
    <row r="27" spans="1:13" x14ac:dyDescent="0.15">
      <c r="A27">
        <v>0.7</v>
      </c>
      <c r="B27" s="2">
        <f t="shared" si="0"/>
        <v>242.4754349514526</v>
      </c>
      <c r="C27" s="2">
        <f t="shared" si="1"/>
        <v>206.02210871068863</v>
      </c>
      <c r="D27" s="2">
        <f t="shared" si="2"/>
        <v>166.88303956491339</v>
      </c>
      <c r="E27" s="2"/>
      <c r="J27" s="2"/>
      <c r="K27" s="2">
        <f t="shared" si="4"/>
        <v>207.76424418802483</v>
      </c>
      <c r="L27" s="2">
        <f t="shared" si="3"/>
        <v>204.32307512809484</v>
      </c>
      <c r="M27" s="2"/>
    </row>
    <row r="28" spans="1:13" x14ac:dyDescent="0.15">
      <c r="A28">
        <v>0.8</v>
      </c>
      <c r="B28" s="2">
        <f t="shared" si="0"/>
        <v>219.10128884830101</v>
      </c>
      <c r="C28" s="2">
        <f t="shared" si="1"/>
        <v>186.16199021890338</v>
      </c>
      <c r="D28" s="2">
        <f t="shared" si="2"/>
        <v>150.79584891935679</v>
      </c>
      <c r="E28" s="2"/>
      <c r="J28" s="2"/>
      <c r="K28" s="2">
        <f t="shared" si="4"/>
        <v>187.73618732678432</v>
      </c>
      <c r="L28" s="2">
        <f t="shared" si="3"/>
        <v>184.62674006947137</v>
      </c>
      <c r="M28" s="2"/>
    </row>
    <row r="29" spans="1:13" x14ac:dyDescent="0.15">
      <c r="A29">
        <v>0.85</v>
      </c>
      <c r="B29" s="2">
        <f t="shared" si="0"/>
        <v>203.89672403776163</v>
      </c>
      <c r="C29" s="2">
        <f t="shared" si="1"/>
        <v>173.24325267782908</v>
      </c>
      <c r="D29" s="2">
        <f t="shared" si="2"/>
        <v>140.33134973677954</v>
      </c>
      <c r="E29" s="2"/>
      <c r="J29" s="2"/>
      <c r="K29" s="2">
        <f t="shared" si="4"/>
        <v>174.70820815560754</v>
      </c>
      <c r="L29" s="2">
        <f t="shared" si="3"/>
        <v>171.81454142883041</v>
      </c>
      <c r="M29" s="2"/>
    </row>
    <row r="30" spans="1:13" x14ac:dyDescent="0.15">
      <c r="A30">
        <v>0.86</v>
      </c>
      <c r="B30" s="2">
        <f t="shared" si="0"/>
        <v>200.41002503123084</v>
      </c>
      <c r="C30" s="2">
        <f t="shared" si="1"/>
        <v>170.28073780736906</v>
      </c>
      <c r="D30" s="2">
        <f t="shared" si="2"/>
        <v>137.93163890267249</v>
      </c>
      <c r="E30" s="2"/>
      <c r="J30" s="2"/>
      <c r="K30" s="2">
        <f t="shared" si="4"/>
        <v>171.72064207928295</v>
      </c>
      <c r="L30" s="2">
        <f t="shared" si="3"/>
        <v>168.87645797636407</v>
      </c>
      <c r="M30" s="2"/>
    </row>
    <row r="31" spans="1:13" x14ac:dyDescent="0.15">
      <c r="A31">
        <v>0.87</v>
      </c>
      <c r="B31" s="2">
        <f t="shared" si="0"/>
        <v>196.73121377646501</v>
      </c>
      <c r="C31" s="2">
        <f t="shared" si="1"/>
        <v>167.15499250287164</v>
      </c>
      <c r="D31" s="2">
        <f t="shared" si="2"/>
        <v>135.39970735132232</v>
      </c>
      <c r="E31" s="2"/>
      <c r="J31" s="2"/>
      <c r="K31" s="2">
        <f t="shared" si="4"/>
        <v>168.5684652824464</v>
      </c>
      <c r="L31" s="2">
        <f t="shared" si="3"/>
        <v>165.77649022688834</v>
      </c>
      <c r="M31" s="2"/>
    </row>
    <row r="32" spans="1:13" x14ac:dyDescent="0.15">
      <c r="A32">
        <v>0.88</v>
      </c>
      <c r="B32" s="2">
        <f t="shared" si="0"/>
        <v>192.83361586194926</v>
      </c>
      <c r="C32" s="2">
        <f t="shared" si="1"/>
        <v>163.84335253647384</v>
      </c>
      <c r="D32" s="2">
        <f t="shared" si="2"/>
        <v>132.7171964936492</v>
      </c>
      <c r="E32" s="2"/>
      <c r="J32" s="2"/>
      <c r="K32" s="2">
        <f t="shared" si="4"/>
        <v>165.22882188714593</v>
      </c>
      <c r="L32" s="2">
        <f t="shared" si="3"/>
        <v>162.49216086104479</v>
      </c>
      <c r="M32" s="2"/>
    </row>
    <row r="33" spans="1:13" x14ac:dyDescent="0.15">
      <c r="A33">
        <v>0.89</v>
      </c>
      <c r="B33" s="2">
        <f t="shared" si="0"/>
        <v>188.68423033701481</v>
      </c>
      <c r="C33" s="2">
        <f t="shared" si="1"/>
        <v>160.31777826181894</v>
      </c>
      <c r="D33" s="2">
        <f t="shared" si="2"/>
        <v>129.86139351770504</v>
      </c>
      <c r="E33" s="2"/>
      <c r="J33" s="2"/>
      <c r="K33" s="2">
        <f t="shared" si="4"/>
        <v>161.67343514207076</v>
      </c>
      <c r="L33" s="2">
        <f t="shared" si="3"/>
        <v>158.99566147125566</v>
      </c>
      <c r="M33" s="2"/>
    </row>
    <row r="34" spans="1:13" x14ac:dyDescent="0.15">
      <c r="A34">
        <v>0.9</v>
      </c>
      <c r="B34" s="2">
        <f t="shared" si="0"/>
        <v>184.24148837000507</v>
      </c>
      <c r="C34" s="2">
        <f t="shared" si="1"/>
        <v>156.54295023157297</v>
      </c>
      <c r="D34" s="2">
        <f t="shared" si="2"/>
        <v>126.80368879142779</v>
      </c>
      <c r="E34" s="2"/>
      <c r="J34" s="2"/>
      <c r="K34" s="2">
        <f t="shared" si="4"/>
        <v>157.86668693649284</v>
      </c>
      <c r="L34" s="2">
        <f t="shared" si="3"/>
        <v>155.25196388439775</v>
      </c>
      <c r="M34" s="2"/>
    </row>
    <row r="35" spans="1:13" x14ac:dyDescent="0.15">
      <c r="A35">
        <v>0.91</v>
      </c>
      <c r="B35" s="2">
        <f t="shared" si="0"/>
        <v>179.45189991935757</v>
      </c>
      <c r="C35" s="2">
        <f t="shared" si="1"/>
        <v>152.4734200020209</v>
      </c>
      <c r="D35" s="2">
        <f t="shared" si="2"/>
        <v>123.50726794339812</v>
      </c>
      <c r="E35" s="2"/>
      <c r="J35" s="2"/>
      <c r="K35" s="2">
        <f t="shared" si="4"/>
        <v>153.7627445118934</v>
      </c>
      <c r="L35" s="2">
        <f t="shared" si="3"/>
        <v>151.21599446328833</v>
      </c>
      <c r="M35" s="2"/>
    </row>
    <row r="36" spans="1:13" x14ac:dyDescent="0.15">
      <c r="A36">
        <v>0.92</v>
      </c>
      <c r="B36" s="2">
        <f t="shared" si="0"/>
        <v>174.24484165618838</v>
      </c>
      <c r="C36" s="2">
        <f t="shared" si="1"/>
        <v>148.04918163011195</v>
      </c>
      <c r="D36" s="2">
        <f t="shared" si="2"/>
        <v>119.92352466514291</v>
      </c>
      <c r="E36" s="2"/>
      <c r="J36" s="2"/>
      <c r="K36" s="2">
        <f t="shared" si="4"/>
        <v>149.30109451131929</v>
      </c>
      <c r="L36" s="2">
        <f t="shared" si="3"/>
        <v>146.8282421249333</v>
      </c>
      <c r="M36" s="2"/>
    </row>
    <row r="37" spans="1:13" x14ac:dyDescent="0.15">
      <c r="A37">
        <v>0.93</v>
      </c>
      <c r="B37" s="2">
        <f t="shared" si="0"/>
        <v>168.52407162966929</v>
      </c>
      <c r="C37" s="2">
        <f t="shared" si="1"/>
        <v>143.18846200897437</v>
      </c>
      <c r="D37" s="2">
        <f t="shared" si="2"/>
        <v>115.98622070332704</v>
      </c>
      <c r="E37" s="2"/>
      <c r="J37" s="2"/>
      <c r="K37" s="2">
        <f t="shared" si="4"/>
        <v>144.39927234953515</v>
      </c>
      <c r="L37" s="2">
        <f t="shared" si="3"/>
        <v>142.00760813306906</v>
      </c>
      <c r="M37" s="2"/>
    </row>
    <row r="38" spans="1:13" x14ac:dyDescent="0.15">
      <c r="A38">
        <v>0.94</v>
      </c>
      <c r="B38" s="2">
        <f t="shared" si="0"/>
        <v>162.15309631872503</v>
      </c>
      <c r="C38" s="2">
        <f t="shared" si="1"/>
        <v>137.77528781107151</v>
      </c>
      <c r="D38" s="2">
        <f t="shared" si="2"/>
        <v>111.60141477403252</v>
      </c>
      <c r="E38" s="2"/>
      <c r="J38" s="2"/>
      <c r="K38" s="2">
        <f t="shared" si="4"/>
        <v>138.94032402149557</v>
      </c>
      <c r="L38" s="2">
        <f t="shared" si="3"/>
        <v>136.63907557488255</v>
      </c>
      <c r="M38" s="2"/>
    </row>
    <row r="39" spans="1:13" x14ac:dyDescent="0.15">
      <c r="A39">
        <v>0.95</v>
      </c>
      <c r="B39" s="2">
        <f t="shared" si="0"/>
        <v>154.92800711134626</v>
      </c>
      <c r="C39" s="2">
        <f t="shared" si="1"/>
        <v>131.63640568297043</v>
      </c>
      <c r="D39" s="2">
        <f t="shared" si="2"/>
        <v>106.6287673456593</v>
      </c>
      <c r="E39" s="2"/>
      <c r="J39" s="2"/>
      <c r="K39" s="2">
        <f t="shared" si="4"/>
        <v>132.74953113287717</v>
      </c>
      <c r="L39" s="2">
        <f t="shared" si="3"/>
        <v>130.55081989148928</v>
      </c>
      <c r="M39" s="2"/>
    </row>
    <row r="40" spans="1:13" x14ac:dyDescent="0.15">
      <c r="A40">
        <v>0.96</v>
      </c>
      <c r="B40" s="2">
        <f t="shared" si="0"/>
        <v>146.52186272513998</v>
      </c>
      <c r="C40" s="2">
        <f t="shared" si="1"/>
        <v>124.49402611400716</v>
      </c>
      <c r="D40" s="2">
        <f t="shared" si="2"/>
        <v>100.84326199550914</v>
      </c>
      <c r="E40" s="2"/>
      <c r="J40" s="2"/>
      <c r="K40" s="2">
        <f t="shared" si="4"/>
        <v>125.54675516802448</v>
      </c>
      <c r="L40" s="2">
        <f t="shared" si="3"/>
        <v>123.46734246086091</v>
      </c>
      <c r="M40" s="2"/>
    </row>
    <row r="41" spans="1:13" x14ac:dyDescent="0.15">
      <c r="A41">
        <v>0.97</v>
      </c>
      <c r="B41" s="2">
        <f t="shared" si="0"/>
        <v>136.35395741670609</v>
      </c>
      <c r="C41" s="2">
        <f t="shared" si="1"/>
        <v>115.85474563087877</v>
      </c>
      <c r="D41" s="2">
        <f t="shared" si="2"/>
        <v>93.845229620726911</v>
      </c>
      <c r="E41" s="2"/>
      <c r="J41" s="2"/>
      <c r="K41" s="2">
        <f t="shared" si="4"/>
        <v>116.83442040386524</v>
      </c>
      <c r="L41" s="2">
        <f t="shared" si="3"/>
        <v>114.89930883450018</v>
      </c>
      <c r="M41" s="2"/>
    </row>
    <row r="42" spans="1:13" x14ac:dyDescent="0.15">
      <c r="A42">
        <v>0.98</v>
      </c>
      <c r="B42" s="2">
        <f t="shared" si="0"/>
        <v>123.20970912186712</v>
      </c>
      <c r="C42" s="2">
        <f t="shared" si="1"/>
        <v>104.68658027977099</v>
      </c>
      <c r="D42" s="2">
        <f t="shared" si="2"/>
        <v>84.798737514514741</v>
      </c>
      <c r="E42" s="2"/>
      <c r="J42" s="2"/>
      <c r="K42" s="2">
        <f t="shared" si="4"/>
        <v>105.57181636752757</v>
      </c>
      <c r="L42" s="2">
        <f t="shared" si="3"/>
        <v>103.82324567624072</v>
      </c>
      <c r="M42" s="2"/>
    </row>
    <row r="43" spans="1:13" x14ac:dyDescent="0.15">
      <c r="A43">
        <v>0.99</v>
      </c>
      <c r="B43" s="2">
        <f t="shared" si="0"/>
        <v>103.60660272503091</v>
      </c>
      <c r="C43" s="2">
        <f t="shared" si="1"/>
        <v>88.030570082429676</v>
      </c>
      <c r="D43" s="2">
        <f t="shared" si="2"/>
        <v>71.306954393996165</v>
      </c>
      <c r="E43" s="2"/>
      <c r="J43" s="2"/>
      <c r="K43" s="2">
        <f t="shared" si="4"/>
        <v>88.774961935277332</v>
      </c>
      <c r="L43" s="2">
        <f t="shared" si="3"/>
        <v>87.304595109156494</v>
      </c>
      <c r="M43" s="2"/>
    </row>
    <row r="44" spans="1:13" x14ac:dyDescent="0.15">
      <c r="A44">
        <v>0.99099999999999999</v>
      </c>
      <c r="B44" s="2">
        <f t="shared" si="0"/>
        <v>100.9132192085775</v>
      </c>
      <c r="C44" s="2">
        <f t="shared" si="1"/>
        <v>85.742105060241101</v>
      </c>
      <c r="D44" s="2">
        <f t="shared" si="2"/>
        <v>69.453240725930058</v>
      </c>
      <c r="E44" s="2"/>
      <c r="J44" s="2"/>
      <c r="K44" s="2">
        <f t="shared" si="4"/>
        <v>86.467145513723267</v>
      </c>
      <c r="L44" s="2">
        <f t="shared" si="3"/>
        <v>85.035002716462103</v>
      </c>
      <c r="M44" s="2"/>
    </row>
    <row r="45" spans="1:13" x14ac:dyDescent="0.15">
      <c r="A45">
        <v>0.99199999999999999</v>
      </c>
      <c r="B45" s="2">
        <f t="shared" si="0"/>
        <v>97.985075164523565</v>
      </c>
      <c r="C45" s="2">
        <f t="shared" si="1"/>
        <v>83.254172991223811</v>
      </c>
      <c r="D45" s="2">
        <f t="shared" si="2"/>
        <v>67.43795378169402</v>
      </c>
      <c r="E45" s="2"/>
      <c r="J45" s="2"/>
      <c r="K45" s="2">
        <f t="shared" si="4"/>
        <v>83.958175339864894</v>
      </c>
      <c r="L45" s="2">
        <f t="shared" si="3"/>
        <v>82.567588251904482</v>
      </c>
      <c r="M45" s="2"/>
    </row>
    <row r="46" spans="1:13" x14ac:dyDescent="0.15">
      <c r="A46">
        <v>0.99299999999999999</v>
      </c>
      <c r="B46" s="2">
        <f t="shared" si="0"/>
        <v>94.768049766701509</v>
      </c>
      <c r="C46" s="2">
        <f t="shared" si="1"/>
        <v>80.520789478094571</v>
      </c>
      <c r="D46" s="2">
        <f t="shared" si="2"/>
        <v>65.223845054129271</v>
      </c>
      <c r="E46" s="2"/>
      <c r="J46" s="2"/>
      <c r="K46" s="2">
        <f t="shared" si="4"/>
        <v>81.20167816955977</v>
      </c>
      <c r="L46" s="2">
        <f t="shared" si="3"/>
        <v>79.856746544661888</v>
      </c>
      <c r="M46" s="2"/>
    </row>
    <row r="47" spans="1:13" x14ac:dyDescent="0.15">
      <c r="A47">
        <v>0.99399999999999999</v>
      </c>
      <c r="B47" s="2">
        <f t="shared" si="0"/>
        <v>91.185387067590113</v>
      </c>
      <c r="C47" s="2">
        <f t="shared" si="1"/>
        <v>77.476737926159686</v>
      </c>
      <c r="D47" s="2">
        <f t="shared" si="2"/>
        <v>62.758087477147228</v>
      </c>
      <c r="E47" s="2"/>
      <c r="J47" s="2"/>
      <c r="K47" s="2">
        <f t="shared" si="4"/>
        <v>78.131885932624357</v>
      </c>
      <c r="L47" s="2">
        <f t="shared" si="3"/>
        <v>76.837798831563688</v>
      </c>
      <c r="M47" s="2"/>
    </row>
    <row r="48" spans="1:13" x14ac:dyDescent="0.15">
      <c r="A48">
        <v>0.995</v>
      </c>
      <c r="B48" s="2">
        <f t="shared" si="0"/>
        <v>87.122420828094263</v>
      </c>
      <c r="C48" s="2">
        <f t="shared" si="1"/>
        <v>74.024590815055959</v>
      </c>
      <c r="D48" s="2">
        <f t="shared" si="2"/>
        <v>59.961762332571453</v>
      </c>
      <c r="E48" s="2"/>
      <c r="J48" s="2"/>
      <c r="K48" s="2">
        <f t="shared" si="4"/>
        <v>74.650547255659703</v>
      </c>
      <c r="L48" s="2">
        <f t="shared" si="3"/>
        <v>73.414121062466705</v>
      </c>
      <c r="M48" s="2"/>
    </row>
    <row r="49" spans="1:13" x14ac:dyDescent="0.15">
      <c r="A49">
        <v>0.996</v>
      </c>
      <c r="B49" s="2">
        <f t="shared" si="0"/>
        <v>82.395298454213673</v>
      </c>
      <c r="C49" s="2">
        <f t="shared" si="1"/>
        <v>70.008135623232761</v>
      </c>
      <c r="D49" s="2">
        <f t="shared" si="2"/>
        <v>56.708333587072154</v>
      </c>
      <c r="E49" s="2"/>
      <c r="J49" s="2"/>
      <c r="K49" s="2">
        <f t="shared" si="4"/>
        <v>70.600128674535171</v>
      </c>
      <c r="L49" s="2">
        <f t="shared" si="3"/>
        <v>69.430788977171161</v>
      </c>
      <c r="M49" s="2"/>
    </row>
    <row r="50" spans="1:13" x14ac:dyDescent="0.15">
      <c r="A50">
        <v>0.997</v>
      </c>
      <c r="B50" s="2">
        <f t="shared" si="0"/>
        <v>76.677465108658922</v>
      </c>
      <c r="C50" s="2">
        <f t="shared" si="1"/>
        <v>65.149911187659157</v>
      </c>
      <c r="D50" s="2">
        <f t="shared" si="2"/>
        <v>52.773050787712158</v>
      </c>
      <c r="E50" s="2"/>
      <c r="J50" s="2"/>
      <c r="K50" s="2">
        <f t="shared" si="4"/>
        <v>65.700822797755919</v>
      </c>
      <c r="L50" s="2">
        <f t="shared" si="3"/>
        <v>64.612629593447991</v>
      </c>
      <c r="M50" s="2"/>
    </row>
    <row r="51" spans="1:13" x14ac:dyDescent="0.15">
      <c r="A51">
        <v>0.998</v>
      </c>
      <c r="B51" s="2">
        <f t="shared" si="0"/>
        <v>69.285911103908177</v>
      </c>
      <c r="C51" s="2">
        <f t="shared" si="1"/>
        <v>58.869590284172268</v>
      </c>
      <c r="D51" s="2">
        <f t="shared" si="2"/>
        <v>47.685834428380815</v>
      </c>
      <c r="E51" s="2"/>
      <c r="J51" s="2"/>
      <c r="K51" s="2">
        <f t="shared" si="4"/>
        <v>59.367395118867627</v>
      </c>
      <c r="L51" s="2">
        <f t="shared" si="3"/>
        <v>58.384101559140369</v>
      </c>
      <c r="M51" s="2"/>
    </row>
    <row r="52" spans="1:13" x14ac:dyDescent="0.15">
      <c r="A52">
        <v>0.999</v>
      </c>
      <c r="B52" s="2">
        <f t="shared" si="0"/>
        <v>58.262274274863948</v>
      </c>
      <c r="C52" s="2">
        <f t="shared" si="1"/>
        <v>49.503227437415383</v>
      </c>
      <c r="D52" s="2">
        <f t="shared" si="2"/>
        <v>40.098847229207593</v>
      </c>
      <c r="E52" s="2"/>
      <c r="J52" s="2"/>
      <c r="K52" s="2">
        <f t="shared" si="4"/>
        <v>49.921829738406657</v>
      </c>
      <c r="L52" s="2">
        <f t="shared" si="3"/>
        <v>49.094981708889939</v>
      </c>
      <c r="M52" s="2"/>
    </row>
    <row r="53" spans="1:13" x14ac:dyDescent="0.15">
      <c r="A53">
        <v>1</v>
      </c>
      <c r="B53" s="2">
        <f t="shared" si="0"/>
        <v>0</v>
      </c>
      <c r="C53" s="2">
        <f t="shared" si="1"/>
        <v>0</v>
      </c>
      <c r="D53" s="2">
        <f t="shared" si="2"/>
        <v>0</v>
      </c>
      <c r="E53" s="2"/>
      <c r="J53" s="2"/>
      <c r="K53" s="2">
        <f>POWER((Searth/(4*sigma))*(1-$A53)*(1/Earth_perihelion)^2,1/4)</f>
        <v>0</v>
      </c>
      <c r="L53" s="2">
        <f t="shared" si="3"/>
        <v>0</v>
      </c>
      <c r="M53" s="2"/>
    </row>
    <row r="54" spans="1:13" x14ac:dyDescent="0.15">
      <c r="B54" s="2"/>
      <c r="C54" s="2"/>
      <c r="D54" s="2"/>
      <c r="E54" s="2"/>
      <c r="J54" s="2"/>
      <c r="K54" s="2"/>
      <c r="L54" s="2"/>
      <c r="M54" s="2"/>
    </row>
    <row r="55" spans="1:13" x14ac:dyDescent="0.15">
      <c r="B55" s="2"/>
      <c r="C55" s="2"/>
      <c r="D55" s="2"/>
      <c r="K55" s="2"/>
      <c r="L55" s="2"/>
    </row>
    <row r="56" spans="1:13" x14ac:dyDescent="0.15">
      <c r="B56" s="2"/>
      <c r="C56" s="2"/>
      <c r="D56" s="2"/>
      <c r="K56" s="2"/>
      <c r="L56" s="2"/>
    </row>
    <row r="57" spans="1:13" x14ac:dyDescent="0.15">
      <c r="B57" s="2"/>
      <c r="C57" s="2"/>
      <c r="D57" s="2"/>
      <c r="K57" s="2"/>
      <c r="L57" s="2"/>
    </row>
    <row r="58" spans="1:13" x14ac:dyDescent="0.15">
      <c r="B58" s="2"/>
      <c r="C58" s="2"/>
      <c r="D58" s="2"/>
      <c r="K58" s="2"/>
      <c r="L58" s="2"/>
    </row>
    <row r="59" spans="1:13" x14ac:dyDescent="0.15">
      <c r="B59" s="2"/>
      <c r="C59" s="2"/>
      <c r="D59" s="2"/>
      <c r="K59" s="2"/>
      <c r="L59" s="2"/>
    </row>
    <row r="60" spans="1:13" x14ac:dyDescent="0.15">
      <c r="B60" s="2"/>
      <c r="C60" s="2"/>
      <c r="D60" s="2"/>
      <c r="K60" s="2"/>
      <c r="L60" s="2"/>
    </row>
    <row r="61" spans="1:13" x14ac:dyDescent="0.15">
      <c r="B61" s="2"/>
      <c r="C61" s="2"/>
      <c r="D61" s="2"/>
      <c r="K61" s="2"/>
      <c r="L61" s="2"/>
    </row>
    <row r="62" spans="1:13" x14ac:dyDescent="0.15">
      <c r="B62" s="2"/>
      <c r="C62" s="2"/>
      <c r="D62" s="2"/>
      <c r="K62" s="2"/>
      <c r="L62" s="2"/>
    </row>
    <row r="63" spans="1:13" x14ac:dyDescent="0.15">
      <c r="B63" s="2"/>
      <c r="C63" s="2"/>
      <c r="D63" s="2"/>
      <c r="K63" s="2"/>
      <c r="L63" s="2"/>
    </row>
    <row r="64" spans="1:13" x14ac:dyDescent="0.15">
      <c r="B64" s="2"/>
      <c r="C64" s="2"/>
      <c r="D64" s="2"/>
      <c r="K64" s="2"/>
      <c r="L64" s="2"/>
    </row>
    <row r="65" spans="2:12" x14ac:dyDescent="0.15">
      <c r="B65" s="2"/>
      <c r="C65" s="2"/>
      <c r="D65" s="2"/>
      <c r="K65" s="2"/>
      <c r="L65" s="2"/>
    </row>
    <row r="66" spans="2:12" x14ac:dyDescent="0.15">
      <c r="B66" s="2"/>
      <c r="C66" s="2"/>
      <c r="D66" s="2"/>
      <c r="K66" s="2"/>
      <c r="L66" s="2"/>
    </row>
    <row r="67" spans="2:12" x14ac:dyDescent="0.15">
      <c r="B67" s="2"/>
      <c r="C67" s="2"/>
      <c r="D67" s="2"/>
      <c r="K67" s="2"/>
      <c r="L67" s="2"/>
    </row>
    <row r="68" spans="2:12" x14ac:dyDescent="0.15">
      <c r="B68" s="2"/>
      <c r="C68" s="2"/>
      <c r="D68" s="2"/>
      <c r="K68" s="2"/>
      <c r="L68" s="2"/>
    </row>
    <row r="69" spans="2:12" x14ac:dyDescent="0.15">
      <c r="B69" s="2"/>
      <c r="C69" s="2"/>
      <c r="D69" s="2"/>
      <c r="K69" s="2"/>
      <c r="L69" s="2"/>
    </row>
    <row r="70" spans="2:12" x14ac:dyDescent="0.15">
      <c r="B70" s="2"/>
      <c r="C70" s="2"/>
      <c r="D70" s="2"/>
      <c r="K70" s="2"/>
      <c r="L70" s="2"/>
    </row>
    <row r="71" spans="2:12" x14ac:dyDescent="0.15">
      <c r="B71" s="2"/>
      <c r="C71" s="2"/>
      <c r="D71" s="2"/>
      <c r="K71" s="2"/>
      <c r="L71" s="2"/>
    </row>
    <row r="72" spans="2:12" x14ac:dyDescent="0.15">
      <c r="B72" s="2"/>
      <c r="C72" s="2"/>
      <c r="D72" s="2"/>
      <c r="K72" s="2"/>
      <c r="L72" s="2"/>
    </row>
    <row r="73" spans="2:12" x14ac:dyDescent="0.15">
      <c r="B73" s="2"/>
      <c r="C73" s="2"/>
      <c r="D73" s="2"/>
      <c r="K73" s="2"/>
      <c r="L73" s="2"/>
    </row>
    <row r="74" spans="2:12" x14ac:dyDescent="0.15">
      <c r="B74" s="2"/>
      <c r="C74" s="2"/>
      <c r="D74" s="2"/>
      <c r="K74" s="2"/>
      <c r="L74" s="2"/>
    </row>
  </sheetData>
  <mergeCells count="3">
    <mergeCell ref="B18:D18"/>
    <mergeCell ref="A5:B5"/>
    <mergeCell ref="A6:B6"/>
  </mergeCells>
  <phoneticPr fontId="1" type="noConversion"/>
  <pageMargins left="0.75" right="0.75" top="1" bottom="1" header="0.5" footer="0.5"/>
  <pageSetup orientation="portrait" horizontalDpi="1200" verticalDpi="1200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4</xdr:col>
                <xdr:colOff>330200</xdr:colOff>
                <xdr:row>0</xdr:row>
                <xdr:rowOff>50800</xdr:rowOff>
              </from>
              <to>
                <xdr:col>8</xdr:col>
                <xdr:colOff>177800</xdr:colOff>
                <xdr:row>14</xdr:row>
                <xdr:rowOff>114300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08"/>
  <sheetViews>
    <sheetView tabSelected="1" workbookViewId="0">
      <selection activeCell="Q78" sqref="Q78"/>
    </sheetView>
  </sheetViews>
  <sheetFormatPr baseColWidth="10" defaultColWidth="8.83203125" defaultRowHeight="15" x14ac:dyDescent="0.2"/>
  <cols>
    <col min="1" max="2" width="8.83203125" style="6"/>
    <col min="3" max="4" width="13.6640625" style="6" bestFit="1" customWidth="1"/>
    <col min="5" max="8" width="8.83203125" style="6"/>
    <col min="9" max="9" width="6.1640625" style="6" bestFit="1" customWidth="1"/>
    <col min="10" max="10" width="13.6640625" style="6" bestFit="1" customWidth="1"/>
    <col min="11" max="15" width="8.83203125" style="6"/>
    <col min="16" max="16" width="9.5" style="6" bestFit="1" customWidth="1"/>
    <col min="17" max="18" width="9.6640625" style="6" bestFit="1" customWidth="1"/>
    <col min="19" max="21" width="8.83203125" style="6"/>
    <col min="22" max="22" width="15.5" style="6" bestFit="1" customWidth="1"/>
    <col min="23" max="25" width="8.83203125" style="6"/>
    <col min="26" max="26" width="10.1640625" style="6" bestFit="1" customWidth="1"/>
    <col min="27" max="16384" width="8.83203125" style="6"/>
  </cols>
  <sheetData>
    <row r="1" spans="1:18" x14ac:dyDescent="0.2">
      <c r="B1" s="25" t="s">
        <v>42</v>
      </c>
      <c r="C1" s="25" t="s">
        <v>43</v>
      </c>
    </row>
    <row r="2" spans="1:18" x14ac:dyDescent="0.2">
      <c r="A2" s="6" t="s">
        <v>48</v>
      </c>
      <c r="B2" s="6">
        <f>1362</f>
        <v>1362</v>
      </c>
    </row>
    <row r="3" spans="1:18" x14ac:dyDescent="0.2">
      <c r="A3" s="6" t="s">
        <v>41</v>
      </c>
      <c r="B3" s="6">
        <f>Solar/4</f>
        <v>340.5</v>
      </c>
      <c r="C3" s="29">
        <v>340341</v>
      </c>
      <c r="D3" s="43" t="s">
        <v>34</v>
      </c>
      <c r="E3" s="44"/>
    </row>
    <row r="4" spans="1:18" x14ac:dyDescent="0.2">
      <c r="A4" s="6" t="s">
        <v>1</v>
      </c>
      <c r="B4" s="6">
        <f>0.021</f>
        <v>2.1000000000000001E-2</v>
      </c>
      <c r="D4" s="44"/>
      <c r="E4" s="44"/>
    </row>
    <row r="5" spans="1:18" x14ac:dyDescent="0.2">
      <c r="A5" s="6" t="s">
        <v>14</v>
      </c>
      <c r="B5" s="6">
        <v>84</v>
      </c>
      <c r="C5" s="6" t="s">
        <v>44</v>
      </c>
      <c r="D5" s="44"/>
      <c r="E5" s="44"/>
    </row>
    <row r="6" spans="1:18" x14ac:dyDescent="0.2">
      <c r="A6" s="6" t="s">
        <v>15</v>
      </c>
      <c r="B6" s="6">
        <v>20</v>
      </c>
      <c r="C6" s="6" t="s">
        <v>45</v>
      </c>
      <c r="D6" s="44"/>
      <c r="E6" s="44"/>
    </row>
    <row r="7" spans="1:18" x14ac:dyDescent="0.2">
      <c r="A7" s="6" t="s">
        <v>4</v>
      </c>
      <c r="B7" s="7">
        <v>5.6699999999999998E-8</v>
      </c>
      <c r="D7" s="44"/>
      <c r="E7" s="44"/>
    </row>
    <row r="8" spans="1:18" x14ac:dyDescent="0.2">
      <c r="A8" s="6" t="s">
        <v>0</v>
      </c>
      <c r="B8" s="6">
        <v>0.31</v>
      </c>
      <c r="D8" s="44"/>
      <c r="E8" s="44"/>
    </row>
    <row r="9" spans="1:18" x14ac:dyDescent="0.2">
      <c r="A9" s="6" t="s">
        <v>2</v>
      </c>
      <c r="B9" s="6">
        <v>0.18</v>
      </c>
      <c r="D9" s="44"/>
      <c r="E9" s="44"/>
    </row>
    <row r="10" spans="1:18" x14ac:dyDescent="0.2">
      <c r="A10" s="6" t="s">
        <v>3</v>
      </c>
      <c r="B10" s="6">
        <v>7.4999999999999997E-2</v>
      </c>
      <c r="D10" s="44"/>
      <c r="E10" s="44"/>
    </row>
    <row r="11" spans="1:18" x14ac:dyDescent="0.2">
      <c r="A11" s="6" t="s">
        <v>46</v>
      </c>
      <c r="B11" s="8">
        <f>Sav*(ku+kl)</f>
        <v>86.827500000000001</v>
      </c>
      <c r="C11" s="6" t="s">
        <v>47</v>
      </c>
      <c r="D11" s="44"/>
      <c r="E11" s="44"/>
    </row>
    <row r="12" spans="1:18" x14ac:dyDescent="0.2">
      <c r="A12" s="6" t="s">
        <v>13</v>
      </c>
      <c r="B12" s="6">
        <v>0.92</v>
      </c>
      <c r="D12" s="44"/>
      <c r="E12" s="44"/>
    </row>
    <row r="13" spans="1:18" x14ac:dyDescent="0.2">
      <c r="B13" s="39"/>
      <c r="C13" s="9"/>
      <c r="D13" s="9"/>
    </row>
    <row r="14" spans="1:18" x14ac:dyDescent="0.2">
      <c r="O14" s="6" t="s">
        <v>80</v>
      </c>
      <c r="P14" s="12">
        <f>epsilon</f>
        <v>0.92</v>
      </c>
    </row>
    <row r="15" spans="1:18" x14ac:dyDescent="0.2">
      <c r="A15" s="45" t="s">
        <v>6</v>
      </c>
      <c r="B15" s="45"/>
      <c r="C15" s="45"/>
      <c r="D15" s="45"/>
      <c r="E15" s="45"/>
      <c r="F15" s="46" t="s">
        <v>79</v>
      </c>
      <c r="G15" s="46"/>
      <c r="H15" s="46"/>
      <c r="P15" s="46" t="s">
        <v>79</v>
      </c>
      <c r="Q15" s="46"/>
      <c r="R15" s="46"/>
    </row>
    <row r="16" spans="1:18" x14ac:dyDescent="0.2">
      <c r="F16" s="46"/>
      <c r="G16" s="46"/>
      <c r="H16" s="46"/>
      <c r="L16" s="6" t="s">
        <v>7</v>
      </c>
      <c r="M16" s="6" t="s">
        <v>16</v>
      </c>
      <c r="N16" s="6" t="s">
        <v>17</v>
      </c>
      <c r="O16" s="6" t="s">
        <v>18</v>
      </c>
      <c r="P16" s="6" t="s">
        <v>19</v>
      </c>
      <c r="Q16" s="6" t="s">
        <v>20</v>
      </c>
      <c r="R16" s="6" t="s">
        <v>21</v>
      </c>
    </row>
    <row r="17" spans="2:18" x14ac:dyDescent="0.2">
      <c r="B17" s="6" t="s">
        <v>5</v>
      </c>
      <c r="C17" s="6" t="s">
        <v>16</v>
      </c>
      <c r="D17" s="6" t="s">
        <v>17</v>
      </c>
      <c r="E17" s="6" t="s">
        <v>18</v>
      </c>
      <c r="F17" s="6" t="s">
        <v>19</v>
      </c>
      <c r="G17" s="6" t="s">
        <v>20</v>
      </c>
      <c r="H17" s="6" t="s">
        <v>21</v>
      </c>
      <c r="L17" s="6">
        <v>0.2</v>
      </c>
      <c r="M17" s="10">
        <f t="shared" ref="M17:M37" si="0">(-H-(3*L)/2+(3-3*$L17-kl-2*ku)*Sbar+2*W)/(3-2*epsilon)</f>
        <v>450.96939655172417</v>
      </c>
      <c r="N17" s="10">
        <f t="shared" ref="N17:N37" si="1">(2*(1-epsilon)*H+(3*L)/2+(2*kl+ku)*Sbar-2*epsilon*(L+(-1+$L17+kl+ku)*Sbar)+2*W)/(3-2*epsilon)</f>
        <v>369.39689655172424</v>
      </c>
      <c r="O17" s="10">
        <f t="shared" ref="O17:O37" si="2">(epsilon*((1-$L17)*Sbar+W)+(1-epsilon)*(H+(3*L)/2+(kl+2*ku)*Sbar+W))/(3-2*epsilon)</f>
        <v>236.3434482758621</v>
      </c>
      <c r="P17" s="10">
        <f t="shared" ref="P17:P37" si="3">POWER(M17/(sigma),1/4)</f>
        <v>298.63520448618539</v>
      </c>
      <c r="Q17" s="10">
        <f t="shared" ref="Q17:Q37" si="4">POWER(N17/(epsilon*sigma),1/4)</f>
        <v>290.0885512154963</v>
      </c>
      <c r="R17" s="10">
        <f t="shared" ref="R17:R37" si="5">POWER(O17/(epsilon*sigma),1/4)</f>
        <v>259.44372452002847</v>
      </c>
    </row>
    <row r="18" spans="2:18" x14ac:dyDescent="0.2">
      <c r="B18" s="10">
        <v>0.85</v>
      </c>
      <c r="C18" s="10">
        <f t="shared" ref="C18:C33" si="6">(-H-(3*L)/2+(3-3*ap-kl-2*ku)*Sbar+2*W)/(3-2*$B18)</f>
        <v>315.96884615384619</v>
      </c>
      <c r="D18" s="10">
        <f t="shared" ref="D18:D33" si="7">(2*(1-$B18)*H+(3*L)/2+(2*kl+ku)*Sbar-2*$B18*(L+(-1+ap+kl+ku)*Sbar)+2*W)/(3-2*$B18)</f>
        <v>271.85134615384607</v>
      </c>
      <c r="E18" s="10">
        <f t="shared" ref="E18:E33" si="8">($B18*((1-ap)*Sbar+W)+(1-$B18)*(H+(3*L)/2+(kl+2*ku)*Sbar+W))/(3-2*$B18)</f>
        <v>187.57067307692307</v>
      </c>
      <c r="F18" s="10">
        <f t="shared" ref="F18:F33" si="9">POWER(C18/(sigma),1/4)</f>
        <v>273.22177053837027</v>
      </c>
      <c r="G18" s="10">
        <f t="shared" ref="G18:G33" si="10">POWER(D18/($B18*sigma),1/4)</f>
        <v>274.05162136321144</v>
      </c>
      <c r="H18" s="10">
        <f t="shared" ref="H18:H33" si="11">POWER(E18/($B18*sigma),1/4)</f>
        <v>249.77026697743452</v>
      </c>
      <c r="J18" s="11"/>
      <c r="L18" s="6">
        <v>0.21</v>
      </c>
      <c r="M18" s="10">
        <f t="shared" si="0"/>
        <v>442.16336206896563</v>
      </c>
      <c r="N18" s="10">
        <f t="shared" si="1"/>
        <v>363.99586206896555</v>
      </c>
      <c r="O18" s="10">
        <f t="shared" si="2"/>
        <v>233.64293103448279</v>
      </c>
      <c r="P18" s="10">
        <f t="shared" si="3"/>
        <v>297.16655098764403</v>
      </c>
      <c r="Q18" s="10">
        <f t="shared" si="4"/>
        <v>289.02232483570526</v>
      </c>
      <c r="R18" s="10">
        <f t="shared" si="5"/>
        <v>258.69941097736148</v>
      </c>
    </row>
    <row r="19" spans="2:18" x14ac:dyDescent="0.2">
      <c r="B19" s="10">
        <v>0.86</v>
      </c>
      <c r="C19" s="10">
        <f t="shared" si="6"/>
        <v>320.90585937500003</v>
      </c>
      <c r="D19" s="10">
        <f t="shared" si="7"/>
        <v>276.78835937499997</v>
      </c>
      <c r="E19" s="10">
        <f t="shared" si="8"/>
        <v>190.0391796875</v>
      </c>
      <c r="F19" s="10">
        <f t="shared" si="9"/>
        <v>274.28284592279181</v>
      </c>
      <c r="G19" s="10">
        <f t="shared" si="10"/>
        <v>274.48371170317341</v>
      </c>
      <c r="H19" s="10">
        <f t="shared" si="11"/>
        <v>249.85636029818053</v>
      </c>
      <c r="J19" s="11"/>
      <c r="L19" s="6">
        <v>0.22</v>
      </c>
      <c r="M19" s="10">
        <f t="shared" si="0"/>
        <v>433.35732758620685</v>
      </c>
      <c r="N19" s="10">
        <f t="shared" si="1"/>
        <v>358.59482758620692</v>
      </c>
      <c r="O19" s="10">
        <f t="shared" si="2"/>
        <v>230.9424137931035</v>
      </c>
      <c r="P19" s="10">
        <f t="shared" si="3"/>
        <v>295.67579376021723</v>
      </c>
      <c r="Q19" s="10">
        <f t="shared" si="4"/>
        <v>287.94416594007117</v>
      </c>
      <c r="R19" s="10">
        <f t="shared" si="5"/>
        <v>257.94861693344785</v>
      </c>
    </row>
    <row r="20" spans="2:18" x14ac:dyDescent="0.2">
      <c r="B20" s="10">
        <v>0.87</v>
      </c>
      <c r="C20" s="10">
        <f t="shared" si="6"/>
        <v>325.99960317460324</v>
      </c>
      <c r="D20" s="10">
        <f t="shared" si="7"/>
        <v>281.88210317460312</v>
      </c>
      <c r="E20" s="10">
        <f t="shared" si="8"/>
        <v>192.58605158730157</v>
      </c>
      <c r="F20" s="10">
        <f t="shared" si="9"/>
        <v>275.36485054147164</v>
      </c>
      <c r="G20" s="10">
        <f t="shared" si="10"/>
        <v>274.94213320209815</v>
      </c>
      <c r="H20" s="10">
        <f t="shared" si="11"/>
        <v>249.96582090998191</v>
      </c>
      <c r="J20" s="11"/>
      <c r="L20" s="6">
        <v>0.23</v>
      </c>
      <c r="M20" s="10">
        <f t="shared" si="0"/>
        <v>424.5512931034483</v>
      </c>
      <c r="N20" s="10">
        <f t="shared" si="1"/>
        <v>353.19379310344834</v>
      </c>
      <c r="O20" s="10">
        <f t="shared" si="2"/>
        <v>228.24189655172415</v>
      </c>
      <c r="P20" s="10">
        <f t="shared" si="3"/>
        <v>294.1621406470781</v>
      </c>
      <c r="Q20" s="10">
        <f t="shared" si="4"/>
        <v>286.85375820537212</v>
      </c>
      <c r="R20" s="10">
        <f t="shared" si="5"/>
        <v>257.1912091848356</v>
      </c>
    </row>
    <row r="21" spans="2:18" x14ac:dyDescent="0.2">
      <c r="B21" s="10">
        <v>0.88</v>
      </c>
      <c r="C21" s="10">
        <f t="shared" si="6"/>
        <v>331.25766129032263</v>
      </c>
      <c r="D21" s="10">
        <f t="shared" si="7"/>
        <v>287.14016129032257</v>
      </c>
      <c r="E21" s="10">
        <f t="shared" si="8"/>
        <v>195.21508064516127</v>
      </c>
      <c r="F21" s="10">
        <f t="shared" si="9"/>
        <v>276.46853939549345</v>
      </c>
      <c r="G21" s="10">
        <f t="shared" si="10"/>
        <v>275.42734279089524</v>
      </c>
      <c r="H21" s="10">
        <f t="shared" si="11"/>
        <v>250.09897300313449</v>
      </c>
      <c r="J21" s="11"/>
      <c r="L21" s="6">
        <v>0.24</v>
      </c>
      <c r="M21" s="10">
        <f t="shared" si="0"/>
        <v>415.74525862068975</v>
      </c>
      <c r="N21" s="10">
        <f t="shared" si="1"/>
        <v>347.79275862068971</v>
      </c>
      <c r="O21" s="10">
        <f t="shared" si="2"/>
        <v>225.54137931034489</v>
      </c>
      <c r="P21" s="10">
        <f t="shared" si="3"/>
        <v>292.62475394464485</v>
      </c>
      <c r="Q21" s="10">
        <f t="shared" si="4"/>
        <v>285.75077192812506</v>
      </c>
      <c r="R21" s="10">
        <f t="shared" si="5"/>
        <v>256.42705017441193</v>
      </c>
    </row>
    <row r="22" spans="2:18" x14ac:dyDescent="0.2">
      <c r="B22" s="10">
        <v>0.89</v>
      </c>
      <c r="C22" s="10">
        <f t="shared" si="6"/>
        <v>336.68811475409842</v>
      </c>
      <c r="D22" s="10">
        <f t="shared" si="7"/>
        <v>292.5706147540983</v>
      </c>
      <c r="E22" s="10">
        <f t="shared" si="8"/>
        <v>197.93030737704916</v>
      </c>
      <c r="F22" s="10">
        <f t="shared" si="9"/>
        <v>277.59470746837962</v>
      </c>
      <c r="G22" s="10">
        <f t="shared" si="10"/>
        <v>275.93984097907435</v>
      </c>
      <c r="H22" s="10">
        <f t="shared" si="11"/>
        <v>250.25617846580784</v>
      </c>
      <c r="J22" s="11"/>
      <c r="L22" s="6">
        <v>0.25</v>
      </c>
      <c r="M22" s="10">
        <f t="shared" si="0"/>
        <v>406.93922413793098</v>
      </c>
      <c r="N22" s="10">
        <f t="shared" si="1"/>
        <v>342.39172413793102</v>
      </c>
      <c r="O22" s="10">
        <f t="shared" si="2"/>
        <v>222.84086206896549</v>
      </c>
      <c r="P22" s="10">
        <f t="shared" si="3"/>
        <v>291.06274675504665</v>
      </c>
      <c r="Q22" s="10">
        <f t="shared" si="4"/>
        <v>284.63486324072397</v>
      </c>
      <c r="R22" s="10">
        <f t="shared" si="5"/>
        <v>255.65599779502676</v>
      </c>
    </row>
    <row r="23" spans="2:18" x14ac:dyDescent="0.2">
      <c r="B23" s="10">
        <v>0.9</v>
      </c>
      <c r="C23" s="10">
        <f t="shared" si="6"/>
        <v>342.29958333333337</v>
      </c>
      <c r="D23" s="10">
        <f t="shared" si="7"/>
        <v>298.18208333333331</v>
      </c>
      <c r="E23" s="10">
        <f t="shared" si="8"/>
        <v>200.73604166666667</v>
      </c>
      <c r="F23" s="10">
        <f t="shared" si="9"/>
        <v>278.74419254083392</v>
      </c>
      <c r="G23" s="10">
        <f t="shared" si="10"/>
        <v>276.48017398994403</v>
      </c>
      <c r="H23" s="10">
        <f t="shared" si="11"/>
        <v>250.43783857725785</v>
      </c>
      <c r="J23" s="11"/>
      <c r="L23" s="6">
        <v>0.26</v>
      </c>
      <c r="M23" s="10">
        <f t="shared" si="0"/>
        <v>398.13318965517232</v>
      </c>
      <c r="N23" s="10">
        <f t="shared" si="1"/>
        <v>336.99068965517245</v>
      </c>
      <c r="O23" s="10">
        <f t="shared" si="2"/>
        <v>220.1403448275862</v>
      </c>
      <c r="P23" s="10">
        <f t="shared" si="3"/>
        <v>289.47517896049527</v>
      </c>
      <c r="Q23" s="10">
        <f t="shared" si="4"/>
        <v>283.50567326848414</v>
      </c>
      <c r="R23" s="10">
        <f t="shared" si="5"/>
        <v>254.8779051817574</v>
      </c>
    </row>
    <row r="24" spans="2:18" x14ac:dyDescent="0.2">
      <c r="B24" s="10">
        <v>0.91</v>
      </c>
      <c r="C24" s="10">
        <f t="shared" si="6"/>
        <v>348.10127118644073</v>
      </c>
      <c r="D24" s="10">
        <f t="shared" si="7"/>
        <v>303.98377118644066</v>
      </c>
      <c r="E24" s="10">
        <f t="shared" si="8"/>
        <v>203.63688559322034</v>
      </c>
      <c r="F24" s="10">
        <f t="shared" si="9"/>
        <v>279.91787825439542</v>
      </c>
      <c r="G24" s="10">
        <f t="shared" si="10"/>
        <v>277.04893614089013</v>
      </c>
      <c r="H24" s="10">
        <f t="shared" si="11"/>
        <v>250.64439590928168</v>
      </c>
      <c r="J24" s="11"/>
      <c r="L24" s="6">
        <v>0.27</v>
      </c>
      <c r="M24" s="10">
        <f t="shared" si="0"/>
        <v>389.32715517241377</v>
      </c>
      <c r="N24" s="10">
        <f t="shared" si="1"/>
        <v>331.58965517241376</v>
      </c>
      <c r="O24" s="10">
        <f t="shared" si="2"/>
        <v>217.43982758620689</v>
      </c>
      <c r="P24" s="10">
        <f t="shared" si="3"/>
        <v>287.86105277105588</v>
      </c>
      <c r="Q24" s="10">
        <f t="shared" si="4"/>
        <v>282.36282722211877</v>
      </c>
      <c r="R24" s="10">
        <f t="shared" si="5"/>
        <v>254.09262049201408</v>
      </c>
    </row>
    <row r="25" spans="2:18" x14ac:dyDescent="0.2">
      <c r="B25" s="10">
        <v>0.92</v>
      </c>
      <c r="C25" s="10">
        <f t="shared" si="6"/>
        <v>354.1030172413794</v>
      </c>
      <c r="D25" s="10">
        <f t="shared" si="7"/>
        <v>309.98551724137928</v>
      </c>
      <c r="E25" s="10">
        <f t="shared" si="8"/>
        <v>206.63775862068965</v>
      </c>
      <c r="F25" s="10">
        <f t="shared" si="9"/>
        <v>281.11669745065194</v>
      </c>
      <c r="G25" s="10">
        <f t="shared" si="10"/>
        <v>277.64677249111486</v>
      </c>
      <c r="H25" s="10">
        <f t="shared" si="11"/>
        <v>250.87633645427033</v>
      </c>
      <c r="J25" s="11"/>
      <c r="L25" s="6">
        <v>0.28000000000000003</v>
      </c>
      <c r="M25" s="10">
        <f t="shared" si="0"/>
        <v>380.52112068965522</v>
      </c>
      <c r="N25" s="10">
        <f t="shared" si="1"/>
        <v>326.18862068965518</v>
      </c>
      <c r="O25" s="10">
        <f t="shared" si="2"/>
        <v>214.7393103448276</v>
      </c>
      <c r="P25" s="10">
        <f t="shared" si="3"/>
        <v>286.21930778984552</v>
      </c>
      <c r="Q25" s="10">
        <f t="shared" si="4"/>
        <v>281.20593341955504</v>
      </c>
      <c r="R25" s="10">
        <f t="shared" si="5"/>
        <v>253.29998667260949</v>
      </c>
    </row>
    <row r="26" spans="2:18" x14ac:dyDescent="0.2">
      <c r="B26" s="10">
        <v>0.93</v>
      </c>
      <c r="C26" s="10">
        <f t="shared" si="6"/>
        <v>360.31535087719305</v>
      </c>
      <c r="D26" s="10">
        <f t="shared" si="7"/>
        <v>316.19785087719299</v>
      </c>
      <c r="E26" s="10">
        <f t="shared" si="8"/>
        <v>209.74392543859648</v>
      </c>
      <c r="F26" s="10">
        <f t="shared" si="9"/>
        <v>282.3416358160398</v>
      </c>
      <c r="G26" s="10">
        <f t="shared" si="10"/>
        <v>278.27438178236133</v>
      </c>
      <c r="H26" s="10">
        <f t="shared" si="11"/>
        <v>251.1341920008505</v>
      </c>
      <c r="J26" s="11"/>
      <c r="L26" s="6">
        <v>0.28999999999999998</v>
      </c>
      <c r="M26" s="10">
        <f t="shared" si="0"/>
        <v>371.7150862068965</v>
      </c>
      <c r="N26" s="10">
        <f t="shared" si="1"/>
        <v>320.78758620689655</v>
      </c>
      <c r="O26" s="10">
        <f t="shared" si="2"/>
        <v>212.03879310344826</v>
      </c>
      <c r="P26" s="10">
        <f t="shared" si="3"/>
        <v>284.54881553085454</v>
      </c>
      <c r="Q26" s="10">
        <f t="shared" si="4"/>
        <v>280.0345822303243</v>
      </c>
      <c r="R26" s="10">
        <f t="shared" si="5"/>
        <v>252.4998412128476</v>
      </c>
    </row>
    <row r="27" spans="2:18" x14ac:dyDescent="0.2">
      <c r="B27" s="10">
        <v>0.94</v>
      </c>
      <c r="C27" s="10">
        <f t="shared" si="6"/>
        <v>366.74955357142858</v>
      </c>
      <c r="D27" s="10">
        <f t="shared" si="7"/>
        <v>322.63205357142851</v>
      </c>
      <c r="E27" s="10">
        <f t="shared" si="8"/>
        <v>212.96102678571427</v>
      </c>
      <c r="F27" s="10">
        <f t="shared" si="9"/>
        <v>283.59373586610872</v>
      </c>
      <c r="G27" s="10">
        <f t="shared" si="10"/>
        <v>278.93251970172116</v>
      </c>
      <c r="H27" s="10">
        <f t="shared" si="11"/>
        <v>251.41854278112405</v>
      </c>
      <c r="J27" s="11"/>
      <c r="L27" s="6">
        <v>0.3</v>
      </c>
      <c r="M27" s="10">
        <f t="shared" si="0"/>
        <v>362.90905172413795</v>
      </c>
      <c r="N27" s="10">
        <f t="shared" si="1"/>
        <v>315.38655172413792</v>
      </c>
      <c r="O27" s="10">
        <f t="shared" si="2"/>
        <v>209.338275862069</v>
      </c>
      <c r="P27" s="10">
        <f t="shared" si="3"/>
        <v>282.84837331413598</v>
      </c>
      <c r="Q27" s="10">
        <f t="shared" si="4"/>
        <v>278.84834493497902</v>
      </c>
      <c r="R27" s="10">
        <f t="shared" si="5"/>
        <v>251.69201588260324</v>
      </c>
    </row>
    <row r="28" spans="2:18" x14ac:dyDescent="0.2">
      <c r="B28" s="10">
        <v>0.95</v>
      </c>
      <c r="C28" s="10">
        <f t="shared" si="6"/>
        <v>373.41772727272729</v>
      </c>
      <c r="D28" s="10">
        <f t="shared" si="7"/>
        <v>329.30022727272723</v>
      </c>
      <c r="E28" s="10">
        <f t="shared" si="8"/>
        <v>216.29511363636362</v>
      </c>
      <c r="F28" s="10">
        <f t="shared" si="9"/>
        <v>284.87410130757405</v>
      </c>
      <c r="G28" s="10">
        <f t="shared" si="10"/>
        <v>279.62200249970834</v>
      </c>
      <c r="H28" s="10">
        <f t="shared" si="11"/>
        <v>251.73002041692845</v>
      </c>
      <c r="J28" s="11"/>
      <c r="L28" s="6">
        <v>0.31</v>
      </c>
      <c r="M28" s="10">
        <f t="shared" si="0"/>
        <v>354.1030172413794</v>
      </c>
      <c r="N28" s="10">
        <f t="shared" si="1"/>
        <v>309.98551724137928</v>
      </c>
      <c r="O28" s="10">
        <f t="shared" si="2"/>
        <v>206.63775862068965</v>
      </c>
      <c r="P28" s="10">
        <f t="shared" si="3"/>
        <v>281.11669745065194</v>
      </c>
      <c r="Q28" s="10">
        <f t="shared" si="4"/>
        <v>277.64677249111486</v>
      </c>
      <c r="R28" s="10">
        <f t="shared" si="5"/>
        <v>250.87633645427033</v>
      </c>
    </row>
    <row r="29" spans="2:18" x14ac:dyDescent="0.2">
      <c r="B29" s="10">
        <v>0.96</v>
      </c>
      <c r="C29" s="10">
        <f t="shared" si="6"/>
        <v>380.33287037037042</v>
      </c>
      <c r="D29" s="10">
        <f t="shared" si="7"/>
        <v>336.21537037037035</v>
      </c>
      <c r="E29" s="10">
        <f t="shared" si="8"/>
        <v>219.75268518518516</v>
      </c>
      <c r="F29" s="10">
        <f t="shared" si="9"/>
        <v>286.18390182158601</v>
      </c>
      <c r="G29" s="10">
        <f t="shared" si="10"/>
        <v>280.34371100145853</v>
      </c>
      <c r="H29" s="10">
        <f t="shared" si="11"/>
        <v>252.0693111964722</v>
      </c>
      <c r="J29" s="11"/>
      <c r="L29" s="6">
        <v>0.32</v>
      </c>
      <c r="M29" s="10">
        <f t="shared" si="0"/>
        <v>345.29698275862063</v>
      </c>
      <c r="N29" s="10">
        <f t="shared" si="1"/>
        <v>304.58448275862065</v>
      </c>
      <c r="O29" s="10">
        <f t="shared" si="2"/>
        <v>203.93724137931031</v>
      </c>
      <c r="P29" s="10">
        <f t="shared" si="3"/>
        <v>279.35241561421054</v>
      </c>
      <c r="Q29" s="10">
        <f t="shared" si="4"/>
        <v>276.42939419657472</v>
      </c>
      <c r="R29" s="10">
        <f t="shared" si="5"/>
        <v>250.05262240736502</v>
      </c>
    </row>
    <row r="30" spans="2:18" x14ac:dyDescent="0.2">
      <c r="B30" s="10">
        <v>0.97</v>
      </c>
      <c r="C30" s="10">
        <f t="shared" si="6"/>
        <v>387.50896226415097</v>
      </c>
      <c r="D30" s="10">
        <f t="shared" si="7"/>
        <v>343.3914622641509</v>
      </c>
      <c r="E30" s="10">
        <f t="shared" si="8"/>
        <v>223.34073113207546</v>
      </c>
      <c r="F30" s="10">
        <f t="shared" si="9"/>
        <v>287.52437831754469</v>
      </c>
      <c r="G30" s="10">
        <f t="shared" si="10"/>
        <v>281.09859505429978</v>
      </c>
      <c r="H30" s="10">
        <f t="shared" si="11"/>
        <v>252.4371597172036</v>
      </c>
      <c r="J30" s="11"/>
      <c r="L30" s="6">
        <v>0.33</v>
      </c>
      <c r="M30" s="10">
        <f t="shared" si="0"/>
        <v>336.49094827586197</v>
      </c>
      <c r="N30" s="10">
        <f t="shared" si="1"/>
        <v>299.18344827586208</v>
      </c>
      <c r="O30" s="10">
        <f t="shared" si="2"/>
        <v>201.23672413793099</v>
      </c>
      <c r="P30" s="10">
        <f t="shared" si="3"/>
        <v>277.55405828007832</v>
      </c>
      <c r="Q30" s="10">
        <f t="shared" si="4"/>
        <v>275.19571623928437</v>
      </c>
      <c r="R30" s="10">
        <f t="shared" si="5"/>
        <v>249.22068661445263</v>
      </c>
    </row>
    <row r="31" spans="2:18" x14ac:dyDescent="0.2">
      <c r="B31" s="10">
        <v>0.98</v>
      </c>
      <c r="C31" s="10">
        <f t="shared" si="6"/>
        <v>394.96105769230775</v>
      </c>
      <c r="D31" s="10">
        <f t="shared" si="7"/>
        <v>350.84355769230763</v>
      </c>
      <c r="E31" s="10">
        <f t="shared" si="8"/>
        <v>227.06677884615382</v>
      </c>
      <c r="F31" s="10">
        <f t="shared" si="9"/>
        <v>288.89684871362442</v>
      </c>
      <c r="G31" s="10">
        <f t="shared" si="10"/>
        <v>281.88767846114212</v>
      </c>
      <c r="H31" s="10">
        <f t="shared" si="11"/>
        <v>252.83437293596816</v>
      </c>
      <c r="J31" s="11"/>
      <c r="L31" s="6">
        <v>0.34</v>
      </c>
      <c r="M31" s="10">
        <f t="shared" si="0"/>
        <v>327.68491379310342</v>
      </c>
      <c r="N31" s="10">
        <f t="shared" si="1"/>
        <v>293.78241379310344</v>
      </c>
      <c r="O31" s="10">
        <f t="shared" si="2"/>
        <v>198.5362068965517</v>
      </c>
      <c r="P31" s="10">
        <f t="shared" si="3"/>
        <v>275.72004908836931</v>
      </c>
      <c r="Q31" s="10">
        <f t="shared" si="4"/>
        <v>273.9452201218615</v>
      </c>
      <c r="R31" s="10">
        <f t="shared" si="5"/>
        <v>248.38033500695238</v>
      </c>
    </row>
    <row r="32" spans="2:18" x14ac:dyDescent="0.2">
      <c r="B32" s="10">
        <v>0.99</v>
      </c>
      <c r="C32" s="10">
        <f t="shared" si="6"/>
        <v>402.70539215686279</v>
      </c>
      <c r="D32" s="10">
        <f t="shared" si="7"/>
        <v>358.58789215686272</v>
      </c>
      <c r="E32" s="10">
        <f t="shared" si="8"/>
        <v>230.93894607843134</v>
      </c>
      <c r="F32" s="10">
        <f t="shared" si="9"/>
        <v>290.30271430808926</v>
      </c>
      <c r="G32" s="10">
        <f t="shared" si="10"/>
        <v>282.71206445633169</v>
      </c>
      <c r="H32" s="10">
        <f t="shared" si="11"/>
        <v>253.26182467353397</v>
      </c>
      <c r="J32" s="11"/>
      <c r="L32" s="6">
        <v>0.35</v>
      </c>
      <c r="M32" s="10">
        <f t="shared" si="0"/>
        <v>318.87887931034487</v>
      </c>
      <c r="N32" s="10">
        <f t="shared" si="1"/>
        <v>288.38137931034487</v>
      </c>
      <c r="O32" s="10">
        <f t="shared" si="2"/>
        <v>195.83568965517242</v>
      </c>
      <c r="P32" s="10">
        <f t="shared" si="3"/>
        <v>273.84869396428905</v>
      </c>
      <c r="Q32" s="10">
        <f t="shared" si="4"/>
        <v>272.67736094767389</v>
      </c>
      <c r="R32" s="10">
        <f t="shared" si="5"/>
        <v>247.53136621923457</v>
      </c>
    </row>
    <row r="33" spans="1:18" x14ac:dyDescent="0.2">
      <c r="B33" s="10">
        <v>1</v>
      </c>
      <c r="C33" s="10">
        <f t="shared" si="6"/>
        <v>410.75950000000006</v>
      </c>
      <c r="D33" s="10">
        <f t="shared" si="7"/>
        <v>366.642</v>
      </c>
      <c r="E33" s="10">
        <f t="shared" si="8"/>
        <v>234.96599999999998</v>
      </c>
      <c r="F33" s="10">
        <f t="shared" si="9"/>
        <v>291.74346681471565</v>
      </c>
      <c r="G33" s="10">
        <f t="shared" si="10"/>
        <v>283.57294178895796</v>
      </c>
      <c r="H33" s="10">
        <f t="shared" si="11"/>
        <v>253.72046062753881</v>
      </c>
      <c r="J33" s="11"/>
      <c r="L33" s="6">
        <v>0.36</v>
      </c>
      <c r="M33" s="10">
        <f t="shared" si="0"/>
        <v>310.07284482758621</v>
      </c>
      <c r="N33" s="10">
        <f t="shared" si="1"/>
        <v>282.98034482758624</v>
      </c>
      <c r="O33" s="10">
        <f t="shared" si="2"/>
        <v>193.13517241379313</v>
      </c>
      <c r="P33" s="10">
        <f t="shared" si="3"/>
        <v>271.93816879567299</v>
      </c>
      <c r="Q33" s="10">
        <f t="shared" si="4"/>
        <v>271.39156555330754</v>
      </c>
      <c r="R33" s="10">
        <f t="shared" si="5"/>
        <v>246.67357120928492</v>
      </c>
    </row>
    <row r="34" spans="1:18" x14ac:dyDescent="0.2">
      <c r="E34" s="6" t="s">
        <v>82</v>
      </c>
      <c r="F34" s="10">
        <f>AVERAGE(F18:F33)</f>
        <v>282.01076656735438</v>
      </c>
      <c r="G34" s="10">
        <f t="shared" ref="G34:H34" si="12">AVERAGE(G18:G33)</f>
        <v>278.27902671289888</v>
      </c>
      <c r="H34" s="10">
        <f t="shared" si="12"/>
        <v>251.2820034340605</v>
      </c>
      <c r="L34" s="6">
        <v>0.37</v>
      </c>
      <c r="M34" s="10">
        <f t="shared" si="0"/>
        <v>301.2668103448276</v>
      </c>
      <c r="N34" s="10">
        <f t="shared" si="1"/>
        <v>277.57931034482755</v>
      </c>
      <c r="O34" s="10">
        <f t="shared" si="2"/>
        <v>190.43465517241381</v>
      </c>
      <c r="P34" s="10">
        <f t="shared" si="3"/>
        <v>269.98650542955664</v>
      </c>
      <c r="Q34" s="10">
        <f t="shared" si="4"/>
        <v>270.08723047047346</v>
      </c>
      <c r="R34" s="10">
        <f t="shared" si="5"/>
        <v>245.80673285403572</v>
      </c>
    </row>
    <row r="35" spans="1:18" x14ac:dyDescent="0.2">
      <c r="L35" s="6">
        <v>0.38</v>
      </c>
      <c r="M35" s="10">
        <f t="shared" si="0"/>
        <v>292.46077586206889</v>
      </c>
      <c r="N35" s="10">
        <f t="shared" si="1"/>
        <v>272.17827586206897</v>
      </c>
      <c r="O35" s="10">
        <f t="shared" si="2"/>
        <v>187.73413793103447</v>
      </c>
      <c r="P35" s="10">
        <f t="shared" si="3"/>
        <v>267.99157570196274</v>
      </c>
      <c r="Q35" s="10">
        <f t="shared" si="4"/>
        <v>268.76371969811561</v>
      </c>
      <c r="R35" s="10">
        <f t="shared" si="5"/>
        <v>244.93062551729307</v>
      </c>
    </row>
    <row r="36" spans="1:18" x14ac:dyDescent="0.2">
      <c r="L36" s="6">
        <v>0.39</v>
      </c>
      <c r="M36" s="10">
        <f t="shared" si="0"/>
        <v>283.65474137931034</v>
      </c>
      <c r="N36" s="10">
        <f t="shared" si="1"/>
        <v>266.77724137931034</v>
      </c>
      <c r="O36" s="10">
        <f t="shared" si="2"/>
        <v>185.03362068965515</v>
      </c>
      <c r="P36" s="10">
        <f t="shared" si="3"/>
        <v>265.95107315629485</v>
      </c>
      <c r="Q36" s="10">
        <f t="shared" si="4"/>
        <v>267.42036226290185</v>
      </c>
      <c r="R36" s="10">
        <f t="shared" si="5"/>
        <v>244.04501458797429</v>
      </c>
    </row>
    <row r="37" spans="1:18" x14ac:dyDescent="0.2">
      <c r="L37" s="6">
        <v>0.4</v>
      </c>
      <c r="M37" s="10">
        <f t="shared" si="0"/>
        <v>274.84870689655162</v>
      </c>
      <c r="N37" s="10">
        <f t="shared" si="1"/>
        <v>261.37620689655171</v>
      </c>
      <c r="O37" s="10">
        <f t="shared" si="2"/>
        <v>182.33310344827586</v>
      </c>
      <c r="P37" s="10">
        <f t="shared" si="3"/>
        <v>263.86249203260331</v>
      </c>
      <c r="Q37" s="10">
        <f t="shared" si="4"/>
        <v>266.05644954326726</v>
      </c>
      <c r="R37" s="10">
        <f t="shared" si="5"/>
        <v>243.14965598615811</v>
      </c>
    </row>
    <row r="38" spans="1:18" x14ac:dyDescent="0.2">
      <c r="O38" s="6" t="s">
        <v>82</v>
      </c>
      <c r="P38" s="10">
        <f>AVERAGE(P17:P37)</f>
        <v>282.26674516480443</v>
      </c>
      <c r="Q38" s="10">
        <f t="shared" ref="Q38:R38" si="13">AVERAGE(Q17:Q37)</f>
        <v>278.56502799835863</v>
      </c>
      <c r="R38" s="10">
        <f t="shared" si="13"/>
        <v>251.54739647066495</v>
      </c>
    </row>
    <row r="39" spans="1:18" x14ac:dyDescent="0.2">
      <c r="A39" s="25" t="s">
        <v>90</v>
      </c>
    </row>
    <row r="40" spans="1:18" x14ac:dyDescent="0.2">
      <c r="A40" s="6" t="s">
        <v>84</v>
      </c>
    </row>
    <row r="41" spans="1:18" x14ac:dyDescent="0.2">
      <c r="A41" s="6" t="s">
        <v>85</v>
      </c>
      <c r="B41" s="6">
        <v>400</v>
      </c>
    </row>
    <row r="42" spans="1:18" x14ac:dyDescent="0.2">
      <c r="A42" s="6" t="s">
        <v>80</v>
      </c>
      <c r="B42" s="6">
        <f>0.69947*(B41)^0.047016</f>
        <v>0.927059364190294</v>
      </c>
    </row>
    <row r="43" spans="1:18" x14ac:dyDescent="0.2">
      <c r="A43" s="6" t="s">
        <v>86</v>
      </c>
      <c r="B43" s="6">
        <v>0.28000000000000003</v>
      </c>
    </row>
    <row r="45" spans="1:18" x14ac:dyDescent="0.2">
      <c r="A45" s="6" t="s">
        <v>5</v>
      </c>
      <c r="B45" s="6" t="s">
        <v>16</v>
      </c>
      <c r="C45" s="6" t="s">
        <v>87</v>
      </c>
    </row>
    <row r="46" spans="1:18" x14ac:dyDescent="0.2">
      <c r="A46" s="6">
        <f>B42</f>
        <v>0.927059364190294</v>
      </c>
      <c r="B46" s="10">
        <f>(-H-(3*L)/2+(3-3*albedo400-kl-2*ku)*Sbar+2*W)/(3-2*$A46)</f>
        <v>385.2096294201466</v>
      </c>
      <c r="C46" s="38">
        <f>POWER(B46/(sigma),1/4)</f>
        <v>287.09691051994417</v>
      </c>
      <c r="D46" s="10" t="s">
        <v>92</v>
      </c>
      <c r="F46" s="10"/>
      <c r="G46" s="10"/>
    </row>
    <row r="47" spans="1:18" x14ac:dyDescent="0.2">
      <c r="A47" s="10"/>
      <c r="B47" s="10"/>
      <c r="C47" s="10"/>
      <c r="D47" s="10"/>
      <c r="E47" s="10"/>
      <c r="F47" s="10"/>
      <c r="G47" s="10"/>
    </row>
    <row r="49" spans="1:22" x14ac:dyDescent="0.2">
      <c r="A49" s="6" t="s">
        <v>89</v>
      </c>
    </row>
    <row r="50" spans="1:22" x14ac:dyDescent="0.2">
      <c r="A50" s="6" t="s">
        <v>85</v>
      </c>
      <c r="B50" s="6">
        <v>500</v>
      </c>
    </row>
    <row r="51" spans="1:22" x14ac:dyDescent="0.2">
      <c r="A51" s="6" t="s">
        <v>80</v>
      </c>
      <c r="B51" s="6">
        <f>0.69947*((B50)^0.047016)</f>
        <v>0.93683663660434968</v>
      </c>
    </row>
    <row r="54" spans="1:22" x14ac:dyDescent="0.2">
      <c r="A54" s="25" t="s">
        <v>94</v>
      </c>
      <c r="U54" s="25" t="s">
        <v>95</v>
      </c>
    </row>
    <row r="55" spans="1:22" x14ac:dyDescent="0.2">
      <c r="A55" s="6" t="s">
        <v>5</v>
      </c>
      <c r="B55" s="6" t="s">
        <v>88</v>
      </c>
      <c r="C55" s="6" t="s">
        <v>16</v>
      </c>
      <c r="D55" s="6" t="s">
        <v>87</v>
      </c>
      <c r="G55" s="6" t="s">
        <v>5</v>
      </c>
      <c r="H55" s="6" t="s">
        <v>88</v>
      </c>
      <c r="I55" s="6" t="s">
        <v>16</v>
      </c>
      <c r="J55" s="6" t="s">
        <v>87</v>
      </c>
      <c r="L55" s="6" t="s">
        <v>5</v>
      </c>
      <c r="M55" s="6" t="s">
        <v>88</v>
      </c>
      <c r="N55" s="6" t="s">
        <v>16</v>
      </c>
      <c r="O55" s="6" t="s">
        <v>87</v>
      </c>
      <c r="U55" s="26" t="s">
        <v>88</v>
      </c>
      <c r="V55" s="40">
        <f>-1*((B46*(3-2*B51))-(2*W)-(3*Sbar)+(2*Sbar*ku)+(Sbar*kl)+H+((3/2)*L))/(3*Sbar)</f>
        <v>0.28737405674666305</v>
      </c>
    </row>
    <row r="56" spans="1:22" x14ac:dyDescent="0.2">
      <c r="A56" s="6">
        <f>$B$51</f>
        <v>0.93683663660434968</v>
      </c>
      <c r="B56" s="6">
        <v>0.25</v>
      </c>
      <c r="C56" s="10">
        <f>(-H-(3*L)/2+(3-3*$B56-kl-2*ku)*Sbar+2*W)/(3-2*$A56)</f>
        <v>419.1052993519765</v>
      </c>
      <c r="D56" s="10">
        <f t="shared" ref="D56:D87" si="14">POWER(C56/(sigma),1/4)</f>
        <v>293.21421655816425</v>
      </c>
      <c r="G56" s="6">
        <f>$B$51</f>
        <v>0.93683663660434968</v>
      </c>
      <c r="H56" s="6">
        <v>0.28710000000000002</v>
      </c>
      <c r="I56" s="10">
        <f t="shared" ref="I56:I65" si="15">(-H-(3*L)/2+(3-3*$H56-kl-2*ku)*Sbar+2*W)/(3-2*$G56)</f>
        <v>385.45817982746394</v>
      </c>
      <c r="J56" s="10">
        <f t="shared" ref="J56:J65" si="16">POWER(I56/(sigma),1/4)</f>
        <v>287.14321050124101</v>
      </c>
      <c r="L56" s="6">
        <f>$B$51</f>
        <v>0.93683663660434968</v>
      </c>
      <c r="M56" s="6">
        <v>0.28731000000000001</v>
      </c>
      <c r="N56" s="10">
        <f t="shared" ref="N56:N65" si="17">(-H-(3*L)/2+(3-3*$M56-kl-2*ku)*Sbar+2*W)/(3-2*$L56)</f>
        <v>385.26772443392889</v>
      </c>
      <c r="O56" s="28">
        <f t="shared" ref="O56:O65" si="18">POWER(N56/(sigma),1/4)</f>
        <v>287.10773446780502</v>
      </c>
    </row>
    <row r="57" spans="1:22" x14ac:dyDescent="0.2">
      <c r="A57" s="6">
        <f t="shared" ref="A57:A108" si="19">$B$51</f>
        <v>0.93683663660434968</v>
      </c>
      <c r="B57" s="6">
        <v>0.251</v>
      </c>
      <c r="C57" s="10">
        <f t="shared" ref="C57:C87" si="20">(-H-(3*L)/2+(3-3*$B57-kl-2*ku)*Sbar+2*W)/(3-2*$A57)</f>
        <v>418.19836890657189</v>
      </c>
      <c r="D57" s="10">
        <f t="shared" si="14"/>
        <v>293.05546112838135</v>
      </c>
      <c r="G57" s="6">
        <f t="shared" ref="G57:G65" si="21">$B$51</f>
        <v>0.93683663660434968</v>
      </c>
      <c r="H57" s="6">
        <v>0.28720000000000001</v>
      </c>
      <c r="I57" s="10">
        <f t="shared" si="15"/>
        <v>385.36748678292332</v>
      </c>
      <c r="J57" s="10">
        <f t="shared" si="16"/>
        <v>287.12631879197414</v>
      </c>
      <c r="L57" s="6">
        <f t="shared" ref="L57:L65" si="22">$B$51</f>
        <v>0.93683663660434968</v>
      </c>
      <c r="M57" s="6">
        <v>0.28732000000000002</v>
      </c>
      <c r="N57" s="10">
        <f t="shared" si="17"/>
        <v>385.2586551294749</v>
      </c>
      <c r="O57" s="28">
        <f t="shared" si="18"/>
        <v>287.10604480482772</v>
      </c>
    </row>
    <row r="58" spans="1:22" x14ac:dyDescent="0.2">
      <c r="A58" s="6">
        <f t="shared" si="19"/>
        <v>0.93683663660434968</v>
      </c>
      <c r="B58" s="6">
        <v>0.252</v>
      </c>
      <c r="C58" s="10">
        <f t="shared" si="20"/>
        <v>417.29143846116722</v>
      </c>
      <c r="D58" s="10">
        <f t="shared" si="14"/>
        <v>292.89644727319455</v>
      </c>
      <c r="G58" s="33">
        <f t="shared" si="21"/>
        <v>0.93683663660434968</v>
      </c>
      <c r="H58" s="33">
        <v>0.2873</v>
      </c>
      <c r="I58" s="34">
        <f t="shared" si="15"/>
        <v>385.27679373838305</v>
      </c>
      <c r="J58" s="34">
        <f t="shared" si="16"/>
        <v>287.10942410095112</v>
      </c>
      <c r="L58" s="6">
        <f t="shared" si="22"/>
        <v>0.93683663660434968</v>
      </c>
      <c r="M58" s="6">
        <v>0.28732999999999997</v>
      </c>
      <c r="N58" s="10">
        <f t="shared" si="17"/>
        <v>385.24958582502086</v>
      </c>
      <c r="O58" s="28">
        <f t="shared" si="18"/>
        <v>287.1043551120182</v>
      </c>
    </row>
    <row r="59" spans="1:22" x14ac:dyDescent="0.2">
      <c r="A59" s="6">
        <f t="shared" si="19"/>
        <v>0.93683663660434968</v>
      </c>
      <c r="B59" s="6">
        <v>0.253</v>
      </c>
      <c r="C59" s="10">
        <f t="shared" si="20"/>
        <v>416.38450801576261</v>
      </c>
      <c r="D59" s="10">
        <f t="shared" si="14"/>
        <v>292.73717400890473</v>
      </c>
      <c r="G59" s="33">
        <f t="shared" si="21"/>
        <v>0.93683663660434968</v>
      </c>
      <c r="H59" s="33">
        <v>0.28739999999999999</v>
      </c>
      <c r="I59" s="34">
        <f t="shared" si="15"/>
        <v>385.18610069384255</v>
      </c>
      <c r="J59" s="34">
        <f t="shared" si="16"/>
        <v>287.09252642694349</v>
      </c>
      <c r="L59" s="6">
        <f t="shared" si="22"/>
        <v>0.93683663660434968</v>
      </c>
      <c r="M59" s="6">
        <v>0.28733999999999998</v>
      </c>
      <c r="N59" s="10">
        <f t="shared" si="17"/>
        <v>385.2405165205667</v>
      </c>
      <c r="O59" s="28">
        <f t="shared" si="18"/>
        <v>287.10266538937498</v>
      </c>
    </row>
    <row r="60" spans="1:22" x14ac:dyDescent="0.2">
      <c r="A60" s="6">
        <f t="shared" si="19"/>
        <v>0.93683663660434968</v>
      </c>
      <c r="B60" s="6">
        <v>0.254</v>
      </c>
      <c r="C60" s="10">
        <f t="shared" si="20"/>
        <v>415.47757757035788</v>
      </c>
      <c r="D60" s="10">
        <f t="shared" si="14"/>
        <v>292.57764034591509</v>
      </c>
      <c r="G60" s="6">
        <f t="shared" si="21"/>
        <v>0.93683663660434968</v>
      </c>
      <c r="H60" s="6">
        <v>0.28749999999999998</v>
      </c>
      <c r="I60" s="10">
        <f t="shared" si="15"/>
        <v>385.0954076493021</v>
      </c>
      <c r="J60" s="10">
        <f t="shared" si="16"/>
        <v>287.07562576872249</v>
      </c>
      <c r="L60" s="6">
        <f t="shared" si="22"/>
        <v>0.93683663660434968</v>
      </c>
      <c r="M60" s="6">
        <v>0.28734999999999999</v>
      </c>
      <c r="N60" s="10">
        <f t="shared" si="17"/>
        <v>385.23144721611271</v>
      </c>
      <c r="O60" s="28">
        <f t="shared" si="18"/>
        <v>287.10097563689715</v>
      </c>
    </row>
    <row r="61" spans="1:22" x14ac:dyDescent="0.2">
      <c r="A61" s="6">
        <f t="shared" si="19"/>
        <v>0.93683663660434968</v>
      </c>
      <c r="B61" s="6">
        <v>0.255</v>
      </c>
      <c r="C61" s="10">
        <f t="shared" si="20"/>
        <v>414.57064712495327</v>
      </c>
      <c r="D61" s="10">
        <f t="shared" si="14"/>
        <v>292.41784528868385</v>
      </c>
      <c r="G61" s="6">
        <f t="shared" si="21"/>
        <v>0.93683663660434968</v>
      </c>
      <c r="H61" s="6">
        <v>0.28760000000000002</v>
      </c>
      <c r="I61" s="10">
        <f t="shared" si="15"/>
        <v>385.0047146047616</v>
      </c>
      <c r="J61" s="10">
        <f t="shared" si="16"/>
        <v>287.05872212505756</v>
      </c>
      <c r="L61" s="6">
        <f t="shared" si="22"/>
        <v>0.93683663660434968</v>
      </c>
      <c r="M61" s="6">
        <v>0.28736</v>
      </c>
      <c r="N61" s="10">
        <f t="shared" si="17"/>
        <v>385.22237791165878</v>
      </c>
      <c r="O61" s="28">
        <f t="shared" si="18"/>
        <v>287.0992858545834</v>
      </c>
    </row>
    <row r="62" spans="1:22" x14ac:dyDescent="0.2">
      <c r="A62" s="6">
        <f t="shared" si="19"/>
        <v>0.93683663660434968</v>
      </c>
      <c r="B62" s="6">
        <v>0.25600000000000001</v>
      </c>
      <c r="C62" s="10">
        <f t="shared" si="20"/>
        <v>413.66371667954866</v>
      </c>
      <c r="D62" s="10">
        <f t="shared" si="14"/>
        <v>292.25778783567529</v>
      </c>
      <c r="G62" s="6">
        <f t="shared" si="21"/>
        <v>0.93683663660434968</v>
      </c>
      <c r="H62" s="6">
        <v>0.28770000000000001</v>
      </c>
      <c r="I62" s="10">
        <f t="shared" si="15"/>
        <v>384.9140215602211</v>
      </c>
      <c r="J62" s="10">
        <f t="shared" si="16"/>
        <v>287.04181549471809</v>
      </c>
      <c r="L62" s="26">
        <f t="shared" si="22"/>
        <v>0.93683663660434968</v>
      </c>
      <c r="M62" s="26">
        <v>0.28737000000000001</v>
      </c>
      <c r="N62" s="27">
        <f t="shared" si="17"/>
        <v>385.21330860720468</v>
      </c>
      <c r="O62" s="32">
        <f t="shared" si="18"/>
        <v>287.09759604243226</v>
      </c>
      <c r="P62" s="6" t="s">
        <v>93</v>
      </c>
    </row>
    <row r="63" spans="1:22" x14ac:dyDescent="0.2">
      <c r="A63" s="6">
        <f t="shared" si="19"/>
        <v>0.93683663660434968</v>
      </c>
      <c r="B63" s="6">
        <v>0.25700000000000001</v>
      </c>
      <c r="C63" s="10">
        <f t="shared" si="20"/>
        <v>412.75678623414399</v>
      </c>
      <c r="D63" s="10">
        <f t="shared" si="14"/>
        <v>292.09746697931018</v>
      </c>
      <c r="G63" s="6">
        <f t="shared" si="21"/>
        <v>0.93683663660434968</v>
      </c>
      <c r="H63" s="6">
        <v>0.2878</v>
      </c>
      <c r="I63" s="10">
        <f t="shared" si="15"/>
        <v>384.82332851568066</v>
      </c>
      <c r="J63" s="10">
        <f t="shared" si="16"/>
        <v>287.02490587647276</v>
      </c>
      <c r="L63" s="26">
        <f t="shared" si="22"/>
        <v>0.93683663660434968</v>
      </c>
      <c r="M63" s="26">
        <v>0.28738000000000002</v>
      </c>
      <c r="N63" s="27">
        <f t="shared" si="17"/>
        <v>385.20423930275052</v>
      </c>
      <c r="O63" s="32">
        <f t="shared" si="18"/>
        <v>287.09590620044287</v>
      </c>
    </row>
    <row r="64" spans="1:22" x14ac:dyDescent="0.2">
      <c r="A64" s="6">
        <f t="shared" si="19"/>
        <v>0.93683663660434968</v>
      </c>
      <c r="B64" s="6">
        <v>0.25800000000000001</v>
      </c>
      <c r="C64" s="10">
        <f t="shared" si="20"/>
        <v>411.84985578873938</v>
      </c>
      <c r="D64" s="10">
        <f t="shared" si="14"/>
        <v>291.93688170591537</v>
      </c>
      <c r="G64" s="6">
        <f t="shared" si="21"/>
        <v>0.93683663660434968</v>
      </c>
      <c r="H64" s="6">
        <v>0.28789999999999999</v>
      </c>
      <c r="I64" s="10">
        <f t="shared" si="15"/>
        <v>384.73263547114027</v>
      </c>
      <c r="J64" s="10">
        <f t="shared" si="16"/>
        <v>287.00799326908856</v>
      </c>
      <c r="L64" s="6">
        <f t="shared" si="22"/>
        <v>0.93683663660434968</v>
      </c>
      <c r="M64" s="6">
        <v>0.28738999999999998</v>
      </c>
      <c r="N64" s="10">
        <f t="shared" si="17"/>
        <v>385.19516999829659</v>
      </c>
      <c r="O64" s="28">
        <f t="shared" si="18"/>
        <v>287.09421632861358</v>
      </c>
    </row>
    <row r="65" spans="1:15" x14ac:dyDescent="0.2">
      <c r="A65" s="6">
        <f t="shared" si="19"/>
        <v>0.93683663660434968</v>
      </c>
      <c r="B65" s="6">
        <v>0.25900000000000001</v>
      </c>
      <c r="C65" s="10">
        <f t="shared" si="20"/>
        <v>410.94292534333465</v>
      </c>
      <c r="D65" s="10">
        <f t="shared" si="14"/>
        <v>291.77603099567517</v>
      </c>
      <c r="G65" s="6">
        <f t="shared" si="21"/>
        <v>0.93683663660434968</v>
      </c>
      <c r="H65" s="6">
        <v>0.28799999999999998</v>
      </c>
      <c r="I65" s="10">
        <f t="shared" si="15"/>
        <v>384.64194242659977</v>
      </c>
      <c r="J65" s="10">
        <f t="shared" si="16"/>
        <v>286.99107767133285</v>
      </c>
      <c r="L65" s="6">
        <f t="shared" si="22"/>
        <v>0.93683663660434968</v>
      </c>
      <c r="M65" s="6">
        <v>0.28739999999999999</v>
      </c>
      <c r="N65" s="10">
        <f t="shared" si="17"/>
        <v>385.18610069384255</v>
      </c>
      <c r="O65" s="28">
        <f t="shared" si="18"/>
        <v>287.09252642694349</v>
      </c>
    </row>
    <row r="66" spans="1:15" x14ac:dyDescent="0.2">
      <c r="A66" s="6">
        <f t="shared" si="19"/>
        <v>0.93683663660434968</v>
      </c>
      <c r="B66" s="6">
        <v>0.26</v>
      </c>
      <c r="C66" s="10">
        <f t="shared" si="20"/>
        <v>410.03599489792992</v>
      </c>
      <c r="D66" s="10">
        <f t="shared" si="14"/>
        <v>291.61491382257861</v>
      </c>
    </row>
    <row r="67" spans="1:15" x14ac:dyDescent="0.2">
      <c r="A67" s="6">
        <f t="shared" si="19"/>
        <v>0.93683663660434968</v>
      </c>
      <c r="B67" s="6">
        <v>0.26100000000000001</v>
      </c>
      <c r="C67" s="10">
        <f t="shared" si="20"/>
        <v>409.12906445252531</v>
      </c>
      <c r="D67" s="10">
        <f t="shared" si="14"/>
        <v>291.45352915436933</v>
      </c>
    </row>
    <row r="68" spans="1:15" x14ac:dyDescent="0.2">
      <c r="A68" s="6">
        <f t="shared" si="19"/>
        <v>0.93683663660434968</v>
      </c>
      <c r="B68" s="6">
        <v>0.26200000000000001</v>
      </c>
      <c r="C68" s="10">
        <f t="shared" si="20"/>
        <v>408.2221340071207</v>
      </c>
      <c r="D68" s="10">
        <f t="shared" si="14"/>
        <v>291.29187595249209</v>
      </c>
    </row>
    <row r="69" spans="1:15" x14ac:dyDescent="0.2">
      <c r="A69" s="6">
        <f t="shared" si="19"/>
        <v>0.93683663660434968</v>
      </c>
      <c r="B69" s="6">
        <v>0.26300000000000001</v>
      </c>
      <c r="C69" s="10">
        <f t="shared" si="20"/>
        <v>407.31520356171603</v>
      </c>
      <c r="D69" s="10">
        <f t="shared" si="14"/>
        <v>291.12995317204263</v>
      </c>
    </row>
    <row r="70" spans="1:15" x14ac:dyDescent="0.2">
      <c r="A70" s="6">
        <f t="shared" si="19"/>
        <v>0.93683663660434968</v>
      </c>
      <c r="B70" s="6">
        <v>0.26400000000000001</v>
      </c>
      <c r="C70" s="10">
        <f t="shared" si="20"/>
        <v>406.40827311631142</v>
      </c>
      <c r="D70" s="10">
        <f t="shared" si="14"/>
        <v>290.96775976171199</v>
      </c>
    </row>
    <row r="71" spans="1:15" x14ac:dyDescent="0.2">
      <c r="A71" s="6">
        <f t="shared" si="19"/>
        <v>0.93683663660434968</v>
      </c>
      <c r="B71" s="6">
        <v>0.26500000000000001</v>
      </c>
      <c r="C71" s="10">
        <f t="shared" si="20"/>
        <v>405.50134267090681</v>
      </c>
      <c r="D71" s="10">
        <f t="shared" si="14"/>
        <v>290.80529466373446</v>
      </c>
    </row>
    <row r="72" spans="1:15" x14ac:dyDescent="0.2">
      <c r="A72" s="6">
        <f t="shared" si="19"/>
        <v>0.93683663660434968</v>
      </c>
      <c r="B72" s="6">
        <v>0.26600000000000001</v>
      </c>
      <c r="C72" s="10">
        <f t="shared" si="20"/>
        <v>404.59441222550208</v>
      </c>
      <c r="D72" s="10">
        <f t="shared" si="14"/>
        <v>290.64255681383355</v>
      </c>
    </row>
    <row r="73" spans="1:15" x14ac:dyDescent="0.2">
      <c r="A73" s="6">
        <f t="shared" si="19"/>
        <v>0.93683663660434968</v>
      </c>
      <c r="B73" s="6">
        <v>0.26700000000000002</v>
      </c>
      <c r="C73" s="10">
        <f t="shared" si="20"/>
        <v>403.68748178009741</v>
      </c>
      <c r="D73" s="10">
        <f t="shared" si="14"/>
        <v>290.47954514116589</v>
      </c>
    </row>
    <row r="74" spans="1:15" x14ac:dyDescent="0.2">
      <c r="A74" s="6">
        <f t="shared" si="19"/>
        <v>0.93683663660434968</v>
      </c>
      <c r="B74" s="6">
        <v>0.26800000000000002</v>
      </c>
      <c r="C74" s="10">
        <f t="shared" si="20"/>
        <v>402.78055133469269</v>
      </c>
      <c r="D74" s="10">
        <f t="shared" si="14"/>
        <v>290.31625856826702</v>
      </c>
    </row>
    <row r="75" spans="1:15" x14ac:dyDescent="0.2">
      <c r="A75" s="6">
        <f t="shared" si="19"/>
        <v>0.93683663660434968</v>
      </c>
      <c r="B75" s="6">
        <v>0.26900000000000002</v>
      </c>
      <c r="C75" s="10">
        <f t="shared" si="20"/>
        <v>401.87362088928819</v>
      </c>
      <c r="D75" s="10">
        <f t="shared" si="14"/>
        <v>290.15269601099521</v>
      </c>
    </row>
    <row r="76" spans="1:15" x14ac:dyDescent="0.2">
      <c r="A76" s="6">
        <f t="shared" si="19"/>
        <v>0.93683663660434968</v>
      </c>
      <c r="B76" s="6">
        <v>0.27</v>
      </c>
      <c r="C76" s="10">
        <f t="shared" si="20"/>
        <v>400.96669044388346</v>
      </c>
      <c r="D76" s="10">
        <f t="shared" si="14"/>
        <v>289.98885637847434</v>
      </c>
    </row>
    <row r="77" spans="1:15" x14ac:dyDescent="0.2">
      <c r="A77" s="6">
        <f t="shared" si="19"/>
        <v>0.93683663660434968</v>
      </c>
      <c r="B77" s="6">
        <v>0.27100000000000002</v>
      </c>
      <c r="C77" s="10">
        <f t="shared" si="20"/>
        <v>400.0597599984788</v>
      </c>
      <c r="D77" s="10">
        <f t="shared" si="14"/>
        <v>289.82473857303768</v>
      </c>
    </row>
    <row r="78" spans="1:15" x14ac:dyDescent="0.2">
      <c r="A78" s="6">
        <f t="shared" si="19"/>
        <v>0.93683663660434968</v>
      </c>
      <c r="B78" s="6">
        <v>0.27200000000000002</v>
      </c>
      <c r="C78" s="10">
        <f t="shared" si="20"/>
        <v>399.15282955307424</v>
      </c>
      <c r="D78" s="10">
        <f t="shared" si="14"/>
        <v>289.66034149016883</v>
      </c>
    </row>
    <row r="79" spans="1:15" x14ac:dyDescent="0.2">
      <c r="A79" s="6">
        <f t="shared" si="19"/>
        <v>0.93683663660434968</v>
      </c>
      <c r="B79" s="6">
        <v>0.27300000000000002</v>
      </c>
      <c r="C79" s="10">
        <f t="shared" si="20"/>
        <v>398.24589910766957</v>
      </c>
      <c r="D79" s="10">
        <f t="shared" si="14"/>
        <v>289.49566401844493</v>
      </c>
    </row>
    <row r="80" spans="1:15" x14ac:dyDescent="0.2">
      <c r="A80" s="6">
        <f t="shared" si="19"/>
        <v>0.93683663660434968</v>
      </c>
      <c r="B80" s="6">
        <v>0.27400000000000002</v>
      </c>
      <c r="C80" s="10">
        <f t="shared" si="20"/>
        <v>397.33896866226485</v>
      </c>
      <c r="D80" s="10">
        <f t="shared" si="14"/>
        <v>289.33070503947573</v>
      </c>
    </row>
    <row r="81" spans="1:4" x14ac:dyDescent="0.2">
      <c r="A81" s="6">
        <f t="shared" si="19"/>
        <v>0.93683663660434968</v>
      </c>
      <c r="B81" s="6">
        <v>0.27500000000000002</v>
      </c>
      <c r="C81" s="10">
        <f t="shared" si="20"/>
        <v>396.43203821686012</v>
      </c>
      <c r="D81" s="10">
        <f t="shared" si="14"/>
        <v>289.16546342784585</v>
      </c>
    </row>
    <row r="82" spans="1:4" x14ac:dyDescent="0.2">
      <c r="A82" s="6">
        <f t="shared" si="19"/>
        <v>0.93683663660434968</v>
      </c>
      <c r="B82" s="6">
        <v>0.27600000000000002</v>
      </c>
      <c r="C82" s="10">
        <f t="shared" si="20"/>
        <v>395.52510777145545</v>
      </c>
      <c r="D82" s="10">
        <f t="shared" si="14"/>
        <v>288.9999380510535</v>
      </c>
    </row>
    <row r="83" spans="1:4" x14ac:dyDescent="0.2">
      <c r="A83" s="6">
        <f t="shared" si="19"/>
        <v>0.93683663660434968</v>
      </c>
      <c r="B83" s="6">
        <v>0.27700000000000002</v>
      </c>
      <c r="C83" s="10">
        <f t="shared" si="20"/>
        <v>394.61817732605095</v>
      </c>
      <c r="D83" s="10">
        <f t="shared" si="14"/>
        <v>288.83412776944857</v>
      </c>
    </row>
    <row r="84" spans="1:4" x14ac:dyDescent="0.2">
      <c r="A84" s="6">
        <f t="shared" si="19"/>
        <v>0.93683663660434968</v>
      </c>
      <c r="B84" s="6">
        <v>0.27800000000000002</v>
      </c>
      <c r="C84" s="10">
        <f t="shared" si="20"/>
        <v>393.71124688064623</v>
      </c>
      <c r="D84" s="10">
        <f t="shared" si="14"/>
        <v>288.66803143617267</v>
      </c>
    </row>
    <row r="85" spans="1:4" x14ac:dyDescent="0.2">
      <c r="A85" s="6">
        <f t="shared" si="19"/>
        <v>0.93683663660434968</v>
      </c>
      <c r="B85" s="6">
        <v>0.27900000000000003</v>
      </c>
      <c r="C85" s="10">
        <f t="shared" si="20"/>
        <v>392.8043164352415</v>
      </c>
      <c r="D85" s="10">
        <f t="shared" si="14"/>
        <v>288.5016478970964</v>
      </c>
    </row>
    <row r="86" spans="1:4" x14ac:dyDescent="0.2">
      <c r="A86" s="6">
        <f t="shared" si="19"/>
        <v>0.93683663660434968</v>
      </c>
      <c r="B86" s="6">
        <v>0.28000000000000003</v>
      </c>
      <c r="C86" s="10">
        <f t="shared" si="20"/>
        <v>391.89738598983701</v>
      </c>
      <c r="D86" s="10">
        <f t="shared" si="14"/>
        <v>288.33497599075497</v>
      </c>
    </row>
    <row r="87" spans="1:4" x14ac:dyDescent="0.2">
      <c r="A87" s="6">
        <f t="shared" si="19"/>
        <v>0.93683663660434968</v>
      </c>
      <c r="B87" s="6">
        <v>0.28100000000000003</v>
      </c>
      <c r="C87" s="10">
        <f t="shared" si="20"/>
        <v>390.99045554443228</v>
      </c>
      <c r="D87" s="10">
        <f t="shared" si="14"/>
        <v>288.16801454828641</v>
      </c>
    </row>
    <row r="88" spans="1:4" x14ac:dyDescent="0.2">
      <c r="A88" s="6">
        <f t="shared" si="19"/>
        <v>0.93683663660434968</v>
      </c>
      <c r="B88" s="6">
        <v>0.28199999999999997</v>
      </c>
      <c r="C88" s="10">
        <f t="shared" ref="C88:C108" si="23">(-H-(3*L)/2+(3-3*$B88-kl-2*ku)*Sbar+2*W)/(3-2*$A88)</f>
        <v>390.08352509902761</v>
      </c>
      <c r="D88" s="10">
        <f t="shared" ref="D88:D108" si="24">POWER(C88/(sigma),1/4)</f>
        <v>288.00076239336613</v>
      </c>
    </row>
    <row r="89" spans="1:4" x14ac:dyDescent="0.2">
      <c r="A89" s="6">
        <f t="shared" si="19"/>
        <v>0.93683663660434968</v>
      </c>
      <c r="B89" s="6">
        <v>0.28299999999999997</v>
      </c>
      <c r="C89" s="10">
        <f t="shared" si="23"/>
        <v>389.17659465362289</v>
      </c>
      <c r="D89" s="10">
        <f t="shared" si="24"/>
        <v>287.83321834214144</v>
      </c>
    </row>
    <row r="90" spans="1:4" x14ac:dyDescent="0.2">
      <c r="A90" s="6">
        <f t="shared" si="19"/>
        <v>0.93683663660434968</v>
      </c>
      <c r="B90" s="6">
        <v>0.28399999999999997</v>
      </c>
      <c r="C90" s="10">
        <f t="shared" si="23"/>
        <v>388.26966420821839</v>
      </c>
      <c r="D90" s="10">
        <f t="shared" si="24"/>
        <v>287.66538120316665</v>
      </c>
    </row>
    <row r="91" spans="1:4" x14ac:dyDescent="0.2">
      <c r="A91" s="6">
        <f t="shared" si="19"/>
        <v>0.93683663660434968</v>
      </c>
      <c r="B91" s="6">
        <v>0.28499999999999998</v>
      </c>
      <c r="C91" s="10">
        <f t="shared" si="23"/>
        <v>387.36273376281366</v>
      </c>
      <c r="D91" s="10">
        <f t="shared" si="24"/>
        <v>287.49724977733621</v>
      </c>
    </row>
    <row r="92" spans="1:4" x14ac:dyDescent="0.2">
      <c r="A92" s="6">
        <f t="shared" si="19"/>
        <v>0.93683663660434968</v>
      </c>
      <c r="B92" s="6">
        <v>0.28599999999999998</v>
      </c>
      <c r="C92" s="10">
        <f t="shared" si="23"/>
        <v>386.45580331740905</v>
      </c>
      <c r="D92" s="10">
        <f t="shared" si="24"/>
        <v>287.32882285781659</v>
      </c>
    </row>
    <row r="93" spans="1:4" x14ac:dyDescent="0.2">
      <c r="A93" s="33">
        <f t="shared" si="19"/>
        <v>0.93683663660434968</v>
      </c>
      <c r="B93" s="33">
        <v>0.28699999999999998</v>
      </c>
      <c r="C93" s="34">
        <f t="shared" si="23"/>
        <v>385.54887287200444</v>
      </c>
      <c r="D93" s="34">
        <f t="shared" si="24"/>
        <v>287.16009922997972</v>
      </c>
    </row>
    <row r="94" spans="1:4" x14ac:dyDescent="0.2">
      <c r="A94" s="33">
        <f t="shared" si="19"/>
        <v>0.93683663660434968</v>
      </c>
      <c r="B94" s="33">
        <v>0.28799999999999998</v>
      </c>
      <c r="C94" s="34">
        <f t="shared" si="23"/>
        <v>384.64194242659977</v>
      </c>
      <c r="D94" s="34">
        <f t="shared" si="24"/>
        <v>286.99107767133285</v>
      </c>
    </row>
    <row r="95" spans="1:4" x14ac:dyDescent="0.2">
      <c r="A95" s="6">
        <f t="shared" si="19"/>
        <v>0.93683663660434968</v>
      </c>
      <c r="B95" s="6">
        <v>0.28899999999999998</v>
      </c>
      <c r="C95" s="10">
        <f t="shared" si="23"/>
        <v>383.73501198119504</v>
      </c>
      <c r="D95" s="10">
        <f t="shared" si="24"/>
        <v>286.82175695144929</v>
      </c>
    </row>
    <row r="96" spans="1:4" x14ac:dyDescent="0.2">
      <c r="A96" s="6">
        <f t="shared" si="19"/>
        <v>0.93683663660434968</v>
      </c>
      <c r="B96" s="6">
        <v>0.28999999999999998</v>
      </c>
      <c r="C96" s="10">
        <f t="shared" si="23"/>
        <v>382.82808153579032</v>
      </c>
      <c r="D96" s="10">
        <f t="shared" si="24"/>
        <v>286.65213583189853</v>
      </c>
    </row>
    <row r="97" spans="1:4" x14ac:dyDescent="0.2">
      <c r="A97" s="6">
        <f t="shared" si="19"/>
        <v>0.93683663660434968</v>
      </c>
      <c r="B97" s="6">
        <v>0.29099999999999998</v>
      </c>
      <c r="C97" s="10">
        <f t="shared" si="23"/>
        <v>381.92115109038565</v>
      </c>
      <c r="D97" s="10">
        <f t="shared" si="24"/>
        <v>286.48221306617467</v>
      </c>
    </row>
    <row r="98" spans="1:4" x14ac:dyDescent="0.2">
      <c r="A98" s="6">
        <f t="shared" si="19"/>
        <v>0.93683663660434968</v>
      </c>
      <c r="B98" s="6">
        <v>0.29199999999999998</v>
      </c>
      <c r="C98" s="10">
        <f t="shared" si="23"/>
        <v>381.01422064498115</v>
      </c>
      <c r="D98" s="10">
        <f t="shared" si="24"/>
        <v>286.31198739962394</v>
      </c>
    </row>
    <row r="99" spans="1:4" x14ac:dyDescent="0.2">
      <c r="A99" s="6">
        <f t="shared" si="19"/>
        <v>0.93683663660434968</v>
      </c>
      <c r="B99" s="6">
        <v>0.29299999999999998</v>
      </c>
      <c r="C99" s="10">
        <f t="shared" si="23"/>
        <v>380.10729019957643</v>
      </c>
      <c r="D99" s="10">
        <f t="shared" si="24"/>
        <v>286.14145756937324</v>
      </c>
    </row>
    <row r="100" spans="1:4" x14ac:dyDescent="0.2">
      <c r="A100" s="6">
        <f t="shared" si="19"/>
        <v>0.93683663660434968</v>
      </c>
      <c r="B100" s="6">
        <v>0.29399999999999998</v>
      </c>
      <c r="C100" s="10">
        <f t="shared" si="23"/>
        <v>379.20035975417193</v>
      </c>
      <c r="D100" s="10">
        <f t="shared" si="24"/>
        <v>285.97062230425536</v>
      </c>
    </row>
    <row r="101" spans="1:4" x14ac:dyDescent="0.2">
      <c r="A101" s="6">
        <f t="shared" si="19"/>
        <v>0.93683663660434968</v>
      </c>
      <c r="B101" s="6">
        <v>0.29499999999999998</v>
      </c>
      <c r="C101" s="10">
        <f t="shared" si="23"/>
        <v>378.2934293087672</v>
      </c>
      <c r="D101" s="10">
        <f t="shared" si="24"/>
        <v>285.79948032473487</v>
      </c>
    </row>
    <row r="102" spans="1:4" x14ac:dyDescent="0.2">
      <c r="A102" s="6">
        <f t="shared" si="19"/>
        <v>0.93683663660434968</v>
      </c>
      <c r="B102" s="6">
        <v>0.29599999999999999</v>
      </c>
      <c r="C102" s="10">
        <f t="shared" si="23"/>
        <v>377.38649886336253</v>
      </c>
      <c r="D102" s="10">
        <f t="shared" si="24"/>
        <v>285.62803034283257</v>
      </c>
    </row>
    <row r="103" spans="1:4" x14ac:dyDescent="0.2">
      <c r="A103" s="6">
        <f t="shared" si="19"/>
        <v>0.93683663660434968</v>
      </c>
      <c r="B103" s="6">
        <v>0.29699999999999999</v>
      </c>
      <c r="C103" s="10">
        <f t="shared" si="23"/>
        <v>376.47956841795781</v>
      </c>
      <c r="D103" s="10">
        <f t="shared" si="24"/>
        <v>285.45627106205058</v>
      </c>
    </row>
    <row r="104" spans="1:4" x14ac:dyDescent="0.2">
      <c r="A104" s="6">
        <f t="shared" si="19"/>
        <v>0.93683663660434968</v>
      </c>
      <c r="B104" s="6">
        <v>0.29799999999999999</v>
      </c>
      <c r="C104" s="10">
        <f t="shared" si="23"/>
        <v>375.57263797255308</v>
      </c>
      <c r="D104" s="10">
        <f t="shared" si="24"/>
        <v>285.28420117729314</v>
      </c>
    </row>
    <row r="105" spans="1:4" x14ac:dyDescent="0.2">
      <c r="A105" s="6">
        <f t="shared" si="19"/>
        <v>0.93683663660434968</v>
      </c>
      <c r="B105" s="6">
        <v>0.29899999999999999</v>
      </c>
      <c r="C105" s="10">
        <f t="shared" si="23"/>
        <v>374.66570752714847</v>
      </c>
      <c r="D105" s="10">
        <f t="shared" si="24"/>
        <v>285.11181937479063</v>
      </c>
    </row>
    <row r="106" spans="1:4" x14ac:dyDescent="0.2">
      <c r="A106" s="6">
        <f t="shared" si="19"/>
        <v>0.93683663660434968</v>
      </c>
      <c r="B106" s="6">
        <v>0.3</v>
      </c>
      <c r="C106" s="10">
        <f t="shared" si="23"/>
        <v>373.75877708174386</v>
      </c>
      <c r="D106" s="10">
        <f t="shared" si="24"/>
        <v>284.93912433202001</v>
      </c>
    </row>
    <row r="107" spans="1:4" x14ac:dyDescent="0.2">
      <c r="A107" s="6">
        <f t="shared" si="19"/>
        <v>0.93683663660434968</v>
      </c>
      <c r="B107" s="6">
        <v>0.30099999999999999</v>
      </c>
      <c r="C107" s="10">
        <f t="shared" si="23"/>
        <v>372.85184663633919</v>
      </c>
      <c r="D107" s="10">
        <f t="shared" si="24"/>
        <v>284.76611471762493</v>
      </c>
    </row>
    <row r="108" spans="1:4" x14ac:dyDescent="0.2">
      <c r="A108" s="6">
        <f t="shared" si="19"/>
        <v>0.93683663660434968</v>
      </c>
      <c r="B108" s="6">
        <v>0.30199999999999999</v>
      </c>
      <c r="C108" s="10">
        <f t="shared" si="23"/>
        <v>371.94491619093469</v>
      </c>
      <c r="D108" s="10">
        <f t="shared" si="24"/>
        <v>284.59278919133504</v>
      </c>
    </row>
  </sheetData>
  <mergeCells count="4">
    <mergeCell ref="D3:E12"/>
    <mergeCell ref="A15:E15"/>
    <mergeCell ref="F15:H16"/>
    <mergeCell ref="P15:R15"/>
  </mergeCells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9"/>
  <sheetViews>
    <sheetView workbookViewId="0">
      <selection activeCell="D22" sqref="D22"/>
    </sheetView>
  </sheetViews>
  <sheetFormatPr baseColWidth="10" defaultColWidth="8.83203125" defaultRowHeight="13" x14ac:dyDescent="0.15"/>
  <cols>
    <col min="1" max="1" width="22.5" bestFit="1" customWidth="1"/>
  </cols>
  <sheetData>
    <row r="1" spans="1:3" x14ac:dyDescent="0.15">
      <c r="A1" t="s">
        <v>14</v>
      </c>
      <c r="B1">
        <v>84</v>
      </c>
      <c r="C1" t="s">
        <v>26</v>
      </c>
    </row>
    <row r="2" spans="1:3" x14ac:dyDescent="0.15">
      <c r="A2" t="s">
        <v>22</v>
      </c>
      <c r="B2">
        <f>2257*1000</f>
        <v>2257000</v>
      </c>
      <c r="C2" t="s">
        <v>25</v>
      </c>
    </row>
    <row r="3" spans="1:3" x14ac:dyDescent="0.15">
      <c r="A3" t="s">
        <v>23</v>
      </c>
      <c r="B3">
        <f>1000</f>
        <v>1000</v>
      </c>
      <c r="C3" t="s">
        <v>24</v>
      </c>
    </row>
    <row r="4" spans="1:3" x14ac:dyDescent="0.15">
      <c r="A4" t="s">
        <v>27</v>
      </c>
      <c r="B4">
        <v>365</v>
      </c>
    </row>
    <row r="5" spans="1:3" x14ac:dyDescent="0.15">
      <c r="A5" t="s">
        <v>28</v>
      </c>
      <c r="B5">
        <f>24*3600</f>
        <v>86400</v>
      </c>
    </row>
    <row r="7" spans="1:3" x14ac:dyDescent="0.15">
      <c r="B7" s="1">
        <f>B1/(B2*B3)</f>
        <v>3.7217545414266728E-8</v>
      </c>
      <c r="C7" t="s">
        <v>29</v>
      </c>
    </row>
    <row r="8" spans="1:3" x14ac:dyDescent="0.15">
      <c r="B8" s="2">
        <f>B7*B5*B4</f>
        <v>1.1736925121843156</v>
      </c>
      <c r="C8" t="s">
        <v>30</v>
      </c>
    </row>
    <row r="9" spans="1:3" x14ac:dyDescent="0.15">
      <c r="B9" s="35">
        <f>B8*1000</f>
        <v>1173.6925121843155</v>
      </c>
      <c r="C9" s="36" t="s">
        <v>31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0"/>
  <sheetViews>
    <sheetView workbookViewId="0">
      <selection activeCell="L39" sqref="L39"/>
    </sheetView>
  </sheetViews>
  <sheetFormatPr baseColWidth="10" defaultRowHeight="13" x14ac:dyDescent="0.15"/>
  <sheetData>
    <row r="1" spans="1:19" ht="15" x14ac:dyDescent="0.2">
      <c r="A1" s="25" t="s">
        <v>83</v>
      </c>
      <c r="B1" s="6"/>
      <c r="C1" s="6"/>
      <c r="D1" s="6"/>
      <c r="E1" s="6"/>
      <c r="F1" s="6"/>
      <c r="G1" s="6"/>
      <c r="H1" s="6"/>
      <c r="J1" s="5" t="s">
        <v>77</v>
      </c>
    </row>
    <row r="2" spans="1:19" ht="15" x14ac:dyDescent="0.2">
      <c r="A2" s="45" t="s">
        <v>6</v>
      </c>
      <c r="B2" s="45"/>
      <c r="C2" s="45"/>
      <c r="D2" s="45"/>
      <c r="E2" s="45"/>
      <c r="F2" s="46" t="s">
        <v>79</v>
      </c>
      <c r="G2" s="46"/>
      <c r="H2" s="46"/>
      <c r="J2" t="s">
        <v>6</v>
      </c>
    </row>
    <row r="3" spans="1:19" ht="15" x14ac:dyDescent="0.2">
      <c r="A3" s="6"/>
      <c r="B3" s="6"/>
      <c r="C3" s="6"/>
      <c r="D3" s="6"/>
      <c r="E3" s="6"/>
      <c r="F3" s="46"/>
      <c r="G3" s="46"/>
      <c r="H3" s="46"/>
      <c r="O3" s="47" t="s">
        <v>79</v>
      </c>
      <c r="P3" s="47"/>
      <c r="Q3" s="47"/>
    </row>
    <row r="4" spans="1:19" ht="15" x14ac:dyDescent="0.2">
      <c r="A4" s="6"/>
      <c r="B4" s="6" t="s">
        <v>5</v>
      </c>
      <c r="C4" s="6" t="s">
        <v>16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K4" t="s">
        <v>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</row>
    <row r="5" spans="1:19" ht="15" x14ac:dyDescent="0.2">
      <c r="A5" s="6"/>
      <c r="B5" s="10">
        <v>0.85</v>
      </c>
      <c r="C5" s="10">
        <f t="shared" ref="C5:C20" si="0">(-H-(3*L)/2+(3-3*ap-kl-2*ku)*Sbar+2*W)/(3-2*$B5)</f>
        <v>315.96884615384619</v>
      </c>
      <c r="D5" s="10">
        <f t="shared" ref="D5:D20" si="1">(2*(1-$B5)*H+(3*L)/2+(2*kl+ku)*Sbar-2*$B5*(L+(-1+ap+kl+ku)*Sbar)+2*W)/(3-2*$B5)</f>
        <v>271.85134615384607</v>
      </c>
      <c r="E5" s="10">
        <f t="shared" ref="E5:E20" si="2">($B5*((1-ap)*Sbar+W)+(1-$B5)*(H+(3*L)/2+(kl+2*ku)*Sbar+W))/(3-2*$B5)</f>
        <v>187.57067307692307</v>
      </c>
      <c r="F5" s="10">
        <f t="shared" ref="F5:F20" si="3">POWER(C5/(sigma),1/4)</f>
        <v>273.22177053837027</v>
      </c>
      <c r="G5" s="10">
        <f t="shared" ref="G5:G20" si="4">POWER(D5/($B5*sigma),1/4)</f>
        <v>274.05162136321144</v>
      </c>
      <c r="H5" s="10">
        <f t="shared" ref="H5:H20" si="5">POWER(E5/($B5*sigma),1/4)</f>
        <v>249.77026697743452</v>
      </c>
      <c r="K5">
        <v>0.85</v>
      </c>
      <c r="L5" s="2">
        <v>324.46692307692302</v>
      </c>
      <c r="M5" s="2">
        <v>276.72192307692302</v>
      </c>
      <c r="N5" s="2">
        <v>190.05096153846151</v>
      </c>
      <c r="O5" s="2">
        <v>275.04062287395635</v>
      </c>
      <c r="P5" s="2">
        <v>275.27095884521225</v>
      </c>
      <c r="Q5" s="2">
        <v>250.59189576979728</v>
      </c>
    </row>
    <row r="6" spans="1:19" ht="15" x14ac:dyDescent="0.2">
      <c r="A6" s="6"/>
      <c r="B6" s="10">
        <v>0.86</v>
      </c>
      <c r="C6" s="10">
        <f t="shared" si="0"/>
        <v>320.90585937500003</v>
      </c>
      <c r="D6" s="10">
        <f t="shared" si="1"/>
        <v>276.78835937499997</v>
      </c>
      <c r="E6" s="10">
        <f t="shared" si="2"/>
        <v>190.0391796875</v>
      </c>
      <c r="F6" s="10">
        <f t="shared" si="3"/>
        <v>274.28284592279181</v>
      </c>
      <c r="G6" s="10">
        <f t="shared" si="4"/>
        <v>274.48371170317341</v>
      </c>
      <c r="H6" s="10">
        <f t="shared" si="5"/>
        <v>249.85636029818053</v>
      </c>
      <c r="K6">
        <v>0.86</v>
      </c>
      <c r="L6" s="2">
        <v>329.53671874999998</v>
      </c>
      <c r="M6" s="2">
        <v>281.79171874999997</v>
      </c>
      <c r="N6" s="2">
        <v>192.58585937499998</v>
      </c>
      <c r="O6" s="2">
        <v>276.10876189550112</v>
      </c>
      <c r="P6" s="2">
        <v>275.71581570045907</v>
      </c>
      <c r="Q6" s="2">
        <v>250.68925599956029</v>
      </c>
    </row>
    <row r="7" spans="1:19" ht="15" x14ac:dyDescent="0.2">
      <c r="A7" s="6"/>
      <c r="B7" s="10">
        <v>0.87</v>
      </c>
      <c r="C7" s="10">
        <f t="shared" si="0"/>
        <v>325.99960317460324</v>
      </c>
      <c r="D7" s="10">
        <f t="shared" si="1"/>
        <v>281.88210317460312</v>
      </c>
      <c r="E7" s="10">
        <f t="shared" si="2"/>
        <v>192.58605158730157</v>
      </c>
      <c r="F7" s="10">
        <f t="shared" si="3"/>
        <v>275.36485054147164</v>
      </c>
      <c r="G7" s="10">
        <f t="shared" si="4"/>
        <v>274.94213320209815</v>
      </c>
      <c r="H7" s="10">
        <f t="shared" si="5"/>
        <v>249.96582090998191</v>
      </c>
      <c r="K7">
        <v>0.87</v>
      </c>
      <c r="L7" s="2">
        <v>334.76746031746029</v>
      </c>
      <c r="M7" s="2">
        <v>287.02246031746029</v>
      </c>
      <c r="N7" s="2">
        <v>195.20123015873017</v>
      </c>
      <c r="O7" s="2">
        <v>277.19796947836613</v>
      </c>
      <c r="P7" s="2">
        <v>276.1871018501671</v>
      </c>
      <c r="Q7" s="2">
        <v>250.81012214821911</v>
      </c>
    </row>
    <row r="8" spans="1:19" ht="15" x14ac:dyDescent="0.2">
      <c r="A8" s="6"/>
      <c r="B8" s="10">
        <v>0.88</v>
      </c>
      <c r="C8" s="10">
        <f t="shared" si="0"/>
        <v>331.25766129032263</v>
      </c>
      <c r="D8" s="10">
        <f t="shared" si="1"/>
        <v>287.14016129032257</v>
      </c>
      <c r="E8" s="10">
        <f t="shared" si="2"/>
        <v>195.21508064516127</v>
      </c>
      <c r="F8" s="10">
        <f t="shared" si="3"/>
        <v>276.46853939549345</v>
      </c>
      <c r="G8" s="10">
        <f t="shared" si="4"/>
        <v>275.42734279089524</v>
      </c>
      <c r="H8" s="10">
        <f t="shared" si="5"/>
        <v>250.09897300313449</v>
      </c>
      <c r="K8">
        <v>0.88</v>
      </c>
      <c r="L8" s="2">
        <v>340.16693548387093</v>
      </c>
      <c r="M8" s="2">
        <v>292.42193548387093</v>
      </c>
      <c r="N8" s="2">
        <v>197.90096774193546</v>
      </c>
      <c r="O8" s="2">
        <v>278.30900564971904</v>
      </c>
      <c r="P8" s="2">
        <v>276.68527956195726</v>
      </c>
      <c r="Q8" s="2">
        <v>250.95482305255501</v>
      </c>
    </row>
    <row r="9" spans="1:19" ht="15" x14ac:dyDescent="0.2">
      <c r="A9" s="6"/>
      <c r="B9" s="10">
        <v>0.89</v>
      </c>
      <c r="C9" s="10">
        <f t="shared" si="0"/>
        <v>336.68811475409842</v>
      </c>
      <c r="D9" s="10">
        <f t="shared" si="1"/>
        <v>292.5706147540983</v>
      </c>
      <c r="E9" s="10">
        <f t="shared" si="2"/>
        <v>197.93030737704916</v>
      </c>
      <c r="F9" s="10">
        <f t="shared" si="3"/>
        <v>277.59470746837962</v>
      </c>
      <c r="G9" s="10">
        <f t="shared" si="4"/>
        <v>275.93984097907435</v>
      </c>
      <c r="H9" s="10">
        <f t="shared" si="5"/>
        <v>250.25617846580784</v>
      </c>
      <c r="K9">
        <v>0.89</v>
      </c>
      <c r="L9" s="2">
        <v>345.74344262295079</v>
      </c>
      <c r="M9" s="2">
        <v>297.99844262295085</v>
      </c>
      <c r="N9" s="2">
        <v>200.68922131147539</v>
      </c>
      <c r="O9" s="2">
        <v>279.44267068533088</v>
      </c>
      <c r="P9" s="2">
        <v>277.21085492100457</v>
      </c>
      <c r="Q9" s="2">
        <v>251.12372546945713</v>
      </c>
    </row>
    <row r="10" spans="1:19" ht="15" x14ac:dyDescent="0.2">
      <c r="A10" s="6"/>
      <c r="B10" s="10">
        <v>0.9</v>
      </c>
      <c r="C10" s="10">
        <f t="shared" si="0"/>
        <v>342.29958333333337</v>
      </c>
      <c r="D10" s="10">
        <f t="shared" si="1"/>
        <v>298.18208333333331</v>
      </c>
      <c r="E10" s="10">
        <f t="shared" si="2"/>
        <v>200.73604166666667</v>
      </c>
      <c r="F10" s="10">
        <f t="shared" si="3"/>
        <v>278.74419254083392</v>
      </c>
      <c r="G10" s="10">
        <f t="shared" si="4"/>
        <v>276.48017398994403</v>
      </c>
      <c r="H10" s="10">
        <f t="shared" si="5"/>
        <v>250.43783857725785</v>
      </c>
      <c r="K10">
        <v>0.9</v>
      </c>
      <c r="L10" s="2">
        <v>351.50583333333333</v>
      </c>
      <c r="M10" s="2">
        <v>303.76083333333332</v>
      </c>
      <c r="N10" s="2">
        <v>203.57041666666666</v>
      </c>
      <c r="O10" s="2">
        <v>280.59980794305835</v>
      </c>
      <c r="P10" s="2">
        <v>277.76437998310718</v>
      </c>
      <c r="Q10" s="2">
        <v>251.31723578462149</v>
      </c>
    </row>
    <row r="11" spans="1:19" ht="15" x14ac:dyDescent="0.2">
      <c r="A11" s="6"/>
      <c r="B11" s="10">
        <v>0.91</v>
      </c>
      <c r="C11" s="10">
        <f t="shared" si="0"/>
        <v>348.10127118644073</v>
      </c>
      <c r="D11" s="10">
        <f t="shared" si="1"/>
        <v>303.98377118644066</v>
      </c>
      <c r="E11" s="10">
        <f t="shared" si="2"/>
        <v>203.63688559322034</v>
      </c>
      <c r="F11" s="10">
        <f t="shared" si="3"/>
        <v>279.91787825439542</v>
      </c>
      <c r="G11" s="10">
        <f t="shared" si="4"/>
        <v>277.04893614089013</v>
      </c>
      <c r="H11" s="10">
        <f t="shared" si="5"/>
        <v>250.64439590928168</v>
      </c>
      <c r="K11">
        <v>0.91</v>
      </c>
      <c r="L11" s="2">
        <v>357.46355932203386</v>
      </c>
      <c r="M11" s="2">
        <v>309.71855932203391</v>
      </c>
      <c r="N11" s="2">
        <v>206.54927966101695</v>
      </c>
      <c r="O11" s="2">
        <v>281.78130694688974</v>
      </c>
      <c r="P11" s="2">
        <v>278.34645517435695</v>
      </c>
      <c r="Q11" s="2">
        <v>251.5358019308253</v>
      </c>
    </row>
    <row r="12" spans="1:19" ht="15" x14ac:dyDescent="0.2">
      <c r="A12" s="6"/>
      <c r="B12" s="10">
        <v>0.92</v>
      </c>
      <c r="C12" s="10">
        <f t="shared" si="0"/>
        <v>354.1030172413794</v>
      </c>
      <c r="D12" s="10">
        <f t="shared" si="1"/>
        <v>309.98551724137928</v>
      </c>
      <c r="E12" s="10">
        <f t="shared" si="2"/>
        <v>206.63775862068965</v>
      </c>
      <c r="F12" s="10">
        <f t="shared" si="3"/>
        <v>281.11669745065194</v>
      </c>
      <c r="G12" s="10">
        <f t="shared" si="4"/>
        <v>277.64677249111486</v>
      </c>
      <c r="H12" s="10">
        <f t="shared" si="5"/>
        <v>250.87633645427033</v>
      </c>
      <c r="K12">
        <v>0.92</v>
      </c>
      <c r="L12" s="2">
        <v>363.62672413793103</v>
      </c>
      <c r="M12" s="2">
        <v>315.88172413793103</v>
      </c>
      <c r="N12" s="2">
        <v>209.63086206896551</v>
      </c>
      <c r="O12" s="2">
        <v>282.98810674839149</v>
      </c>
      <c r="P12" s="2">
        <v>278.95773195995565</v>
      </c>
      <c r="Q12" s="2">
        <v>251.7799155342756</v>
      </c>
    </row>
    <row r="13" spans="1:19" ht="15" x14ac:dyDescent="0.2">
      <c r="A13" s="6"/>
      <c r="B13" s="10">
        <v>0.93</v>
      </c>
      <c r="C13" s="10">
        <f t="shared" si="0"/>
        <v>360.31535087719305</v>
      </c>
      <c r="D13" s="10">
        <f t="shared" si="1"/>
        <v>316.19785087719299</v>
      </c>
      <c r="E13" s="10">
        <f t="shared" si="2"/>
        <v>209.74392543859648</v>
      </c>
      <c r="F13" s="10">
        <f t="shared" si="3"/>
        <v>282.3416358160398</v>
      </c>
      <c r="G13" s="10">
        <f t="shared" si="4"/>
        <v>278.27438178236133</v>
      </c>
      <c r="H13" s="10">
        <f t="shared" si="5"/>
        <v>251.1341920008505</v>
      </c>
      <c r="K13">
        <v>0.93</v>
      </c>
      <c r="L13" s="2">
        <v>370.00614035087722</v>
      </c>
      <c r="M13" s="2">
        <v>322.26114035087716</v>
      </c>
      <c r="N13" s="2">
        <v>212.8205701754386</v>
      </c>
      <c r="O13" s="2">
        <v>284.22119959576827</v>
      </c>
      <c r="P13" s="2">
        <v>279.59891580788894</v>
      </c>
      <c r="Q13" s="2">
        <v>252.05011431018539</v>
      </c>
    </row>
    <row r="14" spans="1:19" ht="15" x14ac:dyDescent="0.2">
      <c r="A14" s="6"/>
      <c r="B14" s="10">
        <v>0.94</v>
      </c>
      <c r="C14" s="10">
        <f t="shared" si="0"/>
        <v>366.74955357142858</v>
      </c>
      <c r="D14" s="10">
        <f t="shared" si="1"/>
        <v>322.63205357142851</v>
      </c>
      <c r="E14" s="10">
        <f t="shared" si="2"/>
        <v>212.96102678571427</v>
      </c>
      <c r="F14" s="10">
        <f t="shared" si="3"/>
        <v>283.59373586610872</v>
      </c>
      <c r="G14" s="10">
        <f t="shared" si="4"/>
        <v>278.93251970172116</v>
      </c>
      <c r="H14" s="10">
        <f t="shared" si="5"/>
        <v>251.41854278112405</v>
      </c>
      <c r="K14">
        <v>0.94</v>
      </c>
      <c r="L14" s="2">
        <v>376.6133928571428</v>
      </c>
      <c r="M14" s="2">
        <v>328.86839285714285</v>
      </c>
      <c r="N14" s="2">
        <v>216.12419642857139</v>
      </c>
      <c r="O14" s="2">
        <v>285.48163494465331</v>
      </c>
      <c r="P14" s="2">
        <v>280.27076947676431</v>
      </c>
      <c r="Q14" s="2">
        <v>252.34698473176226</v>
      </c>
    </row>
    <row r="15" spans="1:19" ht="15" x14ac:dyDescent="0.2">
      <c r="A15" s="6"/>
      <c r="B15" s="10">
        <v>0.95</v>
      </c>
      <c r="C15" s="10">
        <f t="shared" si="0"/>
        <v>373.41772727272729</v>
      </c>
      <c r="D15" s="10">
        <f t="shared" si="1"/>
        <v>329.30022727272723</v>
      </c>
      <c r="E15" s="10">
        <f t="shared" si="2"/>
        <v>216.29511363636362</v>
      </c>
      <c r="F15" s="10">
        <f t="shared" si="3"/>
        <v>284.87410130757405</v>
      </c>
      <c r="G15" s="10">
        <f t="shared" si="4"/>
        <v>279.62200249970834</v>
      </c>
      <c r="H15" s="10">
        <f t="shared" si="5"/>
        <v>251.73002041692845</v>
      </c>
      <c r="K15">
        <v>0.95</v>
      </c>
      <c r="L15" s="2">
        <v>383.46090909090901</v>
      </c>
      <c r="M15" s="2">
        <v>335.71590909090901</v>
      </c>
      <c r="N15" s="2">
        <v>219.5479545454545</v>
      </c>
      <c r="O15" s="2">
        <v>286.77052384919784</v>
      </c>
      <c r="P15" s="2">
        <v>280.97411666123071</v>
      </c>
      <c r="Q15" s="2">
        <v>252.67116500024233</v>
      </c>
    </row>
    <row r="16" spans="1:19" ht="15" x14ac:dyDescent="0.2">
      <c r="A16" s="6"/>
      <c r="B16" s="10">
        <v>0.96</v>
      </c>
      <c r="C16" s="10">
        <f t="shared" si="0"/>
        <v>380.33287037037042</v>
      </c>
      <c r="D16" s="10">
        <f t="shared" si="1"/>
        <v>336.21537037037035</v>
      </c>
      <c r="E16" s="10">
        <f t="shared" si="2"/>
        <v>219.75268518518516</v>
      </c>
      <c r="F16" s="10">
        <f t="shared" si="3"/>
        <v>286.18390182158601</v>
      </c>
      <c r="G16" s="10">
        <f t="shared" si="4"/>
        <v>280.34371100145853</v>
      </c>
      <c r="H16" s="10">
        <f t="shared" si="5"/>
        <v>252.0693111964722</v>
      </c>
      <c r="I16" s="6"/>
      <c r="J16" s="6"/>
      <c r="K16" s="6">
        <v>0.96</v>
      </c>
      <c r="L16" s="10">
        <v>390.56203703703699</v>
      </c>
      <c r="M16" s="10">
        <v>342.81703703703698</v>
      </c>
      <c r="N16" s="10">
        <v>223.09851851851849</v>
      </c>
      <c r="O16" s="10">
        <v>288.08904377718369</v>
      </c>
      <c r="P16" s="10">
        <v>281.70984603310927</v>
      </c>
      <c r="Q16" s="10">
        <v>253.02334834754635</v>
      </c>
      <c r="R16" s="6"/>
      <c r="S16" s="6"/>
    </row>
    <row r="17" spans="1:19" ht="15" x14ac:dyDescent="0.2">
      <c r="A17" s="6"/>
      <c r="B17" s="10">
        <v>0.97</v>
      </c>
      <c r="C17" s="10">
        <f t="shared" si="0"/>
        <v>387.50896226415097</v>
      </c>
      <c r="D17" s="10">
        <f t="shared" si="1"/>
        <v>343.3914622641509</v>
      </c>
      <c r="E17" s="10">
        <f t="shared" si="2"/>
        <v>223.34073113207546</v>
      </c>
      <c r="F17" s="10">
        <f t="shared" si="3"/>
        <v>287.52437831754469</v>
      </c>
      <c r="G17" s="10">
        <f t="shared" si="4"/>
        <v>281.09859505429978</v>
      </c>
      <c r="H17" s="10">
        <f t="shared" si="5"/>
        <v>252.4371597172036</v>
      </c>
      <c r="I17" s="6"/>
      <c r="J17" s="6"/>
      <c r="K17" s="6">
        <v>0.97</v>
      </c>
      <c r="L17" s="10">
        <v>397.93113207547162</v>
      </c>
      <c r="M17" s="10">
        <v>350.18613207547168</v>
      </c>
      <c r="N17" s="10">
        <v>226.78306603773581</v>
      </c>
      <c r="O17" s="10">
        <v>289.43844389881349</v>
      </c>
      <c r="P17" s="10">
        <v>282.47891572178202</v>
      </c>
      <c r="Q17" s="10">
        <v>253.40428670768321</v>
      </c>
      <c r="R17" s="6"/>
      <c r="S17" s="6"/>
    </row>
    <row r="18" spans="1:19" ht="15" x14ac:dyDescent="0.2">
      <c r="A18" s="6"/>
      <c r="B18" s="10">
        <v>0.98</v>
      </c>
      <c r="C18" s="10">
        <f t="shared" si="0"/>
        <v>394.96105769230775</v>
      </c>
      <c r="D18" s="10">
        <f t="shared" si="1"/>
        <v>350.84355769230763</v>
      </c>
      <c r="E18" s="10">
        <f t="shared" si="2"/>
        <v>227.06677884615382</v>
      </c>
      <c r="F18" s="10">
        <f t="shared" si="3"/>
        <v>288.89684871362442</v>
      </c>
      <c r="G18" s="10">
        <f t="shared" si="4"/>
        <v>281.88767846114212</v>
      </c>
      <c r="H18" s="10">
        <f t="shared" si="5"/>
        <v>252.83437293596816</v>
      </c>
      <c r="I18" s="6"/>
      <c r="J18" s="6"/>
      <c r="K18" s="6">
        <v>0.98</v>
      </c>
      <c r="L18" s="10">
        <v>405.58365384615377</v>
      </c>
      <c r="M18" s="10">
        <v>357.83865384615376</v>
      </c>
      <c r="N18" s="10">
        <v>230.60932692307691</v>
      </c>
      <c r="O18" s="10">
        <v>290.82005090571488</v>
      </c>
      <c r="P18" s="10">
        <v>283.28235828363427</v>
      </c>
      <c r="Q18" s="10">
        <v>253.8147947982547</v>
      </c>
      <c r="R18" s="6"/>
      <c r="S18" s="6"/>
    </row>
    <row r="19" spans="1:19" ht="15" x14ac:dyDescent="0.2">
      <c r="A19" s="6"/>
      <c r="B19" s="10">
        <v>0.99</v>
      </c>
      <c r="C19" s="10">
        <f t="shared" si="0"/>
        <v>402.70539215686279</v>
      </c>
      <c r="D19" s="10">
        <f t="shared" si="1"/>
        <v>358.58789215686272</v>
      </c>
      <c r="E19" s="10">
        <f t="shared" si="2"/>
        <v>230.93894607843134</v>
      </c>
      <c r="F19" s="10">
        <f t="shared" si="3"/>
        <v>290.30271430808926</v>
      </c>
      <c r="G19" s="10">
        <f t="shared" si="4"/>
        <v>282.71206445633169</v>
      </c>
      <c r="H19" s="10">
        <f t="shared" si="5"/>
        <v>253.26182467353397</v>
      </c>
      <c r="I19" s="6"/>
      <c r="J19" s="6"/>
      <c r="K19" s="6">
        <v>0.99</v>
      </c>
      <c r="L19" s="10">
        <v>413.53627450980389</v>
      </c>
      <c r="M19" s="10">
        <v>365.79127450980394</v>
      </c>
      <c r="N19" s="10">
        <v>234.58563725490191</v>
      </c>
      <c r="O19" s="10">
        <v>292.2352754246719</v>
      </c>
      <c r="P19" s="10">
        <v>284.12128621758757</v>
      </c>
      <c r="Q19" s="10">
        <v>254.2557546594733</v>
      </c>
      <c r="R19" s="6"/>
      <c r="S19" s="6"/>
    </row>
    <row r="20" spans="1:19" ht="15" x14ac:dyDescent="0.2">
      <c r="A20" s="6"/>
      <c r="B20" s="10">
        <v>1</v>
      </c>
      <c r="C20" s="10">
        <f t="shared" si="0"/>
        <v>410.75950000000006</v>
      </c>
      <c r="D20" s="10">
        <f t="shared" si="1"/>
        <v>366.642</v>
      </c>
      <c r="E20" s="10">
        <f t="shared" si="2"/>
        <v>234.96599999999998</v>
      </c>
      <c r="F20" s="10">
        <f t="shared" si="3"/>
        <v>291.74346681471565</v>
      </c>
      <c r="G20" s="10">
        <f t="shared" si="4"/>
        <v>283.57294178895796</v>
      </c>
      <c r="H20" s="10">
        <f t="shared" si="5"/>
        <v>253.72046062753881</v>
      </c>
      <c r="I20" s="6"/>
      <c r="J20" s="6"/>
      <c r="K20" s="6">
        <v>1</v>
      </c>
      <c r="L20" s="6">
        <v>421.80699999999996</v>
      </c>
      <c r="M20" s="10">
        <v>374.06199999999995</v>
      </c>
      <c r="N20" s="10">
        <v>238.72099999999998</v>
      </c>
      <c r="O20" s="10">
        <v>293.68561909988091</v>
      </c>
      <c r="P20" s="10">
        <v>284.99689809216238</v>
      </c>
      <c r="Q20" s="10">
        <v>254.72812070514291</v>
      </c>
      <c r="R20" s="10"/>
      <c r="S20" s="6"/>
    </row>
    <row r="21" spans="1:19" ht="15" x14ac:dyDescent="0.2">
      <c r="E21" t="s">
        <v>81</v>
      </c>
      <c r="F21" s="2">
        <f>AVERAGE(F5:F20)</f>
        <v>282.01076656735438</v>
      </c>
      <c r="G21" s="2">
        <f t="shared" ref="G21:H21" si="6">AVERAGE(G5:G20)</f>
        <v>278.27902671289888</v>
      </c>
      <c r="H21" s="2">
        <f t="shared" si="6"/>
        <v>251.2820034340605</v>
      </c>
      <c r="I21" s="6"/>
      <c r="J21" s="6"/>
      <c r="K21" s="6"/>
      <c r="L21" s="6"/>
      <c r="M21" s="10"/>
      <c r="N21" s="10" t="s">
        <v>82</v>
      </c>
      <c r="O21" s="10">
        <v>283.88812773231859</v>
      </c>
      <c r="P21" s="10">
        <v>279.59823026814877</v>
      </c>
      <c r="Q21" s="10">
        <v>252.19358405935012</v>
      </c>
      <c r="R21" s="10"/>
      <c r="S21" s="6"/>
    </row>
    <row r="22" spans="1:19" ht="15" x14ac:dyDescent="0.2">
      <c r="A22" s="6"/>
      <c r="B22" s="25"/>
      <c r="C22" s="25"/>
      <c r="D22" s="6"/>
      <c r="E22" s="6"/>
      <c r="I22" s="6"/>
      <c r="J22" s="6"/>
      <c r="K22" s="6"/>
      <c r="L22" s="6"/>
      <c r="M22" s="10"/>
      <c r="N22" s="10"/>
      <c r="O22" s="10"/>
      <c r="P22" s="10"/>
      <c r="Q22" s="10"/>
      <c r="R22" s="10"/>
      <c r="S22" s="6"/>
    </row>
    <row r="23" spans="1:19" ht="15" x14ac:dyDescent="0.2">
      <c r="A23" s="6"/>
      <c r="B23" s="6"/>
      <c r="C23" s="6"/>
      <c r="D23" s="6"/>
      <c r="E23" s="6"/>
      <c r="I23" s="6"/>
      <c r="J23" s="6"/>
      <c r="K23" s="6"/>
      <c r="L23" s="6"/>
      <c r="M23" s="10"/>
      <c r="N23" s="10"/>
      <c r="O23" s="10"/>
      <c r="P23" s="10"/>
      <c r="Q23" s="10"/>
      <c r="R23" s="10"/>
      <c r="S23" s="6"/>
    </row>
    <row r="24" spans="1:19" ht="15" x14ac:dyDescent="0.2">
      <c r="A24" s="6"/>
      <c r="B24" s="6"/>
      <c r="C24" s="29"/>
      <c r="D24" s="23"/>
      <c r="E24" s="24"/>
      <c r="I24" s="6"/>
      <c r="J24" s="6"/>
      <c r="K24" s="6"/>
      <c r="L24" s="6"/>
      <c r="M24" s="10"/>
      <c r="N24" s="30" t="s">
        <v>78</v>
      </c>
      <c r="O24" s="31">
        <f>O21-F21</f>
        <v>1.8773611649642135</v>
      </c>
      <c r="P24" s="31" t="s">
        <v>91</v>
      </c>
      <c r="Q24" s="10"/>
      <c r="R24" s="10"/>
      <c r="S24" s="6"/>
    </row>
    <row r="25" spans="1:19" ht="15" x14ac:dyDescent="0.2">
      <c r="A25" s="6"/>
      <c r="B25" s="6"/>
      <c r="C25" s="6"/>
      <c r="D25" s="24"/>
      <c r="E25" s="24"/>
      <c r="I25" s="6"/>
      <c r="J25" s="6"/>
      <c r="K25" s="6"/>
      <c r="L25" s="6"/>
      <c r="M25" s="10"/>
      <c r="N25" s="10"/>
      <c r="O25" s="10"/>
      <c r="P25" s="10"/>
      <c r="Q25" s="10"/>
      <c r="R25" s="10"/>
      <c r="S25" s="6"/>
    </row>
    <row r="26" spans="1:19" ht="15" x14ac:dyDescent="0.2">
      <c r="A26" s="6"/>
      <c r="B26" s="6"/>
      <c r="C26" s="6"/>
      <c r="D26" s="24"/>
      <c r="E26" s="24"/>
      <c r="I26" s="6"/>
      <c r="J26" s="6"/>
      <c r="K26" s="6"/>
      <c r="L26" s="6"/>
      <c r="M26" s="10"/>
      <c r="N26" s="10"/>
      <c r="O26" s="10"/>
      <c r="P26" s="10"/>
      <c r="Q26" s="10"/>
      <c r="R26" s="10"/>
      <c r="S26" s="6"/>
    </row>
    <row r="27" spans="1:19" ht="15" x14ac:dyDescent="0.2">
      <c r="A27" s="6"/>
      <c r="B27" s="6"/>
      <c r="C27" s="6"/>
      <c r="D27" s="24"/>
      <c r="E27" s="24"/>
      <c r="I27" s="6"/>
      <c r="J27" s="6"/>
      <c r="K27" s="6"/>
      <c r="L27" s="6"/>
      <c r="M27" s="10"/>
      <c r="N27" s="10"/>
      <c r="O27" s="10"/>
      <c r="P27" s="10"/>
      <c r="Q27" s="10"/>
      <c r="R27" s="10"/>
      <c r="S27" s="6"/>
    </row>
    <row r="28" spans="1:19" ht="15" x14ac:dyDescent="0.2">
      <c r="A28" s="6"/>
      <c r="B28" s="7"/>
      <c r="C28" s="6"/>
      <c r="D28" s="24"/>
      <c r="E28" s="24"/>
      <c r="I28" s="6"/>
      <c r="J28" s="6"/>
      <c r="K28" s="6"/>
      <c r="L28" s="6"/>
      <c r="M28" s="10"/>
      <c r="N28" s="10"/>
      <c r="O28" s="10"/>
      <c r="P28" s="10"/>
      <c r="Q28" s="10"/>
      <c r="R28" s="10"/>
      <c r="S28" s="6"/>
    </row>
    <row r="29" spans="1:19" ht="15" x14ac:dyDescent="0.2">
      <c r="A29" s="6"/>
      <c r="B29" s="6"/>
      <c r="C29" s="6"/>
      <c r="D29" s="24"/>
      <c r="E29" s="24"/>
      <c r="I29" s="6"/>
      <c r="J29" s="6"/>
      <c r="K29" s="6"/>
      <c r="L29" s="6"/>
      <c r="M29" s="10"/>
      <c r="N29" s="10"/>
      <c r="O29" s="10"/>
      <c r="P29" s="10"/>
      <c r="Q29" s="10"/>
      <c r="R29" s="10"/>
      <c r="S29" s="6"/>
    </row>
    <row r="30" spans="1:19" ht="15" x14ac:dyDescent="0.2">
      <c r="A30" s="6"/>
      <c r="B30" s="6"/>
      <c r="C30" s="6"/>
      <c r="D30" s="24"/>
      <c r="E30" s="24"/>
      <c r="I30" s="6"/>
      <c r="J30" s="6"/>
      <c r="K30" s="6"/>
      <c r="L30" s="6"/>
      <c r="M30" s="10"/>
      <c r="N30" s="10"/>
      <c r="O30" s="10"/>
      <c r="P30" s="10"/>
      <c r="Q30" s="10"/>
      <c r="R30" s="10"/>
      <c r="S30" s="6"/>
    </row>
    <row r="31" spans="1:19" ht="15" x14ac:dyDescent="0.2">
      <c r="A31" s="6"/>
      <c r="B31" s="6"/>
      <c r="C31" s="6"/>
      <c r="D31" s="24"/>
      <c r="E31" s="24"/>
      <c r="I31" s="6"/>
      <c r="J31" s="6"/>
      <c r="K31" s="6"/>
      <c r="L31" s="6"/>
      <c r="M31" s="10"/>
      <c r="N31" s="10"/>
      <c r="O31" s="10"/>
      <c r="P31" s="10"/>
      <c r="Q31" s="10"/>
      <c r="R31" s="10"/>
      <c r="S31" s="6"/>
    </row>
    <row r="32" spans="1:19" ht="15" x14ac:dyDescent="0.2">
      <c r="A32" s="6"/>
      <c r="B32" s="8"/>
      <c r="C32" s="6"/>
      <c r="D32" s="24"/>
      <c r="E32" s="24"/>
      <c r="I32" s="6"/>
      <c r="J32" s="6"/>
      <c r="K32" s="6"/>
      <c r="L32" s="6"/>
      <c r="M32" s="10"/>
      <c r="N32" s="10"/>
      <c r="O32" s="10"/>
      <c r="P32" s="10"/>
      <c r="Q32" s="10"/>
      <c r="R32" s="10"/>
      <c r="S32" s="6"/>
    </row>
    <row r="33" spans="1:19" ht="15" x14ac:dyDescent="0.2">
      <c r="A33" s="6"/>
      <c r="B33" s="6"/>
      <c r="C33" s="6"/>
      <c r="D33" s="24"/>
      <c r="E33" s="24"/>
      <c r="I33" s="6"/>
      <c r="J33" s="6"/>
      <c r="K33" s="6"/>
      <c r="L33" s="6"/>
      <c r="M33" s="10"/>
      <c r="N33" s="10"/>
      <c r="O33" s="10"/>
      <c r="P33" s="10"/>
      <c r="Q33" s="10"/>
      <c r="R33" s="10"/>
      <c r="S33" s="6"/>
    </row>
    <row r="34" spans="1:19" ht="15" x14ac:dyDescent="0.2">
      <c r="I34" s="6"/>
      <c r="J34" s="6"/>
      <c r="K34" s="6"/>
      <c r="L34" s="6"/>
      <c r="M34" s="10"/>
      <c r="N34" s="10"/>
      <c r="O34" s="10"/>
      <c r="P34" s="10"/>
      <c r="Q34" s="10"/>
      <c r="R34" s="10"/>
      <c r="S34" s="6"/>
    </row>
    <row r="35" spans="1:19" ht="15" x14ac:dyDescent="0.2">
      <c r="I35" s="6"/>
      <c r="J35" s="6"/>
      <c r="K35" s="6"/>
      <c r="L35" s="6"/>
      <c r="M35" s="10"/>
      <c r="N35" s="10"/>
      <c r="O35" s="10"/>
      <c r="P35" s="10"/>
      <c r="Q35" s="10"/>
      <c r="R35" s="10"/>
      <c r="S35" s="6"/>
    </row>
    <row r="36" spans="1:19" ht="15" x14ac:dyDescent="0.2">
      <c r="I36" s="6"/>
      <c r="J36" s="6"/>
      <c r="K36" s="6"/>
      <c r="L36" s="6"/>
      <c r="M36" s="6"/>
      <c r="N36" s="6"/>
      <c r="O36" s="6"/>
      <c r="P36" s="10"/>
      <c r="Q36" s="6"/>
      <c r="R36" s="6"/>
      <c r="S36" s="6"/>
    </row>
    <row r="37" spans="1:19" ht="1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5" x14ac:dyDescent="0.2"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5" x14ac:dyDescent="0.2">
      <c r="I39" s="6"/>
      <c r="J39" s="6"/>
      <c r="K39" s="6"/>
      <c r="L39" s="6"/>
      <c r="M39" s="6"/>
      <c r="N39" s="6"/>
      <c r="Q39" s="6"/>
      <c r="R39" s="6"/>
      <c r="S39" s="6"/>
    </row>
    <row r="40" spans="1:19" ht="15" x14ac:dyDescent="0.2"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</sheetData>
  <mergeCells count="3">
    <mergeCell ref="A2:E2"/>
    <mergeCell ref="F2:H3"/>
    <mergeCell ref="O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"/>
  <sheetViews>
    <sheetView workbookViewId="0">
      <selection activeCell="V6" sqref="V6"/>
    </sheetView>
  </sheetViews>
  <sheetFormatPr baseColWidth="10" defaultColWidth="8.83203125" defaultRowHeight="16" x14ac:dyDescent="0.2"/>
  <cols>
    <col min="1" max="1" width="21.1640625" style="13" customWidth="1"/>
    <col min="2" max="2" width="12.1640625" style="13" bestFit="1" customWidth="1"/>
    <col min="3" max="5" width="8.83203125" style="13"/>
    <col min="6" max="6" width="11" style="13" bestFit="1" customWidth="1"/>
    <col min="7" max="7" width="5.1640625" style="13" bestFit="1" customWidth="1"/>
    <col min="8" max="14" width="8.83203125" style="13"/>
    <col min="15" max="15" width="9.83203125" style="13" bestFit="1" customWidth="1"/>
    <col min="16" max="16384" width="8.83203125" style="13"/>
  </cols>
  <sheetData>
    <row r="1" spans="1:19" x14ac:dyDescent="0.2">
      <c r="A1" s="13" t="s">
        <v>49</v>
      </c>
      <c r="B1" s="13">
        <v>6371</v>
      </c>
      <c r="C1" s="13" t="s">
        <v>50</v>
      </c>
      <c r="J1" s="6"/>
      <c r="K1" s="25" t="s">
        <v>66</v>
      </c>
      <c r="L1" s="6"/>
      <c r="M1" s="6"/>
      <c r="N1" s="6"/>
      <c r="O1" s="25" t="s">
        <v>68</v>
      </c>
      <c r="P1" s="6"/>
      <c r="Q1" s="6"/>
      <c r="R1" s="6"/>
      <c r="S1" s="6"/>
    </row>
    <row r="2" spans="1:19" ht="19" x14ac:dyDescent="0.2">
      <c r="A2" s="13" t="s">
        <v>51</v>
      </c>
      <c r="B2" s="14">
        <f>50000*1000</f>
        <v>50000000</v>
      </c>
      <c r="C2" s="13" t="s">
        <v>52</v>
      </c>
      <c r="J2" s="6"/>
      <c r="K2" s="6" t="s">
        <v>67</v>
      </c>
      <c r="L2" s="6" t="s">
        <v>16</v>
      </c>
      <c r="M2" s="6" t="s">
        <v>17</v>
      </c>
      <c r="N2" s="6"/>
      <c r="O2" s="6" t="s">
        <v>67</v>
      </c>
      <c r="P2" s="6" t="s">
        <v>16</v>
      </c>
      <c r="Q2" s="6" t="s">
        <v>17</v>
      </c>
      <c r="R2" s="6"/>
      <c r="S2" s="6" t="s">
        <v>69</v>
      </c>
    </row>
    <row r="3" spans="1:19" x14ac:dyDescent="0.2">
      <c r="A3" s="13" t="s">
        <v>53</v>
      </c>
      <c r="B3" s="15">
        <v>0.70899999999999996</v>
      </c>
      <c r="J3" s="10"/>
      <c r="K3" s="10">
        <v>274.90481373612528</v>
      </c>
      <c r="L3" s="10">
        <v>323.82653846153841</v>
      </c>
      <c r="M3" s="10">
        <v>276.30403846153843</v>
      </c>
      <c r="N3" s="6"/>
      <c r="O3" s="10">
        <v>275.10051070282719</v>
      </c>
      <c r="P3" s="10">
        <v>324.74961538461537</v>
      </c>
      <c r="Q3" s="10">
        <v>277.22711538461533</v>
      </c>
      <c r="R3" s="6"/>
      <c r="S3" s="10">
        <f t="shared" ref="S3:S18" si="0">O3-K3</f>
        <v>0.19569696670191661</v>
      </c>
    </row>
    <row r="4" spans="1:19" ht="19" x14ac:dyDescent="0.2">
      <c r="A4" s="13" t="s">
        <v>74</v>
      </c>
      <c r="B4" s="13">
        <v>1000</v>
      </c>
      <c r="C4" s="13" t="s">
        <v>75</v>
      </c>
      <c r="J4" s="10"/>
      <c r="K4" s="10">
        <v>275.9724253336185</v>
      </c>
      <c r="L4" s="10">
        <v>328.88632812499998</v>
      </c>
      <c r="M4" s="10">
        <v>281.363828125</v>
      </c>
      <c r="N4" s="6"/>
      <c r="O4" s="10">
        <v>276.16888230284081</v>
      </c>
      <c r="P4" s="10">
        <v>329.82382812500003</v>
      </c>
      <c r="Q4" s="10">
        <v>282.301328125</v>
      </c>
      <c r="R4" s="6"/>
      <c r="S4" s="10">
        <f t="shared" si="0"/>
        <v>0.19645696922231082</v>
      </c>
    </row>
    <row r="5" spans="1:19" x14ac:dyDescent="0.2">
      <c r="J5" s="10"/>
      <c r="K5" s="10">
        <v>277.06109508923015</v>
      </c>
      <c r="L5" s="10">
        <v>334.10674603174601</v>
      </c>
      <c r="M5" s="10">
        <v>286.58424603174598</v>
      </c>
      <c r="N5" s="6"/>
      <c r="O5" s="10">
        <v>277.25832705168023</v>
      </c>
      <c r="P5" s="10">
        <v>335.05912698412698</v>
      </c>
      <c r="Q5" s="10">
        <v>287.536626984127</v>
      </c>
      <c r="R5" s="6"/>
      <c r="S5" s="10">
        <f t="shared" si="0"/>
        <v>0.19723196245007557</v>
      </c>
    </row>
    <row r="6" spans="1:19" x14ac:dyDescent="0.2">
      <c r="A6" s="13" t="s">
        <v>54</v>
      </c>
      <c r="B6" s="17">
        <f>B2/(B3*4*PI()*B1^2)</f>
        <v>0.13826068205280459</v>
      </c>
      <c r="C6" s="13" t="s">
        <v>76</v>
      </c>
      <c r="D6" s="18">
        <f>B6*1000</f>
        <v>138.26068205280458</v>
      </c>
      <c r="E6" s="13" t="s">
        <v>55</v>
      </c>
      <c r="J6" s="10"/>
      <c r="K6" s="10">
        <v>278.17158265484272</v>
      </c>
      <c r="L6" s="10">
        <v>339.49556451612904</v>
      </c>
      <c r="M6" s="10">
        <v>291.973064516129</v>
      </c>
      <c r="N6" s="6"/>
      <c r="O6" s="10">
        <v>278.36960514200274</v>
      </c>
      <c r="P6" s="10">
        <v>340.46330645161294</v>
      </c>
      <c r="Q6" s="10">
        <v>292.9408064516129</v>
      </c>
      <c r="R6" s="6"/>
      <c r="S6" s="10">
        <f t="shared" si="0"/>
        <v>0.19802248716001714</v>
      </c>
    </row>
    <row r="7" spans="1:19" ht="19" x14ac:dyDescent="0.2">
      <c r="A7" s="13" t="s">
        <v>56</v>
      </c>
      <c r="B7" s="19">
        <f>D6*B4</f>
        <v>138260.68205280459</v>
      </c>
      <c r="C7" s="13" t="s">
        <v>57</v>
      </c>
      <c r="J7" s="10"/>
      <c r="K7" s="10">
        <v>279.30468791106853</v>
      </c>
      <c r="L7" s="10">
        <v>345.06106557377046</v>
      </c>
      <c r="M7" s="10">
        <v>297.53856557377048</v>
      </c>
      <c r="N7" s="6"/>
      <c r="O7" s="10">
        <v>279.50351702383296</v>
      </c>
      <c r="P7" s="10">
        <v>346.04467213114759</v>
      </c>
      <c r="Q7" s="10">
        <v>298.52217213114761</v>
      </c>
      <c r="R7" s="6"/>
      <c r="S7" s="10">
        <f t="shared" si="0"/>
        <v>0.19882911276442883</v>
      </c>
    </row>
    <row r="8" spans="1:19" x14ac:dyDescent="0.2">
      <c r="A8" s="13" t="s">
        <v>59</v>
      </c>
      <c r="B8" s="13">
        <v>4185</v>
      </c>
      <c r="C8" s="13" t="s">
        <v>60</v>
      </c>
      <c r="J8" s="10"/>
      <c r="K8" s="10">
        <v>280.46125379933153</v>
      </c>
      <c r="L8" s="10">
        <v>350.81208333333331</v>
      </c>
      <c r="M8" s="10">
        <v>303.28958333333333</v>
      </c>
      <c r="N8" s="6"/>
      <c r="O8" s="10">
        <v>280.66090623866165</v>
      </c>
      <c r="P8" s="10">
        <v>351.81208333333336</v>
      </c>
      <c r="Q8" s="10">
        <v>304.28958333333338</v>
      </c>
      <c r="R8" s="6"/>
      <c r="S8" s="10">
        <f t="shared" si="0"/>
        <v>0.19965243933012289</v>
      </c>
    </row>
    <row r="9" spans="1:19" ht="19" x14ac:dyDescent="0.2">
      <c r="A9" s="13" t="s">
        <v>58</v>
      </c>
      <c r="B9" s="14">
        <f>B7*B8*'Problem 4 - ocean heat cool'!S19</f>
        <v>116876887.93711059</v>
      </c>
      <c r="C9" s="13" t="s">
        <v>61</v>
      </c>
      <c r="J9" s="10"/>
      <c r="K9" s="10">
        <v>281.64216940439331</v>
      </c>
      <c r="L9" s="10">
        <v>356.75805084745764</v>
      </c>
      <c r="M9" s="10">
        <v>309.2355508474576</v>
      </c>
      <c r="N9" s="6"/>
      <c r="O9" s="10">
        <v>281.84266250416402</v>
      </c>
      <c r="P9" s="10">
        <v>357.77500000000003</v>
      </c>
      <c r="Q9" s="10">
        <v>310.25250000000005</v>
      </c>
      <c r="R9" s="6"/>
      <c r="S9" s="10">
        <f t="shared" si="0"/>
        <v>0.20049309977071061</v>
      </c>
    </row>
    <row r="10" spans="1:19" x14ac:dyDescent="0.2">
      <c r="A10" s="13" t="s">
        <v>65</v>
      </c>
      <c r="J10" s="10"/>
      <c r="K10" s="10">
        <v>282.84837331413598</v>
      </c>
      <c r="L10" s="10">
        <v>362.90905172413795</v>
      </c>
      <c r="M10" s="10">
        <v>315.38655172413792</v>
      </c>
      <c r="N10" s="6"/>
      <c r="O10" s="10">
        <v>283.04972507637643</v>
      </c>
      <c r="P10" s="10">
        <v>363.94353448275865</v>
      </c>
      <c r="Q10" s="10">
        <v>316.42103448275867</v>
      </c>
      <c r="R10" s="6"/>
      <c r="S10" s="10">
        <f t="shared" si="0"/>
        <v>0.20135176224044926</v>
      </c>
    </row>
    <row r="11" spans="1:19" x14ac:dyDescent="0.2">
      <c r="A11" s="20" t="s">
        <v>71</v>
      </c>
      <c r="B11" s="21">
        <f>'Problem 4 - ocean heat cool'!L19</f>
        <v>368.44501347110776</v>
      </c>
      <c r="J11" s="10"/>
      <c r="K11" s="10">
        <v>284.0808572868138</v>
      </c>
      <c r="L11" s="10">
        <v>369.27587719298248</v>
      </c>
      <c r="M11" s="10">
        <v>321.75337719298244</v>
      </c>
      <c r="N11" s="6"/>
      <c r="O11" s="10">
        <v>284.28308641955812</v>
      </c>
      <c r="P11" s="10">
        <v>370.32850877192988</v>
      </c>
      <c r="Q11" s="10">
        <v>322.80600877192984</v>
      </c>
      <c r="R11" s="6"/>
      <c r="S11" s="10">
        <f t="shared" si="0"/>
        <v>0.2022291327443213</v>
      </c>
    </row>
    <row r="12" spans="1:19" x14ac:dyDescent="0.2">
      <c r="A12" s="20" t="s">
        <v>72</v>
      </c>
      <c r="B12" s="21">
        <f>'Problem 4 - ocean heat cool'!P19</f>
        <v>369.49527664896135</v>
      </c>
      <c r="D12" s="21"/>
      <c r="J12" s="10"/>
      <c r="K12" s="10">
        <v>285.34067025986104</v>
      </c>
      <c r="L12" s="10">
        <v>375.87008928571424</v>
      </c>
      <c r="M12" s="10">
        <v>328.34758928571421</v>
      </c>
      <c r="N12" s="6"/>
      <c r="O12" s="10">
        <v>285.54379621785245</v>
      </c>
      <c r="P12" s="10">
        <v>376.94151785714286</v>
      </c>
      <c r="Q12" s="10">
        <v>329.41901785714282</v>
      </c>
      <c r="R12" s="6"/>
      <c r="S12" s="10">
        <f t="shared" si="0"/>
        <v>0.20312595799140354</v>
      </c>
    </row>
    <row r="13" spans="1:19" x14ac:dyDescent="0.2">
      <c r="A13" s="20" t="s">
        <v>73</v>
      </c>
      <c r="B13" s="21">
        <f>(B12-B11)/2</f>
        <v>0.52513158892679712</v>
      </c>
      <c r="J13" s="10"/>
      <c r="K13" s="10">
        <v>286.62892273881482</v>
      </c>
      <c r="L13" s="10">
        <v>382.70409090909084</v>
      </c>
      <c r="M13" s="10">
        <v>335.1815909090908</v>
      </c>
      <c r="N13" s="6"/>
      <c r="O13" s="10">
        <v>286.83296576733352</v>
      </c>
      <c r="P13" s="10">
        <v>383.79500000000002</v>
      </c>
      <c r="Q13" s="10">
        <v>336.27249999999998</v>
      </c>
      <c r="R13" s="6"/>
      <c r="S13" s="10">
        <f t="shared" si="0"/>
        <v>0.20404302851869716</v>
      </c>
    </row>
    <row r="14" spans="1:19" x14ac:dyDescent="0.2">
      <c r="J14" s="10"/>
      <c r="K14" s="10">
        <v>287.94679161004876</v>
      </c>
      <c r="L14" s="10">
        <v>389.79120370370367</v>
      </c>
      <c r="M14" s="10">
        <v>342.26870370370369</v>
      </c>
      <c r="N14" s="6"/>
      <c r="O14" s="10">
        <v>288.15177279216704</v>
      </c>
      <c r="P14" s="10">
        <v>390.90231481481482</v>
      </c>
      <c r="Q14" s="10">
        <v>343.37981481481484</v>
      </c>
      <c r="R14" s="6"/>
      <c r="S14" s="10">
        <f t="shared" si="0"/>
        <v>0.20498118211827432</v>
      </c>
    </row>
    <row r="15" spans="1:19" x14ac:dyDescent="0.2">
      <c r="J15" s="10"/>
      <c r="K15" s="10">
        <v>289.29552542695166</v>
      </c>
      <c r="L15" s="10">
        <v>397.14575471698112</v>
      </c>
      <c r="M15" s="10">
        <v>349.62325471698108</v>
      </c>
      <c r="N15" s="6"/>
      <c r="O15" s="10">
        <v>289.50146673455214</v>
      </c>
      <c r="P15" s="10">
        <v>398.27783018867927</v>
      </c>
      <c r="Q15" s="10">
        <v>350.75533018867924</v>
      </c>
      <c r="R15" s="6"/>
      <c r="S15" s="10">
        <f t="shared" si="0"/>
        <v>0.20594130760048301</v>
      </c>
    </row>
    <row r="16" spans="1:19" ht="31.75" customHeight="1" x14ac:dyDescent="0.2">
      <c r="A16" s="16" t="s">
        <v>62</v>
      </c>
      <c r="B16" s="14">
        <f>B9/B13</f>
        <v>222566858.29159504</v>
      </c>
      <c r="C16" s="13" t="s">
        <v>63</v>
      </c>
      <c r="D16" s="37">
        <f>B16/(86400*365.25)</f>
        <v>7.0527181500366014</v>
      </c>
      <c r="E16" s="37" t="s">
        <v>64</v>
      </c>
      <c r="J16" s="10"/>
      <c r="K16" s="10">
        <v>290.67645022605967</v>
      </c>
      <c r="L16" s="10">
        <v>404.78317307692305</v>
      </c>
      <c r="M16" s="10">
        <v>357.26067307692301</v>
      </c>
      <c r="N16" s="6"/>
      <c r="O16" s="10">
        <v>290.88337457499301</v>
      </c>
      <c r="P16" s="10">
        <v>405.93701923076924</v>
      </c>
      <c r="Q16" s="10">
        <v>358.4145192307692</v>
      </c>
      <c r="R16" s="6"/>
      <c r="S16" s="10">
        <f t="shared" si="0"/>
        <v>0.20692434893334166</v>
      </c>
    </row>
    <row r="17" spans="10:19" x14ac:dyDescent="0.2">
      <c r="J17" s="10"/>
      <c r="K17" s="10">
        <v>292.09097593761936</v>
      </c>
      <c r="L17" s="10">
        <v>412.72009803921566</v>
      </c>
      <c r="M17" s="10">
        <v>365.19759803921568</v>
      </c>
      <c r="N17" s="6"/>
      <c r="O17" s="10">
        <v>292.29890724742512</v>
      </c>
      <c r="P17" s="10">
        <v>413.89656862745102</v>
      </c>
      <c r="Q17" s="10">
        <v>366.37406862745104</v>
      </c>
      <c r="R17" s="6"/>
      <c r="S17" s="10">
        <f t="shared" si="0"/>
        <v>0.20793130980575825</v>
      </c>
    </row>
    <row r="18" spans="10:19" x14ac:dyDescent="0.2">
      <c r="J18" s="10"/>
      <c r="K18" s="10">
        <v>293.54060346434807</v>
      </c>
      <c r="L18" s="10">
        <v>420.97449999999998</v>
      </c>
      <c r="M18" s="10">
        <v>373.45199999999994</v>
      </c>
      <c r="N18" s="6"/>
      <c r="O18" s="10">
        <v>293.74956672301636</v>
      </c>
      <c r="P18" s="10">
        <v>422.17450000000002</v>
      </c>
      <c r="Q18" s="10">
        <v>374.65199999999999</v>
      </c>
      <c r="R18" s="6"/>
      <c r="S18" s="10">
        <f t="shared" si="0"/>
        <v>0.20896325866829102</v>
      </c>
    </row>
    <row r="19" spans="10:19" x14ac:dyDescent="0.2">
      <c r="J19" s="22" t="s">
        <v>70</v>
      </c>
      <c r="K19" s="22">
        <f>AVERAGE(K3:K18)</f>
        <v>283.74794988707896</v>
      </c>
      <c r="L19" s="22">
        <f>AVERAGE(L3:L18)</f>
        <v>368.44501347110776</v>
      </c>
      <c r="M19" s="22">
        <f>AVERAGE(M3:M18)</f>
        <v>320.92251347110766</v>
      </c>
      <c r="N19" s="22"/>
      <c r="O19" s="22">
        <f>AVERAGE(O3:O18)</f>
        <v>283.94994203245517</v>
      </c>
      <c r="P19" s="22">
        <f>AVERAGE(P3:P18)</f>
        <v>369.49527664896135</v>
      </c>
      <c r="Q19" s="22">
        <f>AVERAGE(Q3:Q18)</f>
        <v>321.97277664896143</v>
      </c>
      <c r="R19" s="22"/>
      <c r="S19" s="22">
        <f>AVERAGE(S3:S18)</f>
        <v>0.20199214537628762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30" baseType="lpstr">
      <vt:lpstr>Problem 1 - Venus, Earth, Mars</vt:lpstr>
      <vt:lpstr>Problem 2 - Harte model</vt:lpstr>
      <vt:lpstr>Problem 3b - WaterAmount</vt:lpstr>
      <vt:lpstr>Probme 3d - Harte Model Solar</vt:lpstr>
      <vt:lpstr>Problem 4 - ocean heat cool</vt:lpstr>
      <vt:lpstr>Graph, Venus, Earth, Mars</vt:lpstr>
      <vt:lpstr>Graph, Earth near far</vt:lpstr>
      <vt:lpstr>Graph - T vs emissivity</vt:lpstr>
      <vt:lpstr>Graph - T vs albedo</vt:lpstr>
      <vt:lpstr>albedo400</vt:lpstr>
      <vt:lpstr>albedo500</vt:lpstr>
      <vt:lpstr>ap</vt:lpstr>
      <vt:lpstr>DE</vt:lpstr>
      <vt:lpstr>DM</vt:lpstr>
      <vt:lpstr>DV</vt:lpstr>
      <vt:lpstr>Earth_aphelion</vt:lpstr>
      <vt:lpstr>Earth_perihelion</vt:lpstr>
      <vt:lpstr>eps</vt:lpstr>
      <vt:lpstr>eps_surface</vt:lpstr>
      <vt:lpstr>epsilon</vt:lpstr>
      <vt:lpstr>H</vt:lpstr>
      <vt:lpstr>kl</vt:lpstr>
      <vt:lpstr>ku</vt:lpstr>
      <vt:lpstr>L</vt:lpstr>
      <vt:lpstr>Sav</vt:lpstr>
      <vt:lpstr>Sbar</vt:lpstr>
      <vt:lpstr>Searth</vt:lpstr>
      <vt:lpstr>sigma</vt:lpstr>
      <vt:lpstr>Solar</vt:lpstr>
      <vt:lpstr>W</vt:lpstr>
    </vt:vector>
  </TitlesOfParts>
  <Company>UCSB - Bren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Harte Climate Model, from Dingman</dc:title>
  <dc:creator>Jeff Dozier</dc:creator>
  <cp:lastModifiedBy>Rachel Torres</cp:lastModifiedBy>
  <cp:lastPrinted>1999-11-10T17:09:40Z</cp:lastPrinted>
  <dcterms:created xsi:type="dcterms:W3CDTF">1998-11-24T09:58:35Z</dcterms:created>
  <dcterms:modified xsi:type="dcterms:W3CDTF">2018-09-20T18:12:42Z</dcterms:modified>
</cp:coreProperties>
</file>